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Schedule'!$A$1:$AA$5800</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5799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5799</v>
      </c>
      <c r="D8" s="10" t="inlineStr">
        <is>
          <t>0 estimated (build-out bays D4-D6 and utilities without drawn trench / bank)</t>
        </is>
      </c>
    </row>
    <row r="9">
      <c r="A9" s="10" t="inlineStr">
        <is>
          <t>Copper runs &gt; 3,000 ft</t>
        </is>
      </c>
      <c r="B9" s="15" t="inlineStr">
        <is>
          <t>INFO</t>
        </is>
      </c>
      <c r="C9" s="12" t="n">
        <v>129</v>
      </c>
      <c r="D9" s="10" t="inlineStr">
        <is>
          <t xml:space="preserve">Receptacle branch circuits, 19; Cat 6A data drops (116 + 48 se; Control; Motor 1 of 6: control / local </t>
        </is>
      </c>
    </row>
    <row r="10">
      <c r="A10" s="10" t="inlineStr">
        <is>
          <t>Feeders with &gt;= 6 parallel sets (bus-duct candidates)</t>
        </is>
      </c>
      <c r="B10" s="15" t="inlineStr">
        <is>
          <t>INFO</t>
        </is>
      </c>
      <c r="C10" s="12" t="n">
        <v>11</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8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7" t="n">
        <v>1311</v>
      </c>
      <c r="U665" s="17" t="n">
        <v>225</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7" t="n">
        <v>1467</v>
      </c>
      <c r="U666" s="17" t="n">
        <v>221</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7" t="n">
        <v>1631</v>
      </c>
      <c r="U667" s="17" t="n">
        <v>225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7" t="n">
        <v>906</v>
      </c>
      <c r="U668" s="17" t="n">
        <v>124</v>
      </c>
      <c r="V668" s="17">
        <f>ROUNDUP((T668+U668+2*'Read Me'!$B$13)*(1+'Read Me'!$B$12),-1)</f>
        <v/>
      </c>
      <c r="W668" s="17">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1066</v>
      </c>
      <c r="U669" s="17" t="n">
        <v>124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1226</v>
      </c>
      <c r="U670" s="17" t="n">
        <v>124</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1289</v>
      </c>
      <c r="U671" s="17" t="n">
        <v>140</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899</v>
      </c>
      <c r="U672" s="17" t="n">
        <v>138</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1059</v>
      </c>
      <c r="U673" s="17" t="n">
        <v>138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1219</v>
      </c>
      <c r="U674" s="17" t="n">
        <v>138</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124</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371</v>
      </c>
      <c r="U676" s="17" t="n">
        <v>32</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7" t="n">
        <v>546</v>
      </c>
      <c r="U677" s="17" t="n">
        <v>96</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1566</v>
      </c>
      <c r="U678" s="17" t="n">
        <v>200</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1726</v>
      </c>
      <c r="U679" s="17" t="n">
        <v>200</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7" t="n">
        <v>1302</v>
      </c>
      <c r="U680" s="17" t="n">
        <v>188</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964</v>
      </c>
      <c r="U681" s="17" t="n">
        <v>44</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7" t="n">
        <v>1124</v>
      </c>
      <c r="U682" s="17" t="n">
        <v>44</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7" t="n">
        <v>1284</v>
      </c>
      <c r="U683" s="17" t="n">
        <v>44</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7" t="n">
        <v>277</v>
      </c>
      <c r="U684" s="17" t="n">
        <v>97</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7" t="n">
        <v>273</v>
      </c>
      <c r="U685" s="17" t="n">
        <v>93</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7" t="n">
        <v>277</v>
      </c>
      <c r="U686" s="17" t="n">
        <v>97</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7" t="n">
        <v>1069</v>
      </c>
      <c r="U687" s="17" t="n">
        <v>184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366</v>
      </c>
      <c r="U688" s="17" t="n">
        <v>106</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1240</v>
      </c>
      <c r="U689" s="17" t="n">
        <v>196</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7" t="n">
        <v>1260</v>
      </c>
      <c r="U690" s="17" t="n">
        <v>148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392</v>
      </c>
      <c r="U691" s="17" t="n">
        <v>96</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154</v>
      </c>
      <c r="U692" s="17" t="n">
        <v>103</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1046</v>
      </c>
      <c r="U693" s="17" t="n">
        <v>197</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7" t="n">
        <v>986</v>
      </c>
      <c r="U694" s="17" t="n">
        <v>249</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359</v>
      </c>
      <c r="U695" s="17" t="n">
        <v>120</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1233</v>
      </c>
      <c r="U696" s="17" t="n">
        <v>210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7" t="n">
        <v>1229</v>
      </c>
      <c r="U697" s="17" t="n">
        <v>198</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392</v>
      </c>
      <c r="U698" s="17" t="n">
        <v>105</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635</v>
      </c>
      <c r="U699" s="17" t="n">
        <v>144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624</v>
      </c>
      <c r="U700" s="17" t="n">
        <v>155</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7" t="n">
        <v>624</v>
      </c>
      <c r="U701" s="17" t="n">
        <v>144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624</v>
      </c>
      <c r="U702" s="17" t="n">
        <v>181</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624</v>
      </c>
      <c r="U703" s="17" t="n">
        <v>165</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90</v>
      </c>
      <c r="U704" s="17" t="n">
        <v>123</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1114</v>
      </c>
      <c r="U705" s="17" t="n">
        <v>223</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726</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7" t="n">
        <v>66</v>
      </c>
      <c r="U707" s="17" t="n">
        <v>54</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7" t="n">
        <v>86</v>
      </c>
      <c r="U708" s="17" t="n">
        <v>71</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624</v>
      </c>
      <c r="U709" s="17" t="n">
        <v>128</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7" t="n">
        <v>66</v>
      </c>
      <c r="U710" s="17" t="n">
        <v>70</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7" t="n">
        <v>0</v>
      </c>
      <c r="U711" s="17" t="n">
        <v>32</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0</v>
      </c>
      <c r="U712" s="17" t="n">
        <v>72</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0</v>
      </c>
      <c r="U713" s="17" t="n">
        <v>72</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7" t="n">
        <v>0</v>
      </c>
      <c r="U714" s="17" t="n">
        <v>72</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403</v>
      </c>
      <c r="U716" s="17" t="n">
        <v>138</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1277</v>
      </c>
      <c r="U717" s="17" t="n">
        <v>228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7" t="n">
        <v>1214</v>
      </c>
      <c r="U718" s="17" t="n">
        <v>126</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395</v>
      </c>
      <c r="U719" s="17" t="n">
        <v>124</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1269</v>
      </c>
      <c r="U720" s="17" t="n">
        <v>214</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7" t="n">
        <v>1193</v>
      </c>
      <c r="U721" s="17" t="n">
        <v>114</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7" t="n">
        <v>1069</v>
      </c>
      <c r="U722" s="17" t="n">
        <v>184</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1069</v>
      </c>
      <c r="U723" s="17" t="n">
        <v>184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7" t="n">
        <v>88</v>
      </c>
      <c r="U724" s="17" t="n">
        <v>10</v>
      </c>
      <c r="V724" s="17">
        <f>ROUNDUP((T724+U724+2*'Read Me'!$B$13)*(1+'Read Me'!$B$12),-1)</f>
        <v/>
      </c>
      <c r="W724" s="17">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7" t="n">
        <v>88</v>
      </c>
      <c r="U725" s="17" t="n">
        <v>84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7" t="n">
        <v>88</v>
      </c>
      <c r="U726" s="17" t="n">
        <v>10</v>
      </c>
      <c r="V726" s="17">
        <f>ROUNDUP((T726+U726+2*'Read Me'!$B$13)*(1+'Read Me'!$B$12),-1)</f>
        <v/>
      </c>
      <c r="W726" s="17">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7" t="n">
        <v>88</v>
      </c>
      <c r="U727" s="17" t="n">
        <v>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7" t="n">
        <v>68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7" t="n">
        <v>481</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7" t="n">
        <v>68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7" t="n">
        <v>481</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7" t="n">
        <v>479</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7" t="n">
        <v>479</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7" t="n">
        <v>481</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7" t="n">
        <v>481</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7" t="n">
        <v>45</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7" t="n">
        <v>277</v>
      </c>
      <c r="U765" s="17" t="n">
        <v>97</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7" t="n">
        <v>45</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277</v>
      </c>
      <c r="U767" s="17" t="n">
        <v>97</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273</v>
      </c>
      <c r="U769" s="17" t="n">
        <v>93</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273</v>
      </c>
      <c r="U771" s="17" t="n">
        <v>93</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277</v>
      </c>
      <c r="U773" s="17" t="n">
        <v>97</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277</v>
      </c>
      <c r="U775" s="17" t="n">
        <v>97</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7" t="n">
        <v>75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7" t="n">
        <v>258</v>
      </c>
      <c r="U777" s="17" t="n">
        <v>35</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7" t="n">
        <v>75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7" t="n">
        <v>258</v>
      </c>
      <c r="U779" s="17" t="n">
        <v>35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53</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67</v>
      </c>
      <c r="U781" s="17" t="n">
        <v>89</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7" t="n">
        <v>53</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67</v>
      </c>
      <c r="U783" s="17" t="n">
        <v>89</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7" t="n">
        <v>403</v>
      </c>
      <c r="U784" s="17" t="n">
        <v>119</v>
      </c>
      <c r="V784" s="17">
        <f>ROUNDUP((T784+U784+2*'Read Me'!$B$13)*(1+'Read Me'!$B$12),-1)</f>
        <v/>
      </c>
      <c r="W784" s="17">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7" t="n">
        <v>403</v>
      </c>
      <c r="U785" s="17" t="n">
        <v>119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7" t="n">
        <v>403</v>
      </c>
      <c r="U786" s="17" t="n">
        <v>119</v>
      </c>
      <c r="V786" s="17">
        <f>ROUNDUP((T786+U786+2*'Read Me'!$B$13)*(1+'Read Me'!$B$12),-1)</f>
        <v/>
      </c>
      <c r="W786" s="17">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7" t="n">
        <v>403</v>
      </c>
      <c r="U787" s="17" t="n">
        <v>119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7" t="n">
        <v>1277</v>
      </c>
      <c r="U794" s="17" t="n">
        <v>209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7" t="n">
        <v>1277</v>
      </c>
      <c r="U795" s="17" t="n">
        <v>209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1277</v>
      </c>
      <c r="U796" s="17" t="n">
        <v>209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1277</v>
      </c>
      <c r="U797" s="17" t="n">
        <v>209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7" t="n">
        <v>1214</v>
      </c>
      <c r="U804" s="17" t="n">
        <v>102</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7" t="n">
        <v>1214</v>
      </c>
      <c r="U805" s="17" t="n">
        <v>102</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7" t="n">
        <v>1214</v>
      </c>
      <c r="U806" s="17" t="n">
        <v>102</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7" t="n">
        <v>1214</v>
      </c>
      <c r="U807" s="17" t="n">
        <v>102</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7" t="n">
        <v>41</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366</v>
      </c>
      <c r="U815" s="17" t="n">
        <v>106</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7" t="n">
        <v>41</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366</v>
      </c>
      <c r="U817" s="17" t="n">
        <v>106</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1240</v>
      </c>
      <c r="U819" s="17" t="n">
        <v>196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1240</v>
      </c>
      <c r="U821" s="17" t="n">
        <v>196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7" t="n">
        <v>1260</v>
      </c>
      <c r="U823" s="17" t="n">
        <v>148</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7" t="n">
        <v>1260</v>
      </c>
      <c r="U825" s="17" t="n">
        <v>148</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7" t="n">
        <v>392</v>
      </c>
      <c r="U827" s="17" t="n">
        <v>96</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7" t="n">
        <v>392</v>
      </c>
      <c r="U829" s="17" t="n">
        <v>96</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140</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373</v>
      </c>
      <c r="U831" s="17" t="n">
        <v>106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140</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373</v>
      </c>
      <c r="U833" s="17" t="n">
        <v>106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1247</v>
      </c>
      <c r="U837" s="17" t="n">
        <v>196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1247</v>
      </c>
      <c r="U839" s="17" t="n">
        <v>196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7" t="n">
        <v>1193</v>
      </c>
      <c r="U843" s="17" t="n">
        <v>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7" t="n">
        <v>1193</v>
      </c>
      <c r="U845" s="17" t="n">
        <v>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7" t="n">
        <v>54</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7" t="n">
        <v>210</v>
      </c>
      <c r="U849" s="17" t="n">
        <v>104</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7" t="n">
        <v>54</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7" t="n">
        <v>210</v>
      </c>
      <c r="U851" s="17" t="n">
        <v>104</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1102</v>
      </c>
      <c r="U853" s="17" t="n">
        <v>198</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1102</v>
      </c>
      <c r="U855" s="17" t="n">
        <v>198</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908</v>
      </c>
      <c r="U857" s="17" t="n">
        <v>238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908</v>
      </c>
      <c r="U859" s="17" t="n">
        <v>238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7" t="n">
        <v>47</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373</v>
      </c>
      <c r="U861" s="17" t="n">
        <v>118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47</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1247</v>
      </c>
      <c r="U863" s="17" t="n">
        <v>208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7" t="n">
        <v>1193</v>
      </c>
      <c r="U865" s="17" t="n">
        <v>97</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111</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7" t="n">
        <v>70</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7" t="n">
        <v>220</v>
      </c>
      <c r="U869" s="17" t="n">
        <v>94</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7" t="n">
        <v>70</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7" t="n">
        <v>220</v>
      </c>
      <c r="U871" s="17" t="n">
        <v>94</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1124</v>
      </c>
      <c r="U873" s="17" t="n">
        <v>188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1124</v>
      </c>
      <c r="U875" s="17" t="n">
        <v>188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896</v>
      </c>
      <c r="U877" s="17" t="n">
        <v>212</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896</v>
      </c>
      <c r="U879" s="17" t="n">
        <v>212</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7" t="n">
        <v>55</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72</v>
      </c>
      <c r="U881" s="17" t="n">
        <v>139</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7" t="n">
        <v>55</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72</v>
      </c>
      <c r="U883" s="17" t="n">
        <v>139</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7" t="n">
        <v>63</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416</v>
      </c>
      <c r="U885" s="17" t="n">
        <v>181</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7" t="n">
        <v>63</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416</v>
      </c>
      <c r="U887" s="17" t="n">
        <v>181</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83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419</v>
      </c>
      <c r="U889" s="17" t="n">
        <v>179</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83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419</v>
      </c>
      <c r="U891" s="17" t="n">
        <v>179</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63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1290</v>
      </c>
      <c r="U893" s="17" t="n">
        <v>271</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63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1290</v>
      </c>
      <c r="U895" s="17" t="n">
        <v>271</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83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1423</v>
      </c>
      <c r="U897" s="17" t="n">
        <v>113</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83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7" t="n">
        <v>1423</v>
      </c>
      <c r="U899" s="17" t="n">
        <v>113</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63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1140</v>
      </c>
      <c r="U901" s="17" t="n">
        <v>110</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63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1140</v>
      </c>
      <c r="U903" s="17" t="n">
        <v>110</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83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1103</v>
      </c>
      <c r="U905" s="17" t="n">
        <v>113</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83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1103</v>
      </c>
      <c r="U907" s="17" t="n">
        <v>113</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63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463</v>
      </c>
      <c r="U909" s="17" t="n">
        <v>35</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63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463</v>
      </c>
      <c r="U911" s="17" t="n">
        <v>35</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89</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408</v>
      </c>
      <c r="U913" s="17" t="n">
        <v>32</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89</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408</v>
      </c>
      <c r="U915" s="17" t="n">
        <v>32</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7" t="n">
        <v>62</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7" t="n">
        <v>224</v>
      </c>
      <c r="U917" s="17" t="n">
        <v>119</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7" t="n">
        <v>62</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224</v>
      </c>
      <c r="U919" s="17" t="n">
        <v>119</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7" t="n">
        <v>132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359</v>
      </c>
      <c r="U925" s="17" t="n">
        <v>109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7" t="n">
        <v>132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7" t="n">
        <v>359</v>
      </c>
      <c r="U927" s="17" t="n">
        <v>109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7" t="n">
        <v>96</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154</v>
      </c>
      <c r="U929" s="17" t="n">
        <v>103</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7" t="n">
        <v>96</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7" t="n">
        <v>154</v>
      </c>
      <c r="U931" s="17" t="n">
        <v>103</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7" t="n">
        <v>154</v>
      </c>
      <c r="U954" s="17" t="n">
        <v>103</v>
      </c>
      <c r="V954" s="17">
        <f>ROUNDUP((T954+U954+2*'Read Me'!$B$13)*(1+'Read Me'!$B$12),-1)</f>
        <v/>
      </c>
      <c r="W954" s="17">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7" t="n">
        <v>62</v>
      </c>
      <c r="U955" s="17" t="n">
        <v>10</v>
      </c>
      <c r="V955" s="17">
        <f>ROUNDUP((T955+U955+2*'Read Me'!$B$13)*(1+'Read Me'!$B$12),-1)</f>
        <v/>
      </c>
      <c r="W955" s="17">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7" t="n">
        <v>1116</v>
      </c>
      <c r="U956" s="17" t="n">
        <v>213</v>
      </c>
      <c r="V956" s="17">
        <f>ROUNDUP((T956+U956+2*'Read Me'!$B$13)*(1+'Read Me'!$B$12),-1)</f>
        <v/>
      </c>
      <c r="W956" s="17">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7" t="n">
        <v>62</v>
      </c>
      <c r="U957" s="17" t="n">
        <v>10</v>
      </c>
      <c r="V957" s="17">
        <f>ROUNDUP((T957+U957+2*'Read Me'!$B$13)*(1+'Read Me'!$B$12),-1)</f>
        <v/>
      </c>
      <c r="W957" s="17">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7" t="n">
        <v>1116</v>
      </c>
      <c r="U958" s="17" t="n">
        <v>213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7" t="n">
        <v>132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1233</v>
      </c>
      <c r="U964" s="17" t="n">
        <v>199</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7" t="n">
        <v>132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7" t="n">
        <v>1233</v>
      </c>
      <c r="U966" s="17" t="n">
        <v>199</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7" t="n">
        <v>96</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1046</v>
      </c>
      <c r="U968" s="17" t="n">
        <v>197</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7" t="n">
        <v>96</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7" t="n">
        <v>1046</v>
      </c>
      <c r="U970" s="17" t="n">
        <v>197</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7" t="n">
        <v>1046</v>
      </c>
      <c r="U993" s="17" t="n">
        <v>197</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62</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926</v>
      </c>
      <c r="U995" s="17" t="n">
        <v>248</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62</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926</v>
      </c>
      <c r="U997" s="17" t="n">
        <v>248</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7" t="n">
        <v>132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7" t="n">
        <v>1135</v>
      </c>
      <c r="U1003" s="17" t="n">
        <v>96</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7" t="n">
        <v>132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7" t="n">
        <v>1135</v>
      </c>
      <c r="U1005" s="17" t="n">
        <v>96</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7" t="n">
        <v>96</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7" t="n">
        <v>986</v>
      </c>
      <c r="U1007" s="17" t="n">
        <v>249</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7" t="n">
        <v>96</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7" t="n">
        <v>986</v>
      </c>
      <c r="U1009" s="17" t="n">
        <v>249</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7" t="n">
        <v>986</v>
      </c>
      <c r="U1032" s="17" t="n">
        <v>249</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7" t="n">
        <v>70</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7" t="n">
        <v>367</v>
      </c>
      <c r="U1034" s="17" t="n">
        <v>127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7" t="n">
        <v>70</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7" t="n">
        <v>367</v>
      </c>
      <c r="U1036" s="17" t="n">
        <v>127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367</v>
      </c>
      <c r="U1043" s="17" t="n">
        <v>127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7" t="n">
        <v>70</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7" t="n">
        <v>1241</v>
      </c>
      <c r="U1045" s="17" t="n">
        <v>217</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7" t="n">
        <v>70</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7" t="n">
        <v>1241</v>
      </c>
      <c r="U1047" s="17" t="n">
        <v>217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7" t="n">
        <v>1241</v>
      </c>
      <c r="U1054" s="17" t="n">
        <v>217</v>
      </c>
      <c r="V1054" s="17">
        <f>ROUNDUP((T1054+U1054+2*'Read Me'!$B$13)*(1+'Read Me'!$B$12),-1)</f>
        <v/>
      </c>
      <c r="W1054" s="17">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7" t="n">
        <v>70</v>
      </c>
      <c r="U1055" s="17" t="n">
        <v>10</v>
      </c>
      <c r="V1055" s="17">
        <f>ROUNDUP((T1055+U1055+2*'Read Me'!$B$13)*(1+'Read Me'!$B$12),-1)</f>
        <v/>
      </c>
      <c r="W1055" s="17">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7" t="n">
        <v>1193</v>
      </c>
      <c r="U1056" s="17" t="n">
        <v>117</v>
      </c>
      <c r="V1056" s="17">
        <f>ROUNDUP((T1056+U1056+2*'Read Me'!$B$13)*(1+'Read Me'!$B$12),-1)</f>
        <v/>
      </c>
      <c r="W1056" s="17">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7" t="n">
        <v>70</v>
      </c>
      <c r="U1057" s="17" t="n">
        <v>10</v>
      </c>
      <c r="V1057" s="17">
        <f>ROUNDUP((T1057+U1057+2*'Read Me'!$B$13)*(1+'Read Me'!$B$12),-1)</f>
        <v/>
      </c>
      <c r="W1057" s="17">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7" t="n">
        <v>1193</v>
      </c>
      <c r="U1058" s="17" t="n">
        <v>117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7" t="n">
        <v>1193</v>
      </c>
      <c r="U1065" s="17" t="n">
        <v>117</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7" t="n">
        <v>180</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7" t="n">
        <v>0</v>
      </c>
      <c r="U1067" s="17" t="n">
        <v>87</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7" t="n">
        <v>180</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7" t="n">
        <v>0</v>
      </c>
      <c r="U1069" s="17" t="n">
        <v>87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7" t="n">
        <v>43</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7" t="n">
        <v>38</v>
      </c>
      <c r="U1099" s="17" t="n">
        <v>86</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7" t="n">
        <v>43</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7" t="n">
        <v>38</v>
      </c>
      <c r="U1101" s="17" t="n">
        <v>86</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7" t="n">
        <v>42</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404</v>
      </c>
      <c r="U1103" s="17" t="n">
        <v>108</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7" t="n">
        <v>42</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404</v>
      </c>
      <c r="U1105" s="17" t="n">
        <v>108</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7" t="n">
        <v>180</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53</v>
      </c>
      <c r="U1107" s="17" t="n">
        <v>96</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7" t="n">
        <v>180</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53</v>
      </c>
      <c r="U1109" s="17" t="n">
        <v>96</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7" t="n">
        <v>43</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38</v>
      </c>
      <c r="U1139" s="17" t="n">
        <v>86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7" t="n">
        <v>43</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7" t="n">
        <v>38</v>
      </c>
      <c r="U1141" s="17" t="n">
        <v>86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7" t="n">
        <v>42</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404</v>
      </c>
      <c r="U1143" s="17" t="n">
        <v>108</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7" t="n">
        <v>42</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404</v>
      </c>
      <c r="U1145" s="17" t="n">
        <v>108</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7" t="n">
        <v>180</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0</v>
      </c>
      <c r="U1149" s="17" t="n">
        <v>87</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7" t="n">
        <v>43</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38</v>
      </c>
      <c r="U1179" s="17" t="n">
        <v>86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7" t="n">
        <v>43</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38</v>
      </c>
      <c r="U1181" s="17" t="n">
        <v>86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7" t="n">
        <v>42</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404</v>
      </c>
      <c r="U1183" s="17" t="n">
        <v>108</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7" t="n">
        <v>42</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404</v>
      </c>
      <c r="U1185" s="17" t="n">
        <v>108</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41</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718</v>
      </c>
      <c r="U1187" s="17" t="n">
        <v>124</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7" t="n">
        <v>41</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718</v>
      </c>
      <c r="U1189" s="17" t="n">
        <v>124</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146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146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359</v>
      </c>
      <c r="U1195" s="17" t="n">
        <v>120</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359</v>
      </c>
      <c r="U1197" s="17" t="n">
        <v>120</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1233</v>
      </c>
      <c r="U1199" s="17" t="n">
        <v>210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1233</v>
      </c>
      <c r="U1201" s="17" t="n">
        <v>210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7" t="n">
        <v>1229</v>
      </c>
      <c r="U1203" s="17" t="n">
        <v>198</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7" t="n">
        <v>1229</v>
      </c>
      <c r="U1205" s="17" t="n">
        <v>198</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7" t="n">
        <v>392</v>
      </c>
      <c r="U1207" s="17" t="n">
        <v>105</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392</v>
      </c>
      <c r="U1209" s="17" t="n">
        <v>105</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7" t="n">
        <v>0</v>
      </c>
      <c r="U1210" s="17" t="n">
        <v>73</v>
      </c>
      <c r="V1210" s="17">
        <f>ROUNDUP((T1210+U1210+2*'Read Me'!$B$13)*(1+'Read Me'!$B$12),-1)</f>
        <v/>
      </c>
      <c r="W1210" s="17">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7" t="n">
        <v>0</v>
      </c>
      <c r="U1211" s="17" t="n">
        <v>109</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7" t="n">
        <v>667</v>
      </c>
      <c r="U1212" s="17" t="n">
        <v>144</v>
      </c>
      <c r="V1212" s="17">
        <f>ROUNDUP((T1212+U1212+2*'Read Me'!$B$13)*(1+'Read Me'!$B$12),-1)</f>
        <v/>
      </c>
      <c r="W1212" s="17">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7" t="n">
        <v>51</v>
      </c>
      <c r="U1213" s="17" t="n">
        <v>10</v>
      </c>
      <c r="V1213" s="17">
        <f>ROUNDUP((T1213+U1213+2*'Read Me'!$B$13)*(1+'Read Me'!$B$12),-1)</f>
        <v/>
      </c>
      <c r="W1213" s="17">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7" t="n">
        <v>404</v>
      </c>
      <c r="U1214" s="17" t="n">
        <v>72</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7" t="n">
        <v>51</v>
      </c>
      <c r="U1215" s="17" t="n">
        <v>10</v>
      </c>
      <c r="V1215" s="17">
        <f>ROUNDUP((T1215+U1215+2*'Read Me'!$B$13)*(1+'Read Me'!$B$12),-1)</f>
        <v/>
      </c>
      <c r="W1215" s="17">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7" t="n">
        <v>404</v>
      </c>
      <c r="U1216" s="17" t="n">
        <v>72</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7" t="n">
        <v>54</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359</v>
      </c>
      <c r="U1226" s="17" t="n">
        <v>147</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7" t="n">
        <v>54</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359</v>
      </c>
      <c r="U1228" s="17" t="n">
        <v>147</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1233</v>
      </c>
      <c r="U1230" s="17" t="n">
        <v>237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1233</v>
      </c>
      <c r="U1232" s="17" t="n">
        <v>237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987</v>
      </c>
      <c r="U1234" s="17" t="n">
        <v>184</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987</v>
      </c>
      <c r="U1236" s="17" t="n">
        <v>184</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7" t="n">
        <v>52</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7" t="n">
        <v>403</v>
      </c>
      <c r="U1238" s="17" t="n">
        <v>138</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7" t="n">
        <v>52</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7" t="n">
        <v>403</v>
      </c>
      <c r="U1240" s="17" t="n">
        <v>138</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1277</v>
      </c>
      <c r="U1242" s="17" t="n">
        <v>228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1277</v>
      </c>
      <c r="U1244" s="17" t="n">
        <v>228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7" t="n">
        <v>1214</v>
      </c>
      <c r="U1246" s="17" t="n">
        <v>126</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7" t="n">
        <v>1214</v>
      </c>
      <c r="U1248" s="17" t="n">
        <v>126</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7" t="n">
        <v>40</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7" t="n">
        <v>395</v>
      </c>
      <c r="U1250" s="17" t="n">
        <v>124</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7" t="n">
        <v>40</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7" t="n">
        <v>395</v>
      </c>
      <c r="U1252" s="17" t="n">
        <v>124</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1269</v>
      </c>
      <c r="U1254" s="17" t="n">
        <v>214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1269</v>
      </c>
      <c r="U1256" s="17" t="n">
        <v>214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7" t="n">
        <v>1193</v>
      </c>
      <c r="U1258" s="17" t="n">
        <v>114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7" t="n">
        <v>1193</v>
      </c>
      <c r="U1260" s="17" t="n">
        <v>114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7" t="n">
        <v>62</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7" t="n">
        <v>67</v>
      </c>
      <c r="U1262" s="17" t="n">
        <v>84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7" t="n">
        <v>62</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7" t="n">
        <v>67</v>
      </c>
      <c r="U1264" s="17" t="n">
        <v>84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119</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7" t="n">
        <v>12</v>
      </c>
      <c r="U1270" s="17" t="n">
        <v>50</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7" t="n">
        <v>119</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7" t="n">
        <v>12</v>
      </c>
      <c r="U1272" s="17" t="n">
        <v>50</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7" t="n">
        <v>12</v>
      </c>
      <c r="U1299" s="17" t="n">
        <v>50</v>
      </c>
      <c r="V1299" s="17">
        <f>ROUNDUP((T1299+U1299+2*'Read Me'!$B$13)*(1+'Read Me'!$B$12),-1)</f>
        <v/>
      </c>
      <c r="W1299" s="17">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7" t="n">
        <v>74</v>
      </c>
      <c r="U1300" s="17" t="n">
        <v>10</v>
      </c>
      <c r="V1300" s="17">
        <f>ROUNDUP((T1300+U1300+2*'Read Me'!$B$13)*(1+'Read Me'!$B$12),-1)</f>
        <v/>
      </c>
      <c r="W1300" s="17">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7" t="n">
        <v>517</v>
      </c>
      <c r="U1301" s="17" t="n">
        <v>35</v>
      </c>
      <c r="V1301" s="17">
        <f>ROUNDUP((T1301+U1301+2*'Read Me'!$B$13)*(1+'Read Me'!$B$12),-1)</f>
        <v/>
      </c>
      <c r="W1301" s="17">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7" t="n">
        <v>74</v>
      </c>
      <c r="U1302" s="17" t="n">
        <v>10</v>
      </c>
      <c r="V1302" s="17">
        <f>ROUNDUP((T1302+U1302+2*'Read Me'!$B$13)*(1+'Read Me'!$B$12),-1)</f>
        <v/>
      </c>
      <c r="W1302" s="17">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7" t="n">
        <v>517</v>
      </c>
      <c r="U1303" s="17" t="n">
        <v>35</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7" t="n">
        <v>517</v>
      </c>
      <c r="U1310" s="17" t="n">
        <v>35</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7" t="n">
        <v>75</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7" t="n">
        <v>258</v>
      </c>
      <c r="U1312" s="17" t="n">
        <v>32</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7" t="n">
        <v>75</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7" t="n">
        <v>258</v>
      </c>
      <c r="U1314" s="17" t="n">
        <v>32</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7" t="n">
        <v>41</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0</v>
      </c>
      <c r="U1318" s="17" t="n">
        <v>86</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7" t="n">
        <v>41</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0</v>
      </c>
      <c r="U1320" s="17" t="n">
        <v>86</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97</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97</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7" t="n">
        <v>0</v>
      </c>
      <c r="U1330" s="17" t="n">
        <v>71</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7" t="n">
        <v>0</v>
      </c>
      <c r="U1332" s="17" t="n">
        <v>71</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49</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730</v>
      </c>
      <c r="U1334" s="17" t="n">
        <v>124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49</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730</v>
      </c>
      <c r="U1336" s="17" t="n">
        <v>124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752</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752</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7" t="n">
        <v>178</v>
      </c>
      <c r="U1341" s="17" t="n">
        <v>94</v>
      </c>
      <c r="V1341" s="17">
        <f>ROUNDUP((T1341+U1341+2*'Read Me'!$B$13)*(1+'Read Me'!$B$12),-1)</f>
        <v/>
      </c>
      <c r="W1341" s="17">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7" t="n">
        <v>1069</v>
      </c>
      <c r="U1342" s="17" t="n">
        <v>184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7" t="n">
        <v>1024</v>
      </c>
      <c r="U1343" s="17" t="n">
        <v>240</v>
      </c>
      <c r="V1343" s="17">
        <f>ROUNDUP((T1343+U1343+2*'Read Me'!$B$13)*(1+'Read Me'!$B$12),-1)</f>
        <v/>
      </c>
      <c r="W1343" s="17">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7" t="n">
        <v>408</v>
      </c>
      <c r="U1344" s="17" t="n">
        <v>183</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7" t="n">
        <v>51</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7" t="n">
        <v>566</v>
      </c>
      <c r="U1346" s="17" t="n">
        <v>158</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7" t="n">
        <v>51</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7" t="n">
        <v>566</v>
      </c>
      <c r="U1348" s="17" t="n">
        <v>158</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1423</v>
      </c>
      <c r="U1350" s="17" t="n">
        <v>96</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1423</v>
      </c>
      <c r="U1352" s="17" t="n">
        <v>96</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1103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1103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7" t="n">
        <v>52</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7" t="n">
        <v>183</v>
      </c>
      <c r="U1358" s="17" t="n">
        <v>94</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7" t="n">
        <v>52</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7" t="n">
        <v>183</v>
      </c>
      <c r="U1360" s="17" t="n">
        <v>94</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1075</v>
      </c>
      <c r="U1362" s="17" t="n">
        <v>188</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1075</v>
      </c>
      <c r="U1364" s="17" t="n">
        <v>188</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1024</v>
      </c>
      <c r="U1366" s="17" t="n">
        <v>267</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1024</v>
      </c>
      <c r="U1368" s="17" t="n">
        <v>267</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7" t="n">
        <v>88</v>
      </c>
      <c r="U1369" s="17" t="n">
        <v>84</v>
      </c>
      <c r="V1369" s="17">
        <f>ROUNDUP((T1369+U1369+2*'Read Me'!$B$13)*(1+'Read Me'!$B$12),-1)</f>
        <v/>
      </c>
      <c r="W1369" s="17">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7" t="n">
        <v>88</v>
      </c>
      <c r="U1370" s="17" t="n">
        <v>84</v>
      </c>
      <c r="V1370" s="17">
        <f>ROUNDUP((T1370+U1370+2*'Read Me'!$B$13)*(1+'Read Me'!$B$12),-1)</f>
        <v/>
      </c>
      <c r="W1370" s="17">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7" t="n">
        <v>88</v>
      </c>
      <c r="U1371" s="17" t="n">
        <v>84</v>
      </c>
      <c r="V1371" s="17">
        <f>ROUNDUP((T1371+U1371+2*'Read Me'!$B$13)*(1+'Read Me'!$B$12),-1)</f>
        <v/>
      </c>
      <c r="W1371" s="17">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7" t="n">
        <v>481</v>
      </c>
      <c r="U1372" s="17" t="n">
        <v>84</v>
      </c>
      <c r="V1372" s="17">
        <f>ROUNDUP((T1372+U1372+2*'Read Me'!$B$13)*(1+'Read Me'!$B$12),-1)</f>
        <v/>
      </c>
      <c r="W1372" s="17">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7" t="n">
        <v>481</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7" t="n">
        <v>481</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7" t="n">
        <v>481</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479</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479</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479</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479</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481</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481</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481</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481</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7" t="n">
        <v>361</v>
      </c>
      <c r="U1384" s="17" t="n">
        <v>160</v>
      </c>
      <c r="V1384" s="17">
        <f>ROUNDUP((T1384+U1384+2*'Read Me'!$B$13)*(1+'Read Me'!$B$12),-1)</f>
        <v/>
      </c>
      <c r="W1384" s="17">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7" t="n">
        <v>277</v>
      </c>
      <c r="U1385" s="17" t="n">
        <v>97</v>
      </c>
      <c r="V1385" s="17">
        <f>ROUNDUP((T1385+U1385+2*'Read Me'!$B$13)*(1+'Read Me'!$B$12),-1)</f>
        <v/>
      </c>
      <c r="W1385" s="17">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7" t="n">
        <v>277</v>
      </c>
      <c r="U1386" s="17" t="n">
        <v>97</v>
      </c>
      <c r="V1386" s="17">
        <f>ROUNDUP((T1386+U1386+2*'Read Me'!$B$13)*(1+'Read Me'!$B$12),-1)</f>
        <v/>
      </c>
      <c r="W1386" s="17">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7" t="n">
        <v>273</v>
      </c>
      <c r="U1387" s="17" t="n">
        <v>93</v>
      </c>
      <c r="V1387" s="17">
        <f>ROUNDUP((T1387+U1387+2*'Read Me'!$B$13)*(1+'Read Me'!$B$12),-1)</f>
        <v/>
      </c>
      <c r="W1387" s="17">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7" t="n">
        <v>273</v>
      </c>
      <c r="U1388" s="17" t="n">
        <v>93</v>
      </c>
      <c r="V1388" s="17">
        <f>ROUNDUP((T1388+U1388+2*'Read Me'!$B$13)*(1+'Read Me'!$B$12),-1)</f>
        <v/>
      </c>
      <c r="W1388" s="17">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7" t="n">
        <v>258</v>
      </c>
      <c r="U1391" s="17" t="n">
        <v>35</v>
      </c>
      <c r="V1391" s="17">
        <f>ROUNDUP((T1391+U1391+2*'Read Me'!$B$13)*(1+'Read Me'!$B$12),-1)</f>
        <v/>
      </c>
      <c r="W1391" s="17">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7" t="n">
        <v>258</v>
      </c>
      <c r="U1392" s="17" t="n">
        <v>35</v>
      </c>
      <c r="V1392" s="17">
        <f>ROUNDUP((T1392+U1392+2*'Read Me'!$B$13)*(1+'Read Me'!$B$12),-1)</f>
        <v/>
      </c>
      <c r="W1392" s="17">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7" t="n">
        <v>258</v>
      </c>
      <c r="U1393" s="17" t="n">
        <v>35</v>
      </c>
      <c r="V1393" s="17">
        <f>ROUNDUP((T1393+U1393+2*'Read Me'!$B$13)*(1+'Read Me'!$B$12),-1)</f>
        <v/>
      </c>
      <c r="W1393" s="17">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7" t="n">
        <v>258</v>
      </c>
      <c r="U1394" s="17" t="n">
        <v>35</v>
      </c>
      <c r="V1394" s="17">
        <f>ROUNDUP((T1394+U1394+2*'Read Me'!$B$13)*(1+'Read Me'!$B$12),-1)</f>
        <v/>
      </c>
      <c r="W1394" s="17">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7" t="n">
        <v>1069</v>
      </c>
      <c r="U1397" s="17" t="n">
        <v>184</v>
      </c>
      <c r="V1397" s="17">
        <f>ROUNDUP((T1397+U1397+2*'Read Me'!$B$13)*(1+'Read Me'!$B$12),-1)</f>
        <v/>
      </c>
      <c r="W1397" s="17">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7" t="n">
        <v>67</v>
      </c>
      <c r="U1398" s="17" t="n">
        <v>89</v>
      </c>
      <c r="V1398" s="17">
        <f>ROUNDUP((T1398+U1398+2*'Read Me'!$B$13)*(1+'Read Me'!$B$12),-1)</f>
        <v/>
      </c>
      <c r="W1398" s="17">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7" t="n">
        <v>67</v>
      </c>
      <c r="U1399" s="17" t="n">
        <v>89</v>
      </c>
      <c r="V1399" s="17">
        <f>ROUNDUP((T1399+U1399+2*'Read Me'!$B$13)*(1+'Read Me'!$B$12),-1)</f>
        <v/>
      </c>
      <c r="W1399" s="17">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7" t="n">
        <v>907</v>
      </c>
      <c r="U1400" s="17" t="n">
        <v>98</v>
      </c>
      <c r="V1400" s="17">
        <f>ROUNDUP((T1400+U1400+2*'Read Me'!$B$13)*(1+'Read Me'!$B$12),-1)</f>
        <v/>
      </c>
      <c r="W1400" s="17">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7" t="n">
        <v>451</v>
      </c>
      <c r="U1401" s="17" t="n">
        <v>157</v>
      </c>
      <c r="V1401" s="17">
        <f>ROUNDUP((T1401+U1401+2*'Read Me'!$B$13)*(1+'Read Me'!$B$12),-1)</f>
        <v/>
      </c>
      <c r="W1401" s="17">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7" t="n">
        <v>451</v>
      </c>
      <c r="U1402" s="17" t="n">
        <v>157</v>
      </c>
      <c r="V1402" s="17">
        <f>ROUNDUP((T1402+U1402+2*'Read Me'!$B$13)*(1+'Read Me'!$B$12),-1)</f>
        <v/>
      </c>
      <c r="W1402" s="17">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7" t="n">
        <v>751</v>
      </c>
      <c r="U1403" s="17" t="n">
        <v>157</v>
      </c>
      <c r="V1403" s="17">
        <f>ROUNDUP((T1403+U1403+2*'Read Me'!$B$13)*(1+'Read Me'!$B$12),-1)</f>
        <v/>
      </c>
      <c r="W1403" s="17">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1071</v>
      </c>
      <c r="U1404" s="17" t="n">
        <v>110</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7" t="n">
        <v>631</v>
      </c>
      <c r="U1405" s="17" t="n">
        <v>137</v>
      </c>
      <c r="V1405" s="17">
        <f>ROUNDUP((T1405+U1405+2*'Read Me'!$B$13)*(1+'Read Me'!$B$12),-1)</f>
        <v/>
      </c>
      <c r="W1405" s="17">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7" t="n">
        <v>631</v>
      </c>
      <c r="U1406" s="17" t="n">
        <v>137</v>
      </c>
      <c r="V1406" s="17">
        <f>ROUNDUP((T1406+U1406+2*'Read Me'!$B$13)*(1+'Read Me'!$B$12),-1)</f>
        <v/>
      </c>
      <c r="W1406" s="17">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931</v>
      </c>
      <c r="U1407" s="17" t="n">
        <v>137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7" t="n">
        <v>1179</v>
      </c>
      <c r="U1408" s="17" t="n">
        <v>172</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799</v>
      </c>
      <c r="U1409" s="17" t="n">
        <v>145</v>
      </c>
      <c r="V1409" s="17">
        <f>ROUNDUP((T1409+U1409+2*'Read Me'!$B$13)*(1+'Read Me'!$B$12),-1)</f>
        <v/>
      </c>
      <c r="W1409" s="17">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799</v>
      </c>
      <c r="U1410" s="17" t="n">
        <v>145</v>
      </c>
      <c r="V1410" s="17">
        <f>ROUNDUP((T1410+U1410+2*'Read Me'!$B$13)*(1+'Read Me'!$B$12),-1)</f>
        <v/>
      </c>
      <c r="W1410" s="17">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1099</v>
      </c>
      <c r="U1411" s="17" t="n">
        <v>145</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7" t="n">
        <v>288</v>
      </c>
      <c r="U1412" s="17" t="n">
        <v>155</v>
      </c>
      <c r="V1412" s="17">
        <f>ROUNDUP((T1412+U1412+2*'Read Me'!$B$13)*(1+'Read Me'!$B$12),-1)</f>
        <v/>
      </c>
      <c r="W1412" s="17">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7" t="n">
        <v>468</v>
      </c>
      <c r="U1413" s="17" t="n">
        <v>135</v>
      </c>
      <c r="V1413" s="17">
        <f>ROUNDUP((T1413+U1413+2*'Read Me'!$B$13)*(1+'Read Me'!$B$12),-1)</f>
        <v/>
      </c>
      <c r="W1413" s="17">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7" t="n">
        <v>636</v>
      </c>
      <c r="U1414" s="17" t="n">
        <v>143</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7" t="n">
        <v>298</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7" t="n">
        <v>478</v>
      </c>
      <c r="U1416" s="17" t="n">
        <v>125</v>
      </c>
      <c r="V1416" s="17">
        <f>ROUNDUP((T1416+U1416+2*'Read Me'!$B$13)*(1+'Read Me'!$B$12),-1)</f>
        <v/>
      </c>
      <c r="W1416" s="17">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7" t="n">
        <v>646</v>
      </c>
      <c r="U1417" s="17" t="n">
        <v>133</v>
      </c>
      <c r="V1417" s="17">
        <f>ROUNDUP((T1417+U1417+2*'Read Me'!$B$13)*(1+'Read Me'!$B$12),-1)</f>
        <v/>
      </c>
      <c r="W1417" s="17">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7" t="n">
        <v>72</v>
      </c>
      <c r="U1418" s="17" t="n">
        <v>139</v>
      </c>
      <c r="V1418" s="17">
        <f>ROUNDUP((T1418+U1418+2*'Read Me'!$B$13)*(1+'Read Me'!$B$12),-1)</f>
        <v/>
      </c>
      <c r="W1418" s="17">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7" t="n">
        <v>72</v>
      </c>
      <c r="U1419" s="17" t="n">
        <v>139</v>
      </c>
      <c r="V1419" s="17">
        <f>ROUNDUP((T1419+U1419+2*'Read Me'!$B$13)*(1+'Read Me'!$B$12),-1)</f>
        <v/>
      </c>
      <c r="W1419" s="17">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7" t="n">
        <v>416</v>
      </c>
      <c r="U1420" s="17" t="n">
        <v>181</v>
      </c>
      <c r="V1420" s="17">
        <f>ROUNDUP((T1420+U1420+2*'Read Me'!$B$13)*(1+'Read Me'!$B$12),-1)</f>
        <v/>
      </c>
      <c r="W1420" s="17">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7" t="n">
        <v>416</v>
      </c>
      <c r="U1421" s="17" t="n">
        <v>181</v>
      </c>
      <c r="V1421" s="17">
        <f>ROUNDUP((T1421+U1421+2*'Read Me'!$B$13)*(1+'Read Me'!$B$12),-1)</f>
        <v/>
      </c>
      <c r="W1421" s="17">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7" t="n">
        <v>416</v>
      </c>
      <c r="U1422" s="17" t="n">
        <v>181</v>
      </c>
      <c r="V1422" s="17">
        <f>ROUNDUP((T1422+U1422+2*'Read Me'!$B$13)*(1+'Read Me'!$B$12),-1)</f>
        <v/>
      </c>
      <c r="W1422" s="17">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7" t="n">
        <v>416</v>
      </c>
      <c r="U1423" s="17" t="n">
        <v>181</v>
      </c>
      <c r="V1423" s="17">
        <f>ROUNDUP((T1423+U1423+2*'Read Me'!$B$13)*(1+'Read Me'!$B$12),-1)</f>
        <v/>
      </c>
      <c r="W1423" s="17">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419</v>
      </c>
      <c r="U1426" s="17" t="n">
        <v>179</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419</v>
      </c>
      <c r="U1427" s="17" t="n">
        <v>179</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419</v>
      </c>
      <c r="U1428" s="17" t="n">
        <v>179</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419</v>
      </c>
      <c r="U1429" s="17" t="n">
        <v>179</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1290</v>
      </c>
      <c r="U1432" s="17" t="n">
        <v>271</v>
      </c>
      <c r="V1432" s="17">
        <f>ROUNDUP((T1432+U1432+2*'Read Me'!$B$13)*(1+'Read Me'!$B$12),-1)</f>
        <v/>
      </c>
      <c r="W1432" s="17">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1290</v>
      </c>
      <c r="U1433" s="17" t="n">
        <v>271</v>
      </c>
      <c r="V1433" s="17">
        <f>ROUNDUP((T1433+U1433+2*'Read Me'!$B$13)*(1+'Read Me'!$B$12),-1)</f>
        <v/>
      </c>
      <c r="W1433" s="17">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1290</v>
      </c>
      <c r="U1434" s="17" t="n">
        <v>271</v>
      </c>
      <c r="V1434" s="17">
        <f>ROUNDUP((T1434+U1434+2*'Read Me'!$B$13)*(1+'Read Me'!$B$12),-1)</f>
        <v/>
      </c>
      <c r="W1434" s="17">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1290</v>
      </c>
      <c r="U1435" s="17" t="n">
        <v>271</v>
      </c>
      <c r="V1435" s="17">
        <f>ROUNDUP((T1435+U1435+2*'Read Me'!$B$13)*(1+'Read Me'!$B$12),-1)</f>
        <v/>
      </c>
      <c r="W1435" s="17">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7" t="n">
        <v>1423</v>
      </c>
      <c r="U1438" s="17" t="n">
        <v>113</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7" t="n">
        <v>1423</v>
      </c>
      <c r="U1439" s="17" t="n">
        <v>113</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7" t="n">
        <v>1423</v>
      </c>
      <c r="U1440" s="17" t="n">
        <v>113</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7" t="n">
        <v>1423</v>
      </c>
      <c r="U1441" s="17" t="n">
        <v>113</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1140</v>
      </c>
      <c r="U1444" s="17" t="n">
        <v>110</v>
      </c>
      <c r="V1444" s="17">
        <f>ROUNDUP((T1444+U1444+2*'Read Me'!$B$13)*(1+'Read Me'!$B$12),-1)</f>
        <v/>
      </c>
      <c r="W1444" s="17">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1140</v>
      </c>
      <c r="U1445" s="17" t="n">
        <v>110</v>
      </c>
      <c r="V1445" s="17">
        <f>ROUNDUP((T1445+U1445+2*'Read Me'!$B$13)*(1+'Read Me'!$B$12),-1)</f>
        <v/>
      </c>
      <c r="W1445" s="17">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1140</v>
      </c>
      <c r="U1446" s="17" t="n">
        <v>110</v>
      </c>
      <c r="V1446" s="17">
        <f>ROUNDUP((T1446+U1446+2*'Read Me'!$B$13)*(1+'Read Me'!$B$12),-1)</f>
        <v/>
      </c>
      <c r="W1446" s="17">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1140</v>
      </c>
      <c r="U1447" s="17" t="n">
        <v>110</v>
      </c>
      <c r="V1447" s="17">
        <f>ROUNDUP((T1447+U1447+2*'Read Me'!$B$13)*(1+'Read Me'!$B$12),-1)</f>
        <v/>
      </c>
      <c r="W1447" s="17">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1103</v>
      </c>
      <c r="U1450" s="17" t="n">
        <v>113</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1103</v>
      </c>
      <c r="U1451" s="17" t="n">
        <v>113</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1103</v>
      </c>
      <c r="U1452" s="17" t="n">
        <v>113</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1103</v>
      </c>
      <c r="U1453" s="17" t="n">
        <v>113</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463</v>
      </c>
      <c r="U1456" s="17" t="n">
        <v>35</v>
      </c>
      <c r="V1456" s="17">
        <f>ROUNDUP((T1456+U1456+2*'Read Me'!$B$13)*(1+'Read Me'!$B$12),-1)</f>
        <v/>
      </c>
      <c r="W1456" s="17">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463</v>
      </c>
      <c r="U1457" s="17" t="n">
        <v>35</v>
      </c>
      <c r="V1457" s="17">
        <f>ROUNDUP((T1457+U1457+2*'Read Me'!$B$13)*(1+'Read Me'!$B$12),-1)</f>
        <v/>
      </c>
      <c r="W1457" s="17">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463</v>
      </c>
      <c r="U1458" s="17" t="n">
        <v>35</v>
      </c>
      <c r="V1458" s="17">
        <f>ROUNDUP((T1458+U1458+2*'Read Me'!$B$13)*(1+'Read Me'!$B$12),-1)</f>
        <v/>
      </c>
      <c r="W1458" s="17">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463</v>
      </c>
      <c r="U1459" s="17" t="n">
        <v>35</v>
      </c>
      <c r="V1459" s="17">
        <f>ROUNDUP((T1459+U1459+2*'Read Me'!$B$13)*(1+'Read Me'!$B$12),-1)</f>
        <v/>
      </c>
      <c r="W1459" s="17">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408</v>
      </c>
      <c r="U1462" s="17" t="n">
        <v>32</v>
      </c>
      <c r="V1462" s="17">
        <f>ROUNDUP((T1462+U1462+2*'Read Me'!$B$13)*(1+'Read Me'!$B$12),-1)</f>
        <v/>
      </c>
      <c r="W1462" s="17">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408</v>
      </c>
      <c r="U1463" s="17" t="n">
        <v>32</v>
      </c>
      <c r="V1463" s="17">
        <f>ROUNDUP((T1463+U1463+2*'Read Me'!$B$13)*(1+'Read Me'!$B$12),-1)</f>
        <v/>
      </c>
      <c r="W1463" s="17">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408</v>
      </c>
      <c r="U1464" s="17" t="n">
        <v>32</v>
      </c>
      <c r="V1464" s="17">
        <f>ROUNDUP((T1464+U1464+2*'Read Me'!$B$13)*(1+'Read Me'!$B$12),-1)</f>
        <v/>
      </c>
      <c r="W1464" s="17">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408</v>
      </c>
      <c r="U1465" s="17" t="n">
        <v>32</v>
      </c>
      <c r="V1465" s="17">
        <f>ROUNDUP((T1465+U1465+2*'Read Me'!$B$13)*(1+'Read Me'!$B$12),-1)</f>
        <v/>
      </c>
      <c r="W1465" s="17">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7" t="n">
        <v>302</v>
      </c>
      <c r="U1468" s="17" t="n">
        <v>170</v>
      </c>
      <c r="V1468" s="17">
        <f>ROUNDUP((T1468+U1468+2*'Read Me'!$B$13)*(1+'Read Me'!$B$12),-1)</f>
        <v/>
      </c>
      <c r="W1468" s="17">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7" t="n">
        <v>302</v>
      </c>
      <c r="U1469" s="17" t="n">
        <v>170</v>
      </c>
      <c r="V1469" s="17">
        <f>ROUNDUP((T1469+U1469+2*'Read Me'!$B$13)*(1+'Read Me'!$B$12),-1)</f>
        <v/>
      </c>
      <c r="W1469" s="17">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7" t="n">
        <v>302</v>
      </c>
      <c r="U1470" s="17" t="n">
        <v>170</v>
      </c>
      <c r="V1470" s="17">
        <f>ROUNDUP((T1470+U1470+2*'Read Me'!$B$13)*(1+'Read Me'!$B$12),-1)</f>
        <v/>
      </c>
      <c r="W1470" s="17">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7" t="n">
        <v>302</v>
      </c>
      <c r="U1471" s="17" t="n">
        <v>170</v>
      </c>
      <c r="V1471" s="17">
        <f>ROUNDUP((T1471+U1471+2*'Read Me'!$B$13)*(1+'Read Me'!$B$12),-1)</f>
        <v/>
      </c>
      <c r="W1471" s="17">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7" t="n">
        <v>232</v>
      </c>
      <c r="U1480" s="17" t="n">
        <v>154</v>
      </c>
      <c r="V1480" s="17">
        <f>ROUNDUP((T1480+U1480+2*'Read Me'!$B$13)*(1+'Read Me'!$B$12),-1)</f>
        <v/>
      </c>
      <c r="W1480" s="17">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7" t="n">
        <v>232</v>
      </c>
      <c r="U1481" s="17" t="n">
        <v>154</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7" t="n">
        <v>232</v>
      </c>
      <c r="U1482" s="17" t="n">
        <v>154</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7" t="n">
        <v>232</v>
      </c>
      <c r="U1483" s="17" t="n">
        <v>154</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7" t="n">
        <v>482</v>
      </c>
      <c r="U1485" s="17" t="n">
        <v>150</v>
      </c>
      <c r="V1485" s="17">
        <f>ROUNDUP((T1485+U1485+2*'Read Me'!$B$13)*(1+'Read Me'!$B$12),-1)</f>
        <v/>
      </c>
      <c r="W1485" s="17">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7" t="n">
        <v>482</v>
      </c>
      <c r="U1486" s="17" t="n">
        <v>150</v>
      </c>
      <c r="V1486" s="17">
        <f>ROUNDUP((T1486+U1486+2*'Read Me'!$B$13)*(1+'Read Me'!$B$12),-1)</f>
        <v/>
      </c>
      <c r="W1486" s="17">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7" t="n">
        <v>482</v>
      </c>
      <c r="U1487" s="17" t="n">
        <v>150</v>
      </c>
      <c r="V1487" s="17">
        <f>ROUNDUP((T1487+U1487+2*'Read Me'!$B$13)*(1+'Read Me'!$B$12),-1)</f>
        <v/>
      </c>
      <c r="W1487" s="17">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7" t="n">
        <v>482</v>
      </c>
      <c r="U1488" s="17" t="n">
        <v>150</v>
      </c>
      <c r="V1488" s="17">
        <f>ROUNDUP((T1488+U1488+2*'Read Me'!$B$13)*(1+'Read Me'!$B$12),-1)</f>
        <v/>
      </c>
      <c r="W1488" s="17">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7" t="n">
        <v>412</v>
      </c>
      <c r="U1497" s="17" t="n">
        <v>134</v>
      </c>
      <c r="V1497" s="17">
        <f>ROUNDUP((T1497+U1497+2*'Read Me'!$B$13)*(1+'Read Me'!$B$12),-1)</f>
        <v/>
      </c>
      <c r="W1497" s="17">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7" t="n">
        <v>412</v>
      </c>
      <c r="U1498" s="17" t="n">
        <v>134</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7" t="n">
        <v>412</v>
      </c>
      <c r="U1499" s="17" t="n">
        <v>134</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7" t="n">
        <v>412</v>
      </c>
      <c r="U1500" s="17" t="n">
        <v>134</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7" t="n">
        <v>693</v>
      </c>
      <c r="U1502" s="17" t="n">
        <v>149</v>
      </c>
      <c r="V1502" s="17">
        <f>ROUNDUP((T1502+U1502+2*'Read Me'!$B$13)*(1+'Read Me'!$B$12),-1)</f>
        <v/>
      </c>
      <c r="W1502" s="17">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7" t="n">
        <v>693</v>
      </c>
      <c r="U1503" s="17" t="n">
        <v>149</v>
      </c>
      <c r="V1503" s="17">
        <f>ROUNDUP((T1503+U1503+2*'Read Me'!$B$13)*(1+'Read Me'!$B$12),-1)</f>
        <v/>
      </c>
      <c r="W1503" s="17">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7" t="n">
        <v>693</v>
      </c>
      <c r="U1504" s="17" t="n">
        <v>149</v>
      </c>
      <c r="V1504" s="17">
        <f>ROUNDUP((T1504+U1504+2*'Read Me'!$B$13)*(1+'Read Me'!$B$12),-1)</f>
        <v/>
      </c>
      <c r="W1504" s="17">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7" t="n">
        <v>693</v>
      </c>
      <c r="U1505" s="17" t="n">
        <v>149</v>
      </c>
      <c r="V1505" s="17">
        <f>ROUNDUP((T1505+U1505+2*'Read Me'!$B$13)*(1+'Read Me'!$B$12),-1)</f>
        <v/>
      </c>
      <c r="W1505" s="17">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7" t="n">
        <v>580</v>
      </c>
      <c r="U1514" s="17" t="n">
        <v>142</v>
      </c>
      <c r="V1514" s="17">
        <f>ROUNDUP((T1514+U1514+2*'Read Me'!$B$13)*(1+'Read Me'!$B$12),-1)</f>
        <v/>
      </c>
      <c r="W1514" s="17">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7" t="n">
        <v>580</v>
      </c>
      <c r="U1515" s="17" t="n">
        <v>142</v>
      </c>
      <c r="V1515" s="17">
        <f>ROUNDUP((T1515+U1515+2*'Read Me'!$B$13)*(1+'Read Me'!$B$12),-1)</f>
        <v/>
      </c>
      <c r="W1515" s="17">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7" t="n">
        <v>580</v>
      </c>
      <c r="U1516" s="17" t="n">
        <v>142</v>
      </c>
      <c r="V1516" s="17">
        <f>ROUNDUP((T1516+U1516+2*'Read Me'!$B$13)*(1+'Read Me'!$B$12),-1)</f>
        <v/>
      </c>
      <c r="W1516" s="17">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7" t="n">
        <v>580</v>
      </c>
      <c r="U1517" s="17" t="n">
        <v>142</v>
      </c>
      <c r="V1517" s="17">
        <f>ROUNDUP((T1517+U1517+2*'Read Me'!$B$13)*(1+'Read Me'!$B$12),-1)</f>
        <v/>
      </c>
      <c r="W1517" s="17">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7" t="n">
        <v>445</v>
      </c>
      <c r="U1519" s="17" t="n">
        <v>178</v>
      </c>
      <c r="V1519" s="17">
        <f>ROUNDUP((T1519+U1519+2*'Read Me'!$B$13)*(1+'Read Me'!$B$12),-1)</f>
        <v/>
      </c>
      <c r="W1519" s="17">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7" t="n">
        <v>445</v>
      </c>
      <c r="U1520" s="17" t="n">
        <v>178</v>
      </c>
      <c r="V1520" s="17">
        <f>ROUNDUP((T1520+U1520+2*'Read Me'!$B$13)*(1+'Read Me'!$B$12),-1)</f>
        <v/>
      </c>
      <c r="W1520" s="17">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7" t="n">
        <v>445</v>
      </c>
      <c r="U1521" s="17" t="n">
        <v>178</v>
      </c>
      <c r="V1521" s="17">
        <f>ROUNDUP((T1521+U1521+2*'Read Me'!$B$13)*(1+'Read Me'!$B$12),-1)</f>
        <v/>
      </c>
      <c r="W1521" s="17">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7" t="n">
        <v>445</v>
      </c>
      <c r="U1522" s="17" t="n">
        <v>178</v>
      </c>
      <c r="V1522" s="17">
        <f>ROUNDUP((T1522+U1522+2*'Read Me'!$B$13)*(1+'Read Me'!$B$12),-1)</f>
        <v/>
      </c>
      <c r="W1522" s="17">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625</v>
      </c>
      <c r="U1523" s="17" t="n">
        <v>158</v>
      </c>
      <c r="V1523" s="17">
        <f>ROUNDUP((T1523+U1523+2*'Read Me'!$B$13)*(1+'Read Me'!$B$12),-1)</f>
        <v/>
      </c>
      <c r="W1523" s="17">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625</v>
      </c>
      <c r="U1524" s="17" t="n">
        <v>158</v>
      </c>
      <c r="V1524" s="17">
        <f>ROUNDUP((T1524+U1524+2*'Read Me'!$B$13)*(1+'Read Me'!$B$12),-1)</f>
        <v/>
      </c>
      <c r="W1524" s="17">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625</v>
      </c>
      <c r="U1525" s="17" t="n">
        <v>158</v>
      </c>
      <c r="V1525" s="17">
        <f>ROUNDUP((T1525+U1525+2*'Read Me'!$B$13)*(1+'Read Me'!$B$12),-1)</f>
        <v/>
      </c>
      <c r="W1525" s="17">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625</v>
      </c>
      <c r="U1526" s="17" t="n">
        <v>158</v>
      </c>
      <c r="V1526" s="17">
        <f>ROUNDUP((T1526+U1526+2*'Read Me'!$B$13)*(1+'Read Me'!$B$12),-1)</f>
        <v/>
      </c>
      <c r="W1526" s="17">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793</v>
      </c>
      <c r="U1527" s="17" t="n">
        <v>166</v>
      </c>
      <c r="V1527" s="17">
        <f>ROUNDUP((T1527+U1527+2*'Read Me'!$B$13)*(1+'Read Me'!$B$12),-1)</f>
        <v/>
      </c>
      <c r="W1527" s="17">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793</v>
      </c>
      <c r="U1528" s="17" t="n">
        <v>166</v>
      </c>
      <c r="V1528" s="17">
        <f>ROUNDUP((T1528+U1528+2*'Read Me'!$B$13)*(1+'Read Me'!$B$12),-1)</f>
        <v/>
      </c>
      <c r="W1528" s="17">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793</v>
      </c>
      <c r="U1529" s="17" t="n">
        <v>166</v>
      </c>
      <c r="V1529" s="17">
        <f>ROUNDUP((T1529+U1529+2*'Read Me'!$B$13)*(1+'Read Me'!$B$12),-1)</f>
        <v/>
      </c>
      <c r="W1529" s="17">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793</v>
      </c>
      <c r="U1530" s="17" t="n">
        <v>166</v>
      </c>
      <c r="V1530" s="17">
        <f>ROUNDUP((T1530+U1530+2*'Read Me'!$B$13)*(1+'Read Me'!$B$12),-1)</f>
        <v/>
      </c>
      <c r="W1530" s="17">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7" t="n">
        <v>0</v>
      </c>
      <c r="U1531" s="17" t="n">
        <v>87</v>
      </c>
      <c r="V1531" s="17">
        <f>ROUNDUP((T1531+U1531+2*'Read Me'!$B$13)*(1+'Read Me'!$B$12),-1)</f>
        <v/>
      </c>
      <c r="W1531" s="17">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7" t="n">
        <v>0</v>
      </c>
      <c r="U1532" s="17" t="n">
        <v>87</v>
      </c>
      <c r="V1532" s="17">
        <f>ROUNDUP((T1532+U1532+2*'Read Me'!$B$13)*(1+'Read Me'!$B$12),-1)</f>
        <v/>
      </c>
      <c r="W1532" s="17">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7" t="n">
        <v>0</v>
      </c>
      <c r="U1533" s="17" t="n">
        <v>87</v>
      </c>
      <c r="V1533" s="17">
        <f>ROUNDUP((T1533+U1533+2*'Read Me'!$B$13)*(1+'Read Me'!$B$12),-1)</f>
        <v/>
      </c>
      <c r="W1533" s="17">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7" t="n">
        <v>0</v>
      </c>
      <c r="U1534" s="17" t="n">
        <v>87</v>
      </c>
      <c r="V1534" s="17">
        <f>ROUNDUP((T1534+U1534+2*'Read Me'!$B$13)*(1+'Read Me'!$B$12),-1)</f>
        <v/>
      </c>
      <c r="W1534" s="17">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7" t="n">
        <v>300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7" t="n">
        <v>300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7" t="n">
        <v>300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7" t="n">
        <v>300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7" t="n">
        <v>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7" t="n">
        <v>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7" t="n">
        <v>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7" t="n">
        <v>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7" t="n">
        <v>38</v>
      </c>
      <c r="U1588" s="17" t="n">
        <v>86</v>
      </c>
      <c r="V1588" s="17">
        <f>ROUNDUP((T1588+U1588+2*'Read Me'!$B$13)*(1+'Read Me'!$B$12),-1)</f>
        <v/>
      </c>
      <c r="W1588" s="17">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7" t="n">
        <v>38</v>
      </c>
      <c r="U1589" s="17" t="n">
        <v>86</v>
      </c>
      <c r="V1589" s="17">
        <f>ROUNDUP((T1589+U1589+2*'Read Me'!$B$13)*(1+'Read Me'!$B$12),-1)</f>
        <v/>
      </c>
      <c r="W1589" s="17">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7" t="n">
        <v>38</v>
      </c>
      <c r="U1590" s="17" t="n">
        <v>86</v>
      </c>
      <c r="V1590" s="17">
        <f>ROUNDUP((T1590+U1590+2*'Read Me'!$B$13)*(1+'Read Me'!$B$12),-1)</f>
        <v/>
      </c>
      <c r="W1590" s="17">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7" t="n">
        <v>38</v>
      </c>
      <c r="U1591" s="17" t="n">
        <v>86</v>
      </c>
      <c r="V1591" s="17">
        <f>ROUNDUP((T1591+U1591+2*'Read Me'!$B$13)*(1+'Read Me'!$B$12),-1)</f>
        <v/>
      </c>
      <c r="W1591" s="17">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7" t="n">
        <v>404</v>
      </c>
      <c r="U1593" s="17" t="n">
        <v>108</v>
      </c>
      <c r="V1593" s="17">
        <f>ROUNDUP((T1593+U1593+2*'Read Me'!$B$13)*(1+'Read Me'!$B$12),-1)</f>
        <v/>
      </c>
      <c r="W1593" s="17">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7" t="n">
        <v>404</v>
      </c>
      <c r="U1594" s="17" t="n">
        <v>108</v>
      </c>
      <c r="V1594" s="17">
        <f>ROUNDUP((T1594+U1594+2*'Read Me'!$B$13)*(1+'Read Me'!$B$12),-1)</f>
        <v/>
      </c>
      <c r="W1594" s="17">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7" t="n">
        <v>404</v>
      </c>
      <c r="U1595" s="17" t="n">
        <v>108</v>
      </c>
      <c r="V1595" s="17">
        <f>ROUNDUP((T1595+U1595+2*'Read Me'!$B$13)*(1+'Read Me'!$B$12),-1)</f>
        <v/>
      </c>
      <c r="W1595" s="17">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7" t="n">
        <v>404</v>
      </c>
      <c r="U1596" s="17" t="n">
        <v>108</v>
      </c>
      <c r="V1596" s="17">
        <f>ROUNDUP((T1596+U1596+2*'Read Me'!$B$13)*(1+'Read Me'!$B$12),-1)</f>
        <v/>
      </c>
      <c r="W1596" s="17">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7" t="n">
        <v>486</v>
      </c>
      <c r="U1599" s="17" t="n">
        <v>148</v>
      </c>
      <c r="V1599" s="17">
        <f>ROUNDUP((T1599+U1599+2*'Read Me'!$B$13)*(1+'Read Me'!$B$12),-1)</f>
        <v/>
      </c>
      <c r="W1599" s="17">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7" t="n">
        <v>53</v>
      </c>
      <c r="U1600" s="17" t="n">
        <v>96</v>
      </c>
      <c r="V1600" s="17">
        <f>ROUNDUP((T1600+U1600+2*'Read Me'!$B$13)*(1+'Read Me'!$B$12),-1)</f>
        <v/>
      </c>
      <c r="W1600" s="17">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7" t="n">
        <v>53</v>
      </c>
      <c r="U1601" s="17" t="n">
        <v>96</v>
      </c>
      <c r="V1601" s="17">
        <f>ROUNDUP((T1601+U1601+2*'Read Me'!$B$13)*(1+'Read Me'!$B$12),-1)</f>
        <v/>
      </c>
      <c r="W1601" s="17">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7" t="n">
        <v>53</v>
      </c>
      <c r="U1602" s="17" t="n">
        <v>96</v>
      </c>
      <c r="V1602" s="17">
        <f>ROUNDUP((T1602+U1602+2*'Read Me'!$B$13)*(1+'Read Me'!$B$12),-1)</f>
        <v/>
      </c>
      <c r="W1602" s="17">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7" t="n">
        <v>53</v>
      </c>
      <c r="U1603" s="17" t="n">
        <v>96</v>
      </c>
      <c r="V1603" s="17">
        <f>ROUNDUP((T1603+U1603+2*'Read Me'!$B$13)*(1+'Read Me'!$B$12),-1)</f>
        <v/>
      </c>
      <c r="W1603" s="17">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7" t="n">
        <v>353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7" t="n">
        <v>353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7" t="n">
        <v>353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7" t="n">
        <v>353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7" t="n">
        <v>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7" t="n">
        <v>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7" t="n">
        <v>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7" t="n">
        <v>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38</v>
      </c>
      <c r="U1657" s="17" t="n">
        <v>86</v>
      </c>
      <c r="V1657" s="17">
        <f>ROUNDUP((T1657+U1657+2*'Read Me'!$B$13)*(1+'Read Me'!$B$12),-1)</f>
        <v/>
      </c>
      <c r="W1657" s="17">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38</v>
      </c>
      <c r="U1658" s="17" t="n">
        <v>86</v>
      </c>
      <c r="V1658" s="17">
        <f>ROUNDUP((T1658+U1658+2*'Read Me'!$B$13)*(1+'Read Me'!$B$12),-1)</f>
        <v/>
      </c>
      <c r="W1658" s="17">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38</v>
      </c>
      <c r="U1659" s="17" t="n">
        <v>86</v>
      </c>
      <c r="V1659" s="17">
        <f>ROUNDUP((T1659+U1659+2*'Read Me'!$B$13)*(1+'Read Me'!$B$12),-1)</f>
        <v/>
      </c>
      <c r="W1659" s="17">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38</v>
      </c>
      <c r="U1660" s="17" t="n">
        <v>86</v>
      </c>
      <c r="V1660" s="17">
        <f>ROUNDUP((T1660+U1660+2*'Read Me'!$B$13)*(1+'Read Me'!$B$12),-1)</f>
        <v/>
      </c>
      <c r="W1660" s="17">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7" t="n">
        <v>404</v>
      </c>
      <c r="U1662" s="17" t="n">
        <v>108</v>
      </c>
      <c r="V1662" s="17">
        <f>ROUNDUP((T1662+U1662+2*'Read Me'!$B$13)*(1+'Read Me'!$B$12),-1)</f>
        <v/>
      </c>
      <c r="W1662" s="17">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7" t="n">
        <v>404</v>
      </c>
      <c r="U1663" s="17" t="n">
        <v>108</v>
      </c>
      <c r="V1663" s="17">
        <f>ROUNDUP((T1663+U1663+2*'Read Me'!$B$13)*(1+'Read Me'!$B$12),-1)</f>
        <v/>
      </c>
      <c r="W1663" s="17">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7" t="n">
        <v>404</v>
      </c>
      <c r="U1664" s="17" t="n">
        <v>108</v>
      </c>
      <c r="V1664" s="17">
        <f>ROUNDUP((T1664+U1664+2*'Read Me'!$B$13)*(1+'Read Me'!$B$12),-1)</f>
        <v/>
      </c>
      <c r="W1664" s="17">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7" t="n">
        <v>404</v>
      </c>
      <c r="U1665" s="17" t="n">
        <v>108</v>
      </c>
      <c r="V1665" s="17">
        <f>ROUNDUP((T1665+U1665+2*'Read Me'!$B$13)*(1+'Read Me'!$B$12),-1)</f>
        <v/>
      </c>
      <c r="W1665" s="17">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7" t="n">
        <v>573</v>
      </c>
      <c r="U1668" s="17" t="n">
        <v>135</v>
      </c>
      <c r="V1668" s="17">
        <f>ROUNDUP((T1668+U1668+2*'Read Me'!$B$13)*(1+'Read Me'!$B$12),-1)</f>
        <v/>
      </c>
      <c r="W1668" s="17">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7" t="n">
        <v>0</v>
      </c>
      <c r="U1669" s="17" t="n">
        <v>87</v>
      </c>
      <c r="V1669" s="17">
        <f>ROUNDUP((T1669+U1669+2*'Read Me'!$B$13)*(1+'Read Me'!$B$12),-1)</f>
        <v/>
      </c>
      <c r="W1669" s="17">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7" t="n">
        <v>0</v>
      </c>
      <c r="U1670" s="17" t="n">
        <v>87</v>
      </c>
      <c r="V1670" s="17">
        <f>ROUNDUP((T1670+U1670+2*'Read Me'!$B$13)*(1+'Read Me'!$B$12),-1)</f>
        <v/>
      </c>
      <c r="W1670" s="17">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7" t="n">
        <v>0</v>
      </c>
      <c r="U1671" s="17" t="n">
        <v>87</v>
      </c>
      <c r="V1671" s="17">
        <f>ROUNDUP((T1671+U1671+2*'Read Me'!$B$13)*(1+'Read Me'!$B$12),-1)</f>
        <v/>
      </c>
      <c r="W1671" s="17">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7" t="n">
        <v>0</v>
      </c>
      <c r="U1672" s="17" t="n">
        <v>87</v>
      </c>
      <c r="V1672" s="17">
        <f>ROUNDUP((T1672+U1672+2*'Read Me'!$B$13)*(1+'Read Me'!$B$12),-1)</f>
        <v/>
      </c>
      <c r="W1672" s="17">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7" t="n">
        <v>300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7" t="n">
        <v>300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7" t="n">
        <v>300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7" t="n">
        <v>300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7" t="n">
        <v>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7" t="n">
        <v>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7" t="n">
        <v>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7" t="n">
        <v>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38</v>
      </c>
      <c r="U1726" s="17" t="n">
        <v>86</v>
      </c>
      <c r="V1726" s="17">
        <f>ROUNDUP((T1726+U1726+2*'Read Me'!$B$13)*(1+'Read Me'!$B$12),-1)</f>
        <v/>
      </c>
      <c r="W1726" s="17">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38</v>
      </c>
      <c r="U1727" s="17" t="n">
        <v>86</v>
      </c>
      <c r="V1727" s="17">
        <f>ROUNDUP((T1727+U1727+2*'Read Me'!$B$13)*(1+'Read Me'!$B$12),-1)</f>
        <v/>
      </c>
      <c r="W1727" s="17">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38</v>
      </c>
      <c r="U1728" s="17" t="n">
        <v>86</v>
      </c>
      <c r="V1728" s="17">
        <f>ROUNDUP((T1728+U1728+2*'Read Me'!$B$13)*(1+'Read Me'!$B$12),-1)</f>
        <v/>
      </c>
      <c r="W1728" s="17">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38</v>
      </c>
      <c r="U1729" s="17" t="n">
        <v>86</v>
      </c>
      <c r="V1729" s="17">
        <f>ROUNDUP((T1729+U1729+2*'Read Me'!$B$13)*(1+'Read Me'!$B$12),-1)</f>
        <v/>
      </c>
      <c r="W1729" s="17">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7" t="n">
        <v>404</v>
      </c>
      <c r="U1731" s="17" t="n">
        <v>108</v>
      </c>
      <c r="V1731" s="17">
        <f>ROUNDUP((T1731+U1731+2*'Read Me'!$B$13)*(1+'Read Me'!$B$12),-1)</f>
        <v/>
      </c>
      <c r="W1731" s="17">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7" t="n">
        <v>404</v>
      </c>
      <c r="U1732" s="17" t="n">
        <v>108</v>
      </c>
      <c r="V1732" s="17">
        <f>ROUNDUP((T1732+U1732+2*'Read Me'!$B$13)*(1+'Read Me'!$B$12),-1)</f>
        <v/>
      </c>
      <c r="W1732" s="17">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7" t="n">
        <v>404</v>
      </c>
      <c r="U1733" s="17" t="n">
        <v>108</v>
      </c>
      <c r="V1733" s="17">
        <f>ROUNDUP((T1733+U1733+2*'Read Me'!$B$13)*(1+'Read Me'!$B$12),-1)</f>
        <v/>
      </c>
      <c r="W1733" s="17">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7" t="n">
        <v>404</v>
      </c>
      <c r="U1734" s="17" t="n">
        <v>108</v>
      </c>
      <c r="V1734" s="17">
        <f>ROUNDUP((T1734+U1734+2*'Read Me'!$B$13)*(1+'Read Me'!$B$12),-1)</f>
        <v/>
      </c>
      <c r="W1734" s="17">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7" t="n">
        <v>486</v>
      </c>
      <c r="U1737" s="17" t="n">
        <v>148</v>
      </c>
      <c r="V1737" s="17">
        <f>ROUNDUP((T1737+U1737+2*'Read Me'!$B$13)*(1+'Read Me'!$B$12),-1)</f>
        <v/>
      </c>
      <c r="W1737" s="17">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7" t="n">
        <v>208</v>
      </c>
      <c r="U1738" s="17" t="n">
        <v>135</v>
      </c>
      <c r="V1738" s="17">
        <f>ROUNDUP((T1738+U1738+2*'Read Me'!$B$13)*(1+'Read Me'!$B$12),-1)</f>
        <v/>
      </c>
      <c r="W1738" s="17">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7" t="n">
        <v>180</v>
      </c>
      <c r="U1739" s="17" t="n">
        <v>20</v>
      </c>
      <c r="V1739" s="17">
        <f>ROUNDUP((T1739+U1739+2*'Read Me'!$B$13)*(1+'Read Me'!$B$12),-1)</f>
        <v/>
      </c>
      <c r="W1739" s="17">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7" t="n">
        <v>180</v>
      </c>
      <c r="U1740" s="17" t="n">
        <v>20</v>
      </c>
      <c r="V1740" s="17">
        <f>ROUNDUP((T1740+U1740+2*'Read Me'!$B$13)*(1+'Read Me'!$B$12),-1)</f>
        <v/>
      </c>
      <c r="W1740" s="17">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7" t="n">
        <v>180</v>
      </c>
      <c r="U1741" s="17" t="n">
        <v>20</v>
      </c>
      <c r="V1741" s="17">
        <f>ROUNDUP((T1741+U1741+2*'Read Me'!$B$13)*(1+'Read Me'!$B$12),-1)</f>
        <v/>
      </c>
      <c r="W1741" s="17">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7" t="n">
        <v>180</v>
      </c>
      <c r="U1742" s="17" t="n">
        <v>20</v>
      </c>
      <c r="V1742" s="17">
        <f>ROUNDUP((T1742+U1742+2*'Read Me'!$B$13)*(1+'Read Me'!$B$12),-1)</f>
        <v/>
      </c>
      <c r="W1742" s="17">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7" t="n">
        <v>51</v>
      </c>
      <c r="U1763" s="17" t="n">
        <v>41</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7" t="n">
        <v>51</v>
      </c>
      <c r="U1764" s="17" t="n">
        <v>41</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7" t="n">
        <v>51</v>
      </c>
      <c r="U1765" s="17" t="n">
        <v>41</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7" t="n">
        <v>51</v>
      </c>
      <c r="U1766" s="17" t="n">
        <v>41</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63</v>
      </c>
      <c r="V1769" s="17">
        <f>ROUNDUP((T1769+U1769+2*'Read Me'!$B$13)*(1+'Read Me'!$B$12),-1)</f>
        <v/>
      </c>
      <c r="W1769" s="17">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63</v>
      </c>
      <c r="V1770" s="17">
        <f>ROUNDUP((T1770+U1770+2*'Read Me'!$B$13)*(1+'Read Me'!$B$12),-1)</f>
        <v/>
      </c>
      <c r="W1770" s="17">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63</v>
      </c>
      <c r="V1771" s="17">
        <f>ROUNDUP((T1771+U1771+2*'Read Me'!$B$13)*(1+'Read Me'!$B$12),-1)</f>
        <v/>
      </c>
      <c r="W1771" s="17">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63</v>
      </c>
      <c r="V1772" s="17">
        <f>ROUNDUP((T1772+U1772+2*'Read Me'!$B$13)*(1+'Read Me'!$B$12),-1)</f>
        <v/>
      </c>
      <c r="W1772" s="17">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7" t="n">
        <v>890</v>
      </c>
      <c r="U1775" s="17" t="n">
        <v>194</v>
      </c>
      <c r="V1775" s="17">
        <f>ROUNDUP((T1775+U1775+2*'Read Me'!$B$13)*(1+'Read Me'!$B$12),-1)</f>
        <v/>
      </c>
      <c r="W1775" s="17">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7" t="n">
        <v>972</v>
      </c>
      <c r="U1776" s="17" t="n">
        <v>192</v>
      </c>
      <c r="V1776" s="17">
        <f>ROUNDUP((T1776+U1776+2*'Read Me'!$B$13)*(1+'Read Me'!$B$12),-1)</f>
        <v/>
      </c>
      <c r="W1776" s="17">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7" t="n">
        <v>0</v>
      </c>
      <c r="U1777" s="17" t="n">
        <v>70</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7" t="n">
        <v>627</v>
      </c>
      <c r="U1778" s="17" t="n">
        <v>152</v>
      </c>
      <c r="V1778" s="17">
        <f>ROUNDUP((T1778+U1778+2*'Read Me'!$B$13)*(1+'Read Me'!$B$12),-1)</f>
        <v/>
      </c>
      <c r="W1778" s="17">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7" t="n">
        <v>0</v>
      </c>
      <c r="U1779" s="17" t="n">
        <v>72</v>
      </c>
      <c r="V1779" s="17">
        <f>ROUNDUP((T1779+U1779+2*'Read Me'!$B$13)*(1+'Read Me'!$B$12),-1)</f>
        <v/>
      </c>
      <c r="W1779" s="17">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7" t="n">
        <v>0</v>
      </c>
      <c r="U1780" s="17" t="n">
        <v>72</v>
      </c>
      <c r="V1780" s="17">
        <f>ROUNDUP((T1780+U1780+2*'Read Me'!$B$13)*(1+'Read Me'!$B$12),-1)</f>
        <v/>
      </c>
      <c r="W1780" s="17">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7" t="n">
        <v>0</v>
      </c>
      <c r="U1781" s="17" t="n">
        <v>72</v>
      </c>
      <c r="V1781" s="17">
        <f>ROUNDUP((T1781+U1781+2*'Read Me'!$B$13)*(1+'Read Me'!$B$12),-1)</f>
        <v/>
      </c>
      <c r="W1781" s="17">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7" t="n">
        <v>0</v>
      </c>
      <c r="U1782" s="17" t="n">
        <v>32</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7" t="n">
        <v>404</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7" t="n">
        <v>404</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7" t="n">
        <v>404</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7" t="n">
        <v>404</v>
      </c>
      <c r="U1786" s="17" t="n">
        <v>72</v>
      </c>
      <c r="V1786" s="17">
        <f>ROUNDUP((T1786+U1786+2*'Read Me'!$B$13)*(1+'Read Me'!$B$12),-1)</f>
        <v/>
      </c>
      <c r="W1786" s="17">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7" t="n">
        <v>481</v>
      </c>
      <c r="U1789" s="17" t="n">
        <v>189</v>
      </c>
      <c r="V1789" s="17">
        <f>ROUNDUP((T1789+U1789+2*'Read Me'!$B$13)*(1+'Read Me'!$B$12),-1)</f>
        <v/>
      </c>
      <c r="W1789" s="17">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7" t="n">
        <v>481</v>
      </c>
      <c r="U1790" s="17" t="n">
        <v>189</v>
      </c>
      <c r="V1790" s="17">
        <f>ROUNDUP((T1790+U1790+2*'Read Me'!$B$13)*(1+'Read Me'!$B$12),-1)</f>
        <v/>
      </c>
      <c r="W1790" s="17">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7" t="n">
        <v>481</v>
      </c>
      <c r="U1791" s="17" t="n">
        <v>189</v>
      </c>
      <c r="V1791" s="17">
        <f>ROUNDUP((T1791+U1791+2*'Read Me'!$B$13)*(1+'Read Me'!$B$12),-1)</f>
        <v/>
      </c>
      <c r="W1791" s="17">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7" t="n">
        <v>661</v>
      </c>
      <c r="U1792" s="17" t="n">
        <v>169</v>
      </c>
      <c r="V1792" s="17">
        <f>ROUNDUP((T1792+U1792+2*'Read Me'!$B$13)*(1+'Read Me'!$B$12),-1)</f>
        <v/>
      </c>
      <c r="W1792" s="17">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7" t="n">
        <v>661</v>
      </c>
      <c r="U1793" s="17" t="n">
        <v>169</v>
      </c>
      <c r="V1793" s="17">
        <f>ROUNDUP((T1793+U1793+2*'Read Me'!$B$13)*(1+'Read Me'!$B$12),-1)</f>
        <v/>
      </c>
      <c r="W1793" s="17">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7" t="n">
        <v>661</v>
      </c>
      <c r="U1794" s="17" t="n">
        <v>169</v>
      </c>
      <c r="V1794" s="17">
        <f>ROUNDUP((T1794+U1794+2*'Read Me'!$B$13)*(1+'Read Me'!$B$12),-1)</f>
        <v/>
      </c>
      <c r="W1794" s="17">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7" t="n">
        <v>829</v>
      </c>
      <c r="U1795" s="17" t="n">
        <v>177</v>
      </c>
      <c r="V1795" s="17">
        <f>ROUNDUP((T1795+U1795+2*'Read Me'!$B$13)*(1+'Read Me'!$B$12),-1)</f>
        <v/>
      </c>
      <c r="W1795" s="17">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829</v>
      </c>
      <c r="U1796" s="17" t="n">
        <v>177</v>
      </c>
      <c r="V1796" s="17">
        <f>ROUNDUP((T1796+U1796+2*'Read Me'!$B$13)*(1+'Read Me'!$B$12),-1)</f>
        <v/>
      </c>
      <c r="W1796" s="17">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829</v>
      </c>
      <c r="U1797" s="17" t="n">
        <v>177</v>
      </c>
      <c r="V1797" s="17">
        <f>ROUNDUP((T1797+U1797+2*'Read Me'!$B$13)*(1+'Read Me'!$B$12),-1)</f>
        <v/>
      </c>
      <c r="W1797" s="17">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7" t="n">
        <v>67</v>
      </c>
      <c r="U1798" s="17" t="n">
        <v>84</v>
      </c>
      <c r="V1798" s="17">
        <f>ROUNDUP((T1798+U1798+2*'Read Me'!$B$13)*(1+'Read Me'!$B$12),-1)</f>
        <v/>
      </c>
      <c r="W1798" s="17">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7" t="n">
        <v>67</v>
      </c>
      <c r="U1799" s="17" t="n">
        <v>84</v>
      </c>
      <c r="V1799" s="17">
        <f>ROUNDUP((T1799+U1799+2*'Read Me'!$B$13)*(1+'Read Me'!$B$12),-1)</f>
        <v/>
      </c>
      <c r="W1799" s="17">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7" t="n">
        <v>67</v>
      </c>
      <c r="U1800" s="17" t="n">
        <v>84</v>
      </c>
      <c r="V1800" s="17">
        <f>ROUNDUP((T1800+U1800+2*'Read Me'!$B$13)*(1+'Read Me'!$B$12),-1)</f>
        <v/>
      </c>
      <c r="W1800" s="17">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7" t="n">
        <v>67</v>
      </c>
      <c r="U1801" s="17" t="n">
        <v>84</v>
      </c>
      <c r="V1801" s="17">
        <f>ROUNDUP((T1801+U1801+2*'Read Me'!$B$13)*(1+'Read Me'!$B$12),-1)</f>
        <v/>
      </c>
      <c r="W1801" s="17">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7" t="n">
        <v>12</v>
      </c>
      <c r="U1808" s="17" t="n">
        <v>50</v>
      </c>
      <c r="V1808" s="17">
        <f>ROUNDUP((T1808+U1808+2*'Read Me'!$B$13)*(1+'Read Me'!$B$12),-1)</f>
        <v/>
      </c>
      <c r="W1808" s="17">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7" t="n">
        <v>12</v>
      </c>
      <c r="U1809" s="17" t="n">
        <v>50</v>
      </c>
      <c r="V1809" s="17">
        <f>ROUNDUP((T1809+U1809+2*'Read Me'!$B$13)*(1+'Read Me'!$B$12),-1)</f>
        <v/>
      </c>
      <c r="W1809" s="17">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7" t="n">
        <v>12</v>
      </c>
      <c r="U1810" s="17" t="n">
        <v>50</v>
      </c>
      <c r="V1810" s="17">
        <f>ROUNDUP((T1810+U1810+2*'Read Me'!$B$13)*(1+'Read Me'!$B$12),-1)</f>
        <v/>
      </c>
      <c r="W1810" s="17">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7" t="n">
        <v>12</v>
      </c>
      <c r="U1811" s="17" t="n">
        <v>50</v>
      </c>
      <c r="V1811" s="17">
        <f>ROUNDUP((T1811+U1811+2*'Read Me'!$B$13)*(1+'Read Me'!$B$12),-1)</f>
        <v/>
      </c>
      <c r="W1811" s="17">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7" t="n">
        <v>517</v>
      </c>
      <c r="U1833" s="17" t="n">
        <v>35</v>
      </c>
      <c r="V1833" s="17">
        <f>ROUNDUP((T1833+U1833+2*'Read Me'!$B$13)*(1+'Read Me'!$B$12),-1)</f>
        <v/>
      </c>
      <c r="W1833" s="17">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7" t="n">
        <v>517</v>
      </c>
      <c r="U1834" s="17" t="n">
        <v>35</v>
      </c>
      <c r="V1834" s="17">
        <f>ROUNDUP((T1834+U1834+2*'Read Me'!$B$13)*(1+'Read Me'!$B$12),-1)</f>
        <v/>
      </c>
      <c r="W1834" s="17">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7" t="n">
        <v>517</v>
      </c>
      <c r="U1835" s="17" t="n">
        <v>35</v>
      </c>
      <c r="V1835" s="17">
        <f>ROUNDUP((T1835+U1835+2*'Read Me'!$B$13)*(1+'Read Me'!$B$12),-1)</f>
        <v/>
      </c>
      <c r="W1835" s="17">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7" t="n">
        <v>517</v>
      </c>
      <c r="U1836" s="17" t="n">
        <v>35</v>
      </c>
      <c r="V1836" s="17">
        <f>ROUNDUP((T1836+U1836+2*'Read Me'!$B$13)*(1+'Read Me'!$B$12),-1)</f>
        <v/>
      </c>
      <c r="W1836" s="17">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7" t="n">
        <v>258</v>
      </c>
      <c r="U1837" s="17" t="n">
        <v>32</v>
      </c>
      <c r="V1837" s="17">
        <f>ROUNDUP((T1837+U1837+2*'Read Me'!$B$13)*(1+'Read Me'!$B$12),-1)</f>
        <v/>
      </c>
      <c r="W1837" s="17">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7" t="n">
        <v>0</v>
      </c>
      <c r="U1838" s="17" t="n">
        <v>86</v>
      </c>
      <c r="V1838" s="17">
        <f>ROUNDUP((T1838+U1838+2*'Read Me'!$B$13)*(1+'Read Me'!$B$12),-1)</f>
        <v/>
      </c>
      <c r="W1838" s="17">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7" t="n">
        <v>0</v>
      </c>
      <c r="U1839" s="17" t="n">
        <v>86</v>
      </c>
      <c r="V1839" s="17">
        <f>ROUNDUP((T1839+U1839+2*'Read Me'!$B$13)*(1+'Read Me'!$B$12),-1)</f>
        <v/>
      </c>
      <c r="W1839" s="17">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7" t="n">
        <v>0</v>
      </c>
      <c r="U1840" s="17" t="n">
        <v>86</v>
      </c>
      <c r="V1840" s="17">
        <f>ROUNDUP((T1840+U1840+2*'Read Me'!$B$13)*(1+'Read Me'!$B$12),-1)</f>
        <v/>
      </c>
      <c r="W1840" s="17">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7" t="n">
        <v>0</v>
      </c>
      <c r="U1841" s="17" t="n">
        <v>86</v>
      </c>
      <c r="V1841" s="17">
        <f>ROUNDUP((T1841+U1841+2*'Read Me'!$B$13)*(1+'Read Me'!$B$12),-1)</f>
        <v/>
      </c>
      <c r="W1841" s="17">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97</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97</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97</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97</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0</v>
      </c>
      <c r="U1856" s="17" t="n">
        <v>71</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0</v>
      </c>
      <c r="U1857" s="17" t="n">
        <v>71</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0</v>
      </c>
      <c r="U1858" s="17" t="n">
        <v>71</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7" t="n">
        <v>0</v>
      </c>
      <c r="U1859" s="17" t="n">
        <v>71</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63</v>
      </c>
      <c r="U1862" s="17" t="n">
        <v>41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63</v>
      </c>
      <c r="U1863" s="17" t="n">
        <v>41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63</v>
      </c>
      <c r="U1864" s="17" t="n">
        <v>41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63</v>
      </c>
      <c r="U1865" s="17" t="n">
        <v>41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85</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85</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85</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85</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7" t="n">
        <v>256</v>
      </c>
      <c r="U1874" s="17" t="n">
        <v>145</v>
      </c>
      <c r="V1874" s="17">
        <f>ROUNDUP((T1874+U1874+2*'Read Me'!$B$13)*(1+'Read Me'!$B$12),-1)</f>
        <v/>
      </c>
      <c r="W1874" s="17">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7" t="n">
        <v>436</v>
      </c>
      <c r="U1875" s="17" t="n">
        <v>125</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7" t="n">
        <v>604</v>
      </c>
      <c r="U1876" s="17" t="n">
        <v>133</v>
      </c>
      <c r="V1876" s="17">
        <f>ROUNDUP((T1876+U1876+2*'Read Me'!$B$13)*(1+'Read Me'!$B$12),-1)</f>
        <v/>
      </c>
      <c r="W1876" s="17">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7" t="n">
        <v>408</v>
      </c>
      <c r="U1877" s="17" t="n">
        <v>183</v>
      </c>
      <c r="V1877" s="17">
        <f>ROUNDUP((T1877+U1877+2*'Read Me'!$B$13)*(1+'Read Me'!$B$12),-1)</f>
        <v/>
      </c>
      <c r="W1877" s="17">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7" t="n">
        <v>506</v>
      </c>
      <c r="U1878" s="17" t="n">
        <v>136</v>
      </c>
      <c r="V1878" s="17">
        <f>ROUNDUP((T1878+U1878+2*'Read Me'!$B$13)*(1+'Read Me'!$B$12),-1)</f>
        <v/>
      </c>
      <c r="W1878" s="17">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7" t="n">
        <v>1069</v>
      </c>
      <c r="U1879" s="17" t="n">
        <v>184</v>
      </c>
      <c r="V1879" s="17">
        <f>ROUNDUP((T1879+U1879+2*'Read Me'!$B$13)*(1+'Read Me'!$B$12),-1)</f>
        <v/>
      </c>
      <c r="W1879" s="17">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7" t="n">
        <v>566</v>
      </c>
      <c r="U1880" s="17" t="n">
        <v>158</v>
      </c>
      <c r="V1880" s="17">
        <f>ROUNDUP((T1880+U1880+2*'Read Me'!$B$13)*(1+'Read Me'!$B$12),-1)</f>
        <v/>
      </c>
      <c r="W1880" s="17">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7" t="n">
        <v>566</v>
      </c>
      <c r="U1881" s="17" t="n">
        <v>158</v>
      </c>
      <c r="V1881" s="17">
        <f>ROUNDUP((T1881+U1881+2*'Read Me'!$B$13)*(1+'Read Me'!$B$12),-1)</f>
        <v/>
      </c>
      <c r="W1881" s="17">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7" t="n">
        <v>566</v>
      </c>
      <c r="U1882" s="17" t="n">
        <v>158</v>
      </c>
      <c r="V1882" s="17">
        <f>ROUNDUP((T1882+U1882+2*'Read Me'!$B$13)*(1+'Read Me'!$B$12),-1)</f>
        <v/>
      </c>
      <c r="W1882" s="17">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7" t="n">
        <v>566</v>
      </c>
      <c r="U1883" s="17" t="n">
        <v>158</v>
      </c>
      <c r="V1883" s="17">
        <f>ROUNDUP((T1883+U1883+2*'Read Me'!$B$13)*(1+'Read Me'!$B$12),-1)</f>
        <v/>
      </c>
      <c r="W1883" s="17">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7" t="n">
        <v>1423</v>
      </c>
      <c r="U1886" s="17" t="n">
        <v>96</v>
      </c>
      <c r="V1886" s="17">
        <f>ROUNDUP((T1886+U1886+2*'Read Me'!$B$13)*(1+'Read Me'!$B$12),-1)</f>
        <v/>
      </c>
      <c r="W1886" s="17">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7" t="n">
        <v>1423</v>
      </c>
      <c r="U1887" s="17" t="n">
        <v>96</v>
      </c>
      <c r="V1887" s="17">
        <f>ROUNDUP((T1887+U1887+2*'Read Me'!$B$13)*(1+'Read Me'!$B$12),-1)</f>
        <v/>
      </c>
      <c r="W1887" s="17">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7" t="n">
        <v>1423</v>
      </c>
      <c r="U1888" s="17" t="n">
        <v>96</v>
      </c>
      <c r="V1888" s="17">
        <f>ROUNDUP((T1888+U1888+2*'Read Me'!$B$13)*(1+'Read Me'!$B$12),-1)</f>
        <v/>
      </c>
      <c r="W1888" s="17">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7" t="n">
        <v>1423</v>
      </c>
      <c r="U1889" s="17" t="n">
        <v>96</v>
      </c>
      <c r="V1889" s="17">
        <f>ROUNDUP((T1889+U1889+2*'Read Me'!$B$13)*(1+'Read Me'!$B$12),-1)</f>
        <v/>
      </c>
      <c r="W1889" s="17">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1103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1103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1103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1103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7" t="n">
        <v>261</v>
      </c>
      <c r="U1898" s="17" t="n">
        <v>145</v>
      </c>
      <c r="V1898" s="17">
        <f>ROUNDUP((T1898+U1898+2*'Read Me'!$B$13)*(1+'Read Me'!$B$12),-1)</f>
        <v/>
      </c>
      <c r="W1898" s="17">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7" t="n">
        <v>261</v>
      </c>
      <c r="U1899" s="17" t="n">
        <v>145</v>
      </c>
      <c r="V1899" s="17">
        <f>ROUNDUP((T1899+U1899+2*'Read Me'!$B$13)*(1+'Read Me'!$B$12),-1)</f>
        <v/>
      </c>
      <c r="W1899" s="17">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7" t="n">
        <v>441</v>
      </c>
      <c r="U1900" s="17" t="n">
        <v>125</v>
      </c>
      <c r="V1900" s="17">
        <f>ROUNDUP((T1900+U1900+2*'Read Me'!$B$13)*(1+'Read Me'!$B$12),-1)</f>
        <v/>
      </c>
      <c r="W1900" s="17">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7" t="n">
        <v>441</v>
      </c>
      <c r="U1901" s="17" t="n">
        <v>125</v>
      </c>
      <c r="V1901" s="17">
        <f>ROUNDUP((T1901+U1901+2*'Read Me'!$B$13)*(1+'Read Me'!$B$12),-1)</f>
        <v/>
      </c>
      <c r="W1901" s="17">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7" t="n">
        <v>609</v>
      </c>
      <c r="U1902" s="17" t="n">
        <v>133</v>
      </c>
      <c r="V1902" s="17">
        <f>ROUNDUP((T1902+U1902+2*'Read Me'!$B$13)*(1+'Read Me'!$B$12),-1)</f>
        <v/>
      </c>
      <c r="W1902" s="17">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7" t="n">
        <v>609</v>
      </c>
      <c r="U1903" s="17" t="n">
        <v>133</v>
      </c>
      <c r="V1903" s="17">
        <f>ROUNDUP((T1903+U1903+2*'Read Me'!$B$13)*(1+'Read Me'!$B$12),-1)</f>
        <v/>
      </c>
      <c r="W1903" s="17">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7" t="n">
        <v>1041</v>
      </c>
      <c r="U1904" s="17" t="n">
        <v>206</v>
      </c>
      <c r="V1904" s="17">
        <f>ROUNDUP((T1904+U1904+2*'Read Me'!$B$13)*(1+'Read Me'!$B$12),-1)</f>
        <v/>
      </c>
      <c r="W1904" s="17">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7" t="n">
        <v>1041</v>
      </c>
      <c r="U1905" s="17" t="n">
        <v>206</v>
      </c>
      <c r="V1905" s="17">
        <f>ROUNDUP((T1905+U1905+2*'Read Me'!$B$13)*(1+'Read Me'!$B$12),-1)</f>
        <v/>
      </c>
      <c r="W1905" s="17">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7" t="n">
        <v>673</v>
      </c>
      <c r="U1906" s="17" t="n">
        <v>130</v>
      </c>
      <c r="V1906" s="17">
        <f>ROUNDUP((T1906+U1906+2*'Read Me'!$B$13)*(1+'Read Me'!$B$12),-1)</f>
        <v/>
      </c>
      <c r="W1906" s="17">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7" t="n">
        <v>673</v>
      </c>
      <c r="U1907" s="17" t="n">
        <v>130</v>
      </c>
      <c r="V1907" s="17">
        <f>ROUNDUP((T1907+U1907+2*'Read Me'!$B$13)*(1+'Read Me'!$B$12),-1)</f>
        <v/>
      </c>
      <c r="W1907" s="17">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823</v>
      </c>
      <c r="U1908" s="17" t="n">
        <v>112</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823</v>
      </c>
      <c r="U1909" s="17" t="n">
        <v>112</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7" t="n">
        <v>620</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7" t="n">
        <v>67</v>
      </c>
      <c r="U1911" s="17" t="n">
        <v>58</v>
      </c>
      <c r="V1911" s="17">
        <f>ROUNDUP((T1911+U1911+2*'Read Me'!$B$13)*(1+'Read Me'!$B$12),-1)</f>
        <v/>
      </c>
      <c r="W1911" s="17">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7" t="n">
        <v>644</v>
      </c>
      <c r="U1912" s="17" t="n">
        <v>170</v>
      </c>
      <c r="V1912" s="17">
        <f>ROUNDUP((T1912+U1912+2*'Read Me'!$B$13)*(1+'Read Me'!$B$12),-1)</f>
        <v/>
      </c>
      <c r="W1912" s="17">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7" t="n">
        <v>804</v>
      </c>
      <c r="U1913" s="17" t="n">
        <v>215</v>
      </c>
      <c r="V1913" s="17">
        <f>ROUNDUP((T1913+U1913+2*'Read Me'!$B$13)*(1+'Read Me'!$B$12),-1)</f>
        <v/>
      </c>
      <c r="W1913" s="17">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7" t="n">
        <v>976</v>
      </c>
      <c r="U1914" s="17" t="n">
        <v>124</v>
      </c>
      <c r="V1914" s="17">
        <f>ROUNDUP((T1914+U1914+2*'Read Me'!$B$13)*(1+'Read Me'!$B$12),-1)</f>
        <v/>
      </c>
      <c r="W1914" s="17">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7" t="n">
        <v>82</v>
      </c>
      <c r="U1915" s="17" t="n">
        <v>79</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7" t="n">
        <v>0</v>
      </c>
      <c r="U1916" s="17" t="n">
        <v>126</v>
      </c>
      <c r="V1916" s="17">
        <f>ROUNDUP((T1916+U1916+2*'Read Me'!$B$13)*(1+'Read Me'!$B$12),-1)</f>
        <v/>
      </c>
      <c r="W1916" s="17">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7" t="n">
        <v>16</v>
      </c>
      <c r="U1917" s="17" t="n">
        <v>56</v>
      </c>
      <c r="V1917" s="17">
        <f>ROUNDUP((T1917+U1917+2*'Read Me'!$B$13)*(1+'Read Me'!$B$12),-1)</f>
        <v/>
      </c>
      <c r="W1917" s="17">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7" t="n">
        <v>104</v>
      </c>
      <c r="U1918" s="17" t="n">
        <v>72</v>
      </c>
      <c r="V1918" s="17">
        <f>ROUNDUP((T1918+U1918+2*'Read Me'!$B$13)*(1+'Read Me'!$B$12),-1)</f>
        <v/>
      </c>
      <c r="W1918" s="17">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7" t="n">
        <v>523</v>
      </c>
      <c r="U1919" s="17" t="n">
        <v>130</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7" t="n">
        <v>671</v>
      </c>
      <c r="U1920" s="17" t="n">
        <v>112</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7" t="n">
        <v>897</v>
      </c>
      <c r="U1921" s="17" t="n">
        <v>249</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7" t="n">
        <v>632</v>
      </c>
      <c r="U1922" s="17" t="n">
        <v>130</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7" t="n">
        <v>101</v>
      </c>
      <c r="U1923" s="17" t="n">
        <v>36</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7" t="n">
        <v>21</v>
      </c>
      <c r="U1924" s="17" t="n">
        <v>38</v>
      </c>
      <c r="V1924" s="17">
        <f>ROUNDUP((T1924+U1924+2*'Read Me'!$B$13)*(1+'Read Me'!$B$12),-1)</f>
        <v/>
      </c>
      <c r="W1924" s="17">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7" t="n">
        <v>21</v>
      </c>
      <c r="U1925" s="17" t="n">
        <v>38</v>
      </c>
      <c r="V1925" s="17">
        <f>ROUNDUP((T1925+U1925+2*'Read Me'!$B$13)*(1+'Read Me'!$B$12),-1)</f>
        <v/>
      </c>
      <c r="W1925" s="17">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7" t="n">
        <v>21</v>
      </c>
      <c r="U1926" s="17" t="n">
        <v>38</v>
      </c>
      <c r="V1926" s="17">
        <f>ROUNDUP((T1926+U1926+2*'Read Me'!$B$13)*(1+'Read Me'!$B$12),-1)</f>
        <v/>
      </c>
      <c r="W1926" s="17">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7" t="n">
        <v>644</v>
      </c>
      <c r="U1927" s="17" t="n">
        <v>134</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7" t="n">
        <v>85</v>
      </c>
      <c r="U1928" s="17" t="n">
        <v>79</v>
      </c>
      <c r="V1928" s="17">
        <f>ROUNDUP((T1928+U1928+2*'Read Me'!$B$13)*(1+'Read Me'!$B$12),-1)</f>
        <v/>
      </c>
      <c r="W1928" s="17">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7" t="n">
        <v>11520</v>
      </c>
      <c r="U1929" s="17" t="n">
        <v>0</v>
      </c>
      <c r="V1929" s="17">
        <f>ROUNDUP((T1929+U1929+2*'Read Me'!$B$13)*(1+'Read Me'!$B$12),-1)</f>
        <v/>
      </c>
      <c r="W1929" s="17">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7" t="n">
        <v>389</v>
      </c>
      <c r="U1930" s="17" t="n">
        <v>44</v>
      </c>
      <c r="V1930" s="17">
        <f>ROUNDUP((T1930+U1930+2*'Read Me'!$B$13)*(1+'Read Me'!$B$12),-1)</f>
        <v/>
      </c>
      <c r="W1930" s="17">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7" t="n">
        <v>357</v>
      </c>
      <c r="U1931" s="17" t="n">
        <v>44</v>
      </c>
      <c r="V1931" s="17">
        <f>ROUNDUP((T1931+U1931+2*'Read Me'!$B$13)*(1+'Read Me'!$B$12),-1)</f>
        <v/>
      </c>
      <c r="W1931" s="17">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7" t="n">
        <v>325</v>
      </c>
      <c r="U1932" s="17" t="n">
        <v>44</v>
      </c>
      <c r="V1932" s="17">
        <f>ROUNDUP((T1932+U1932+2*'Read Me'!$B$13)*(1+'Read Me'!$B$12),-1)</f>
        <v/>
      </c>
      <c r="W1932" s="17">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7" t="n">
        <v>293</v>
      </c>
      <c r="U1933" s="17" t="n">
        <v>44</v>
      </c>
      <c r="V1933" s="17">
        <f>ROUNDUP((T1933+U1933+2*'Read Me'!$B$13)*(1+'Read Me'!$B$12),-1)</f>
        <v/>
      </c>
      <c r="W1933" s="17">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7" t="n">
        <v>261</v>
      </c>
      <c r="U1934" s="17" t="n">
        <v>44</v>
      </c>
      <c r="V1934" s="17">
        <f>ROUNDUP((T1934+U1934+2*'Read Me'!$B$13)*(1+'Read Me'!$B$12),-1)</f>
        <v/>
      </c>
      <c r="W1934" s="17">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7" t="n">
        <v>261</v>
      </c>
      <c r="U1935" s="17" t="n">
        <v>44</v>
      </c>
      <c r="V1935" s="17">
        <f>ROUNDUP((T1935+U1935+2*'Read Me'!$B$13)*(1+'Read Me'!$B$12),-1)</f>
        <v/>
      </c>
      <c r="W1935" s="17">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7" t="n">
        <v>293</v>
      </c>
      <c r="U1936" s="17" t="n">
        <v>44</v>
      </c>
      <c r="V1936" s="17">
        <f>ROUNDUP((T1936+U1936+2*'Read Me'!$B$13)*(1+'Read Me'!$B$12),-1)</f>
        <v/>
      </c>
      <c r="W1936" s="17">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7" t="n">
        <v>325</v>
      </c>
      <c r="U1937" s="17" t="n">
        <v>44</v>
      </c>
      <c r="V1937" s="17">
        <f>ROUNDUP((T1937+U1937+2*'Read Me'!$B$13)*(1+'Read Me'!$B$12),-1)</f>
        <v/>
      </c>
      <c r="W1937" s="17">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7" t="n">
        <v>357</v>
      </c>
      <c r="U1938" s="17" t="n">
        <v>44</v>
      </c>
      <c r="V1938" s="17">
        <f>ROUNDUP((T1938+U1938+2*'Read Me'!$B$13)*(1+'Read Me'!$B$12),-1)</f>
        <v/>
      </c>
      <c r="W1938" s="17">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7" t="n">
        <v>389</v>
      </c>
      <c r="U1939" s="17" t="n">
        <v>44</v>
      </c>
      <c r="V1939" s="17">
        <f>ROUNDUP((T1939+U1939+2*'Read Me'!$B$13)*(1+'Read Me'!$B$12),-1)</f>
        <v/>
      </c>
      <c r="W1939" s="17">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7" t="n">
        <v>339</v>
      </c>
      <c r="U1940" s="17" t="n">
        <v>44</v>
      </c>
      <c r="V1940" s="17">
        <f>ROUNDUP((T1940+U1940+2*'Read Me'!$B$13)*(1+'Read Me'!$B$12),-1)</f>
        <v/>
      </c>
      <c r="W1940" s="17">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7" t="n">
        <v>307</v>
      </c>
      <c r="U1941" s="17" t="n">
        <v>44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7" t="n">
        <v>275</v>
      </c>
      <c r="U1942" s="17" t="n">
        <v>44</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7" t="n">
        <v>243</v>
      </c>
      <c r="U1943" s="17" t="n">
        <v>44</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7" t="n">
        <v>211</v>
      </c>
      <c r="U1944" s="17" t="n">
        <v>44</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7" t="n">
        <v>211</v>
      </c>
      <c r="U1945" s="17" t="n">
        <v>44</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7" t="n">
        <v>243</v>
      </c>
      <c r="U1946" s="17" t="n">
        <v>44</v>
      </c>
      <c r="V1946" s="17">
        <f>ROUNDUP((T1946+U1946+2*'Read Me'!$B$13)*(1+'Read Me'!$B$12),-1)</f>
        <v/>
      </c>
      <c r="W1946" s="17">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275</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307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339</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289</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257</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225</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193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161</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161</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193</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225</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257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289</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239</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207</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175</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143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111</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111</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143</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175</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207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239</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239</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207</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175</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143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111</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111</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143</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175</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239</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289</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257</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225</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193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161</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161</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193</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225</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257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289</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339</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307</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275</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243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211</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211</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243</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275</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307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339</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389</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357</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325</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293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261</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261</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293</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325</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357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389</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7" t="n">
        <v>0</v>
      </c>
      <c r="U2010" s="17" t="n">
        <v>52</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7" t="n">
        <v>0</v>
      </c>
      <c r="U2011" s="17" t="n">
        <v>52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7" t="n">
        <v>0</v>
      </c>
      <c r="U2012" s="17" t="n">
        <v>52</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7" t="n">
        <v>0</v>
      </c>
      <c r="U2013" s="17" t="n">
        <v>52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7" t="n">
        <v>0</v>
      </c>
      <c r="U2014" s="17" t="n">
        <v>52</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7" t="n">
        <v>0</v>
      </c>
      <c r="U2015" s="17" t="n">
        <v>52</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7" t="n">
        <v>0</v>
      </c>
      <c r="U2016" s="17" t="n">
        <v>52</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7" t="n">
        <v>0</v>
      </c>
      <c r="U2017" s="17" t="n">
        <v>52</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7" t="n">
        <v>0</v>
      </c>
      <c r="U2018" s="17" t="n">
        <v>52</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7" t="n">
        <v>0</v>
      </c>
      <c r="U2019" s="17" t="n">
        <v>52</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7" t="n">
        <v>0</v>
      </c>
      <c r="U2020" s="17" t="n">
        <v>52</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7" t="n">
        <v>0</v>
      </c>
      <c r="U2021" s="17" t="n">
        <v>52</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7" t="n">
        <v>0</v>
      </c>
      <c r="U2022" s="17" t="n">
        <v>52</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7" t="n">
        <v>0</v>
      </c>
      <c r="U2023" s="17" t="n">
        <v>52</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7" t="n">
        <v>0</v>
      </c>
      <c r="U2024" s="17" t="n">
        <v>52</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7" t="n">
        <v>0</v>
      </c>
      <c r="U2025" s="17" t="n">
        <v>52</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7" t="n">
        <v>0</v>
      </c>
      <c r="U2026" s="17" t="n">
        <v>52</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655</v>
      </c>
      <c r="U2040" s="17" t="n">
        <v>211</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655</v>
      </c>
      <c r="U2041" s="17" t="n">
        <v>211</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655</v>
      </c>
      <c r="U2042" s="17" t="n">
        <v>211</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655</v>
      </c>
      <c r="U2043" s="17" t="n">
        <v>211</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655</v>
      </c>
      <c r="U2044" s="17" t="n">
        <v>211</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655</v>
      </c>
      <c r="U2045" s="17" t="n">
        <v>211</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655</v>
      </c>
      <c r="U2046" s="17" t="n">
        <v>211</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655</v>
      </c>
      <c r="U2047" s="17" t="n">
        <v>211</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655</v>
      </c>
      <c r="U2048" s="17" t="n">
        <v>211</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655</v>
      </c>
      <c r="U2049" s="17" t="n">
        <v>211</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655</v>
      </c>
      <c r="U2050" s="17" t="n">
        <v>211</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655</v>
      </c>
      <c r="U2051" s="17" t="n">
        <v>211</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664</v>
      </c>
      <c r="U2052" s="17" t="n">
        <v>175</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664</v>
      </c>
      <c r="U2053" s="17" t="n">
        <v>175</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18</v>
      </c>
      <c r="U2054" s="17" t="n">
        <v>81</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18</v>
      </c>
      <c r="U2055" s="17" t="n">
        <v>81</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7" t="n">
        <v>18</v>
      </c>
      <c r="U2056" s="17" t="n">
        <v>81</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7" t="n">
        <v>18</v>
      </c>
      <c r="U2057" s="17" t="n">
        <v>81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0</v>
      </c>
      <c r="U2058" s="17" t="n">
        <v>91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7" t="n">
        <v>0</v>
      </c>
      <c r="U2059" s="17" t="n">
        <v>91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7" t="n">
        <v>0</v>
      </c>
      <c r="U2060" s="17" t="n">
        <v>91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7" t="n">
        <v>0</v>
      </c>
      <c r="U2061" s="17" t="n">
        <v>91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0</v>
      </c>
      <c r="U2062" s="17" t="n">
        <v>73</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7" t="n">
        <v>0</v>
      </c>
      <c r="U2063" s="17" t="n">
        <v>73</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7" t="n">
        <v>0</v>
      </c>
      <c r="U2064" s="17" t="n">
        <v>73</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7" t="n">
        <v>0</v>
      </c>
      <c r="U2065" s="17" t="n">
        <v>73</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0</v>
      </c>
      <c r="U2066" s="17" t="n">
        <v>61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7" t="n">
        <v>0</v>
      </c>
      <c r="U2067" s="17" t="n">
        <v>61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7" t="n">
        <v>0</v>
      </c>
      <c r="U2068" s="17" t="n">
        <v>61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7" t="n">
        <v>0</v>
      </c>
      <c r="U2069" s="17" t="n">
        <v>61</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0</v>
      </c>
      <c r="U2070" s="17" t="n">
        <v>46</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0</v>
      </c>
      <c r="U2071" s="17" t="n">
        <v>46</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0</v>
      </c>
      <c r="U2072" s="17" t="n">
        <v>46</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7" t="n">
        <v>0</v>
      </c>
      <c r="U2073" s="17" t="n">
        <v>46</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7" t="n">
        <v>0</v>
      </c>
      <c r="U2074" s="17" t="n">
        <v>46</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7" t="n">
        <v>0</v>
      </c>
      <c r="U2075" s="17" t="n">
        <v>46</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46</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7" t="n">
        <v>0</v>
      </c>
      <c r="U2077" s="17" t="n">
        <v>46</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7" t="n">
        <v>160</v>
      </c>
      <c r="U2078" s="17" t="n">
        <v>64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7" t="n">
        <v>160</v>
      </c>
      <c r="U2079" s="17" t="n">
        <v>64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7" t="n">
        <v>160</v>
      </c>
      <c r="U2080" s="17" t="n">
        <v>64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7" t="n">
        <v>160</v>
      </c>
      <c r="U2081" s="17" t="n">
        <v>64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7" t="n">
        <v>160</v>
      </c>
      <c r="U2082" s="17" t="n">
        <v>64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7" t="n">
        <v>160</v>
      </c>
      <c r="U2083" s="17" t="n">
        <v>64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7" t="n">
        <v>186</v>
      </c>
      <c r="U2084" s="17" t="n">
        <v>64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7" t="n">
        <v>186</v>
      </c>
      <c r="U2085" s="17" t="n">
        <v>64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7" t="n">
        <v>186</v>
      </c>
      <c r="U2086" s="17" t="n">
        <v>64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7" t="n">
        <v>186</v>
      </c>
      <c r="U2087" s="17" t="n">
        <v>64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7" t="n">
        <v>186</v>
      </c>
      <c r="U2088" s="17" t="n">
        <v>64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7" t="n">
        <v>186</v>
      </c>
      <c r="U2089" s="17" t="n">
        <v>64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7" t="n">
        <v>215</v>
      </c>
      <c r="U2090" s="17" t="n">
        <v>51</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7" t="n">
        <v>215</v>
      </c>
      <c r="U2091" s="17" t="n">
        <v>51</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7" t="n">
        <v>215</v>
      </c>
      <c r="U2092" s="17" t="n">
        <v>51</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7" t="n">
        <v>215</v>
      </c>
      <c r="U2093" s="17" t="n">
        <v>51</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7" t="n">
        <v>215</v>
      </c>
      <c r="U2094" s="17" t="n">
        <v>51</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215</v>
      </c>
      <c r="U2095" s="17" t="n">
        <v>51</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209</v>
      </c>
      <c r="U2096" s="17" t="n">
        <v>77</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209</v>
      </c>
      <c r="U2097" s="17" t="n">
        <v>77</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209</v>
      </c>
      <c r="U2098" s="17" t="n">
        <v>77</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209</v>
      </c>
      <c r="U2099" s="17" t="n">
        <v>77</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209</v>
      </c>
      <c r="U2100" s="17" t="n">
        <v>77</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209</v>
      </c>
      <c r="U2101" s="17" t="n">
        <v>77</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520</v>
      </c>
      <c r="U2102" s="17" t="n">
        <v>99</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520</v>
      </c>
      <c r="U2103" s="17" t="n">
        <v>99</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7" t="n">
        <v>1408</v>
      </c>
      <c r="U2104" s="17" t="n">
        <v>57</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7" t="n">
        <v>0</v>
      </c>
      <c r="U2105" s="17" t="n">
        <v>54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7" t="n">
        <v>0</v>
      </c>
      <c r="U2106" s="17" t="n">
        <v>46</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7" t="n">
        <v>250</v>
      </c>
      <c r="U2107" s="17" t="n">
        <v>10</v>
      </c>
      <c r="V2107" s="17">
        <f>ROUNDUP((T2107+U2107+2*'Read Me'!$B$13)*(1+'Read Me'!$B$12),-1)</f>
        <v/>
      </c>
      <c r="W2107" s="17">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7" t="n">
        <v>0</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7" t="n">
        <v>250</v>
      </c>
      <c r="U2109" s="17" t="n">
        <v>10</v>
      </c>
      <c r="V2109" s="17">
        <f>ROUNDUP((T2109+U2109+2*'Read Me'!$B$13)*(1+'Read Me'!$B$12),-1)</f>
        <v/>
      </c>
      <c r="W2109" s="17">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7" t="n">
        <v>0</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7" t="n">
        <v>250</v>
      </c>
      <c r="U2111" s="17" t="n">
        <v>10</v>
      </c>
      <c r="V2111" s="17">
        <f>ROUNDUP((T2111+U2111+2*'Read Me'!$B$13)*(1+'Read Me'!$B$12),-1)</f>
        <v/>
      </c>
      <c r="W2111" s="17">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7" t="n">
        <v>0</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7" t="n">
        <v>250</v>
      </c>
      <c r="U2113" s="17" t="n">
        <v>10</v>
      </c>
      <c r="V2113" s="17">
        <f>ROUNDUP((T2113+U2113+2*'Read Me'!$B$13)*(1+'Read Me'!$B$12),-1)</f>
        <v/>
      </c>
      <c r="W2113" s="17">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7" t="n">
        <v>0</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7" t="n">
        <v>250</v>
      </c>
      <c r="U2115" s="17" t="n">
        <v>10</v>
      </c>
      <c r="V2115" s="17">
        <f>ROUNDUP((T2115+U2115+2*'Read Me'!$B$13)*(1+'Read Me'!$B$12),-1)</f>
        <v/>
      </c>
      <c r="W2115" s="17">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7" t="n">
        <v>0</v>
      </c>
      <c r="U2116" s="17" t="n">
        <v>44</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7" t="n">
        <v>250</v>
      </c>
      <c r="U2117" s="17" t="n">
        <v>10</v>
      </c>
      <c r="V2117" s="17">
        <f>ROUNDUP((T2117+U2117+2*'Read Me'!$B$13)*(1+'Read Me'!$B$12),-1)</f>
        <v/>
      </c>
      <c r="W2117" s="17">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7" t="n">
        <v>0</v>
      </c>
      <c r="U2118" s="17" t="n">
        <v>44</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7" t="n">
        <v>250</v>
      </c>
      <c r="U2119" s="17" t="n">
        <v>10</v>
      </c>
      <c r="V2119" s="17">
        <f>ROUNDUP((T2119+U2119+2*'Read Me'!$B$13)*(1+'Read Me'!$B$12),-1)</f>
        <v/>
      </c>
      <c r="W2119" s="17">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7" t="n">
        <v>0</v>
      </c>
      <c r="U2120" s="17" t="n">
        <v>44</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7" t="n">
        <v>250</v>
      </c>
      <c r="U2121" s="17" t="n">
        <v>10</v>
      </c>
      <c r="V2121" s="17">
        <f>ROUNDUP((T2121+U2121+2*'Read Me'!$B$13)*(1+'Read Me'!$B$12),-1)</f>
        <v/>
      </c>
      <c r="W2121" s="17">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7" t="n">
        <v>0</v>
      </c>
      <c r="U2122" s="17" t="n">
        <v>44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7" t="n">
        <v>250</v>
      </c>
      <c r="U2123" s="17" t="n">
        <v>10</v>
      </c>
      <c r="V2123" s="17">
        <f>ROUNDUP((T2123+U2123+2*'Read Me'!$B$13)*(1+'Read Me'!$B$12),-1)</f>
        <v/>
      </c>
      <c r="W2123" s="17">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7" t="n">
        <v>0</v>
      </c>
      <c r="U2124" s="17" t="n">
        <v>44</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7" t="n">
        <v>250</v>
      </c>
      <c r="U2125" s="17" t="n">
        <v>10</v>
      </c>
      <c r="V2125" s="17">
        <f>ROUNDUP((T2125+U2125+2*'Read Me'!$B$13)*(1+'Read Me'!$B$12),-1)</f>
        <v/>
      </c>
      <c r="W2125" s="17">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7" t="n">
        <v>0</v>
      </c>
      <c r="U2126" s="17" t="n">
        <v>44</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7" t="n">
        <v>250</v>
      </c>
      <c r="U2127" s="17" t="n">
        <v>10</v>
      </c>
      <c r="V2127" s="17">
        <f>ROUNDUP((T2127+U2127+2*'Read Me'!$B$13)*(1+'Read Me'!$B$12),-1)</f>
        <v/>
      </c>
      <c r="W2127" s="17">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7" t="n">
        <v>0</v>
      </c>
      <c r="U2128" s="17" t="n">
        <v>44</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7" t="n">
        <v>250</v>
      </c>
      <c r="U2129" s="17" t="n">
        <v>10</v>
      </c>
      <c r="V2129" s="17">
        <f>ROUNDUP((T2129+U2129+2*'Read Me'!$B$13)*(1+'Read Me'!$B$12),-1)</f>
        <v/>
      </c>
      <c r="W2129" s="17">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7" t="n">
        <v>0</v>
      </c>
      <c r="U2130" s="17" t="n">
        <v>44</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7" t="n">
        <v>250</v>
      </c>
      <c r="U2131" s="17" t="n">
        <v>10</v>
      </c>
      <c r="V2131" s="17">
        <f>ROUNDUP((T2131+U2131+2*'Read Me'!$B$13)*(1+'Read Me'!$B$12),-1)</f>
        <v/>
      </c>
      <c r="W2131" s="17">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7" t="n">
        <v>0</v>
      </c>
      <c r="U2132" s="17" t="n">
        <v>44</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7" t="n">
        <v>110</v>
      </c>
      <c r="U2133" s="17" t="n">
        <v>10</v>
      </c>
      <c r="V2133" s="17">
        <f>ROUNDUP((T2133+U2133+2*'Read Me'!$B$13)*(1+'Read Me'!$B$12),-1)</f>
        <v/>
      </c>
      <c r="W2133" s="17">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7" t="n">
        <v>667</v>
      </c>
      <c r="U2134" s="17" t="n">
        <v>203</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7" t="n">
        <v>110</v>
      </c>
      <c r="U2135" s="17" t="n">
        <v>10</v>
      </c>
      <c r="V2135" s="17">
        <f>ROUNDUP((T2135+U2135+2*'Read Me'!$B$13)*(1+'Read Me'!$B$12),-1)</f>
        <v/>
      </c>
      <c r="W2135" s="17">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7" t="n">
        <v>667</v>
      </c>
      <c r="U2136" s="17" t="n">
        <v>203</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7" t="n">
        <v>110</v>
      </c>
      <c r="U2137" s="17" t="n">
        <v>10</v>
      </c>
      <c r="V2137" s="17">
        <f>ROUNDUP((T2137+U2137+2*'Read Me'!$B$13)*(1+'Read Me'!$B$12),-1)</f>
        <v/>
      </c>
      <c r="W2137" s="17">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7" t="n">
        <v>667</v>
      </c>
      <c r="U2138" s="17" t="n">
        <v>203</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7" t="n">
        <v>53</v>
      </c>
      <c r="U2139" s="17" t="n">
        <v>10</v>
      </c>
      <c r="V2139" s="17">
        <f>ROUNDUP((T2139+U2139+2*'Read Me'!$B$13)*(1+'Read Me'!$B$12),-1)</f>
        <v/>
      </c>
      <c r="W2139" s="17">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7" t="n">
        <v>676</v>
      </c>
      <c r="U2140" s="17" t="n">
        <v>167</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7" t="n">
        <v>53</v>
      </c>
      <c r="U2141" s="17" t="n">
        <v>10</v>
      </c>
      <c r="V2141" s="17">
        <f>ROUNDUP((T2141+U2141+2*'Read Me'!$B$13)*(1+'Read Me'!$B$12),-1)</f>
        <v/>
      </c>
      <c r="W2141" s="17">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7" t="n">
        <v>676</v>
      </c>
      <c r="U2142" s="17" t="n">
        <v>167</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7" t="n">
        <v>55</v>
      </c>
      <c r="U2143" s="17" t="n">
        <v>10</v>
      </c>
      <c r="V2143" s="17">
        <f>ROUNDUP((T2143+U2143+2*'Read Me'!$B$13)*(1+'Read Me'!$B$12),-1)</f>
        <v/>
      </c>
      <c r="W2143" s="17">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7" t="n">
        <v>532</v>
      </c>
      <c r="U2144" s="17" t="n">
        <v>135</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7" t="n">
        <v>55</v>
      </c>
      <c r="U2145" s="17" t="n">
        <v>10</v>
      </c>
      <c r="V2145" s="17">
        <f>ROUNDUP((T2145+U2145+2*'Read Me'!$B$13)*(1+'Read Me'!$B$12),-1)</f>
        <v/>
      </c>
      <c r="W2145" s="17">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7" t="n">
        <v>532</v>
      </c>
      <c r="U2146" s="17" t="n">
        <v>135</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7" t="n">
        <v>55</v>
      </c>
      <c r="U2147" s="17" t="n">
        <v>10</v>
      </c>
      <c r="V2147" s="17">
        <f>ROUNDUP((T2147+U2147+2*'Read Me'!$B$13)*(1+'Read Me'!$B$12),-1)</f>
        <v/>
      </c>
      <c r="W2147" s="17">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7" t="n">
        <v>532</v>
      </c>
      <c r="U2148" s="17" t="n">
        <v>135</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7" t="n">
        <v>55</v>
      </c>
      <c r="U2149" s="17" t="n">
        <v>10</v>
      </c>
      <c r="V2149" s="17">
        <f>ROUNDUP((T2149+U2149+2*'Read Me'!$B$13)*(1+'Read Me'!$B$12),-1)</f>
        <v/>
      </c>
      <c r="W2149" s="17">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7" t="n">
        <v>532</v>
      </c>
      <c r="U2150" s="17" t="n">
        <v>135</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7" t="n">
        <v>66</v>
      </c>
      <c r="U2151" s="17" t="n">
        <v>10</v>
      </c>
      <c r="V2151" s="17">
        <f>ROUNDUP((T2151+U2151+2*'Read Me'!$B$13)*(1+'Read Me'!$B$12),-1)</f>
        <v/>
      </c>
      <c r="W2151" s="17">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7" t="n">
        <v>410</v>
      </c>
      <c r="U2152" s="17" t="n">
        <v>105</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7" t="n">
        <v>66</v>
      </c>
      <c r="U2153" s="17" t="n">
        <v>10</v>
      </c>
      <c r="V2153" s="17">
        <f>ROUNDUP((T2153+U2153+2*'Read Me'!$B$13)*(1+'Read Me'!$B$12),-1)</f>
        <v/>
      </c>
      <c r="W2153" s="17">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7" t="n">
        <v>410</v>
      </c>
      <c r="U2154" s="17" t="n">
        <v>105</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7" t="n">
        <v>18</v>
      </c>
      <c r="U2155" s="17" t="n">
        <v>81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7" t="n">
        <v>0</v>
      </c>
      <c r="U2156" s="17" t="n">
        <v>91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7" t="n">
        <v>0</v>
      </c>
      <c r="U2157" s="17" t="n">
        <v>73</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7" t="n">
        <v>0</v>
      </c>
      <c r="U2158" s="17" t="n">
        <v>61</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7" t="n">
        <v>42</v>
      </c>
      <c r="U2159" s="17" t="n">
        <v>10</v>
      </c>
      <c r="V2159" s="17">
        <f>ROUNDUP((T2159+U2159+2*'Read Me'!$B$13)*(1+'Read Me'!$B$12),-1)</f>
        <v/>
      </c>
      <c r="W2159" s="17">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7" t="n">
        <v>159</v>
      </c>
      <c r="U2160" s="17" t="n">
        <v>56</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7" t="n">
        <v>42</v>
      </c>
      <c r="U2161" s="17" t="n">
        <v>10</v>
      </c>
      <c r="V2161" s="17">
        <f>ROUNDUP((T2161+U2161+2*'Read Me'!$B$13)*(1+'Read Me'!$B$12),-1)</f>
        <v/>
      </c>
      <c r="W2161" s="17">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7" t="n">
        <v>159</v>
      </c>
      <c r="U2162" s="17" t="n">
        <v>56</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7" t="n">
        <v>42</v>
      </c>
      <c r="U2163" s="17" t="n">
        <v>10</v>
      </c>
      <c r="V2163" s="17">
        <f>ROUNDUP((T2163+U2163+2*'Read Me'!$B$13)*(1+'Read Me'!$B$12),-1)</f>
        <v/>
      </c>
      <c r="W2163" s="17">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7" t="n">
        <v>185</v>
      </c>
      <c r="U2164" s="17" t="n">
        <v>56</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7" t="n">
        <v>42</v>
      </c>
      <c r="U2165" s="17" t="n">
        <v>10</v>
      </c>
      <c r="V2165" s="17">
        <f>ROUNDUP((T2165+U2165+2*'Read Me'!$B$13)*(1+'Read Me'!$B$12),-1)</f>
        <v/>
      </c>
      <c r="W2165" s="17">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7" t="n">
        <v>185</v>
      </c>
      <c r="U2166" s="17" t="n">
        <v>56</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7" t="n">
        <v>42</v>
      </c>
      <c r="U2167" s="17" t="n">
        <v>10</v>
      </c>
      <c r="V2167" s="17">
        <f>ROUNDUP((T2167+U2167+2*'Read Me'!$B$13)*(1+'Read Me'!$B$12),-1)</f>
        <v/>
      </c>
      <c r="W2167" s="17">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7" t="n">
        <v>214</v>
      </c>
      <c r="U2168" s="17" t="n">
        <v>43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7" t="n">
        <v>42</v>
      </c>
      <c r="U2169" s="17" t="n">
        <v>10</v>
      </c>
      <c r="V2169" s="17">
        <f>ROUNDUP((T2169+U2169+2*'Read Me'!$B$13)*(1+'Read Me'!$B$12),-1)</f>
        <v/>
      </c>
      <c r="W2169" s="17">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7" t="n">
        <v>214</v>
      </c>
      <c r="U2170" s="17" t="n">
        <v>43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7" t="n">
        <v>42</v>
      </c>
      <c r="U2171" s="17" t="n">
        <v>10</v>
      </c>
      <c r="V2171" s="17">
        <f>ROUNDUP((T2171+U2171+2*'Read Me'!$B$13)*(1+'Read Me'!$B$12),-1)</f>
        <v/>
      </c>
      <c r="W2171" s="17">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7" t="n">
        <v>208</v>
      </c>
      <c r="U2172" s="17" t="n">
        <v>69</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7" t="n">
        <v>42</v>
      </c>
      <c r="U2173" s="17" t="n">
        <v>10</v>
      </c>
      <c r="V2173" s="17">
        <f>ROUNDUP((T2173+U2173+2*'Read Me'!$B$13)*(1+'Read Me'!$B$12),-1)</f>
        <v/>
      </c>
      <c r="W2173" s="17">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7" t="n">
        <v>208</v>
      </c>
      <c r="U2174" s="17" t="n">
        <v>69</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7" t="n">
        <v>53</v>
      </c>
      <c r="U2175" s="17" t="n">
        <v>10</v>
      </c>
      <c r="V2175" s="17">
        <f>ROUNDUP((T2175+U2175+2*'Read Me'!$B$13)*(1+'Read Me'!$B$12),-1)</f>
        <v/>
      </c>
      <c r="W2175" s="17">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7" t="n">
        <v>532</v>
      </c>
      <c r="U2176" s="17" t="n">
        <v>91</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7" t="n">
        <v>53</v>
      </c>
      <c r="U2177" s="17" t="n">
        <v>10</v>
      </c>
      <c r="V2177" s="17">
        <f>ROUNDUP((T2177+U2177+2*'Read Me'!$B$13)*(1+'Read Me'!$B$12),-1)</f>
        <v/>
      </c>
      <c r="W2177" s="17">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7" t="n">
        <v>532</v>
      </c>
      <c r="U2178" s="17" t="n">
        <v>91</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7" t="n">
        <v>389</v>
      </c>
      <c r="U2179" s="17" t="n">
        <v>44</v>
      </c>
      <c r="V2179" s="17">
        <f>ROUNDUP((T2179+U2179+2*'Read Me'!$B$13)*(1+'Read Me'!$B$12),-1)</f>
        <v/>
      </c>
      <c r="W2179" s="17">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7" t="n">
        <v>357</v>
      </c>
      <c r="U2180" s="17" t="n">
        <v>44</v>
      </c>
      <c r="V2180" s="17">
        <f>ROUNDUP((T2180+U2180+2*'Read Me'!$B$13)*(1+'Read Me'!$B$12),-1)</f>
        <v/>
      </c>
      <c r="W2180" s="17">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7" t="n">
        <v>325</v>
      </c>
      <c r="U2181" s="17" t="n">
        <v>44</v>
      </c>
      <c r="V2181" s="17">
        <f>ROUNDUP((T2181+U2181+2*'Read Me'!$B$13)*(1+'Read Me'!$B$12),-1)</f>
        <v/>
      </c>
      <c r="W2181" s="17">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7" t="n">
        <v>293</v>
      </c>
      <c r="U2182" s="17" t="n">
        <v>44</v>
      </c>
      <c r="V2182" s="17">
        <f>ROUNDUP((T2182+U2182+2*'Read Me'!$B$13)*(1+'Read Me'!$B$12),-1)</f>
        <v/>
      </c>
      <c r="W2182" s="17">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7" t="n">
        <v>261</v>
      </c>
      <c r="U2183" s="17" t="n">
        <v>44</v>
      </c>
      <c r="V2183" s="17">
        <f>ROUNDUP((T2183+U2183+2*'Read Me'!$B$13)*(1+'Read Me'!$B$12),-1)</f>
        <v/>
      </c>
      <c r="W2183" s="17">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7" t="n">
        <v>261</v>
      </c>
      <c r="U2184" s="17" t="n">
        <v>44</v>
      </c>
      <c r="V2184" s="17">
        <f>ROUNDUP((T2184+U2184+2*'Read Me'!$B$13)*(1+'Read Me'!$B$12),-1)</f>
        <v/>
      </c>
      <c r="W2184" s="17">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7" t="n">
        <v>293</v>
      </c>
      <c r="U2185" s="17" t="n">
        <v>44</v>
      </c>
      <c r="V2185" s="17">
        <f>ROUNDUP((T2185+U2185+2*'Read Me'!$B$13)*(1+'Read Me'!$B$12),-1)</f>
        <v/>
      </c>
      <c r="W2185" s="17">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7" t="n">
        <v>325</v>
      </c>
      <c r="U2186" s="17" t="n">
        <v>44</v>
      </c>
      <c r="V2186" s="17">
        <f>ROUNDUP((T2186+U2186+2*'Read Me'!$B$13)*(1+'Read Me'!$B$12),-1)</f>
        <v/>
      </c>
      <c r="W2186" s="17">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7" t="n">
        <v>357</v>
      </c>
      <c r="U2187" s="17" t="n">
        <v>44</v>
      </c>
      <c r="V2187" s="17">
        <f>ROUNDUP((T2187+U2187+2*'Read Me'!$B$13)*(1+'Read Me'!$B$12),-1)</f>
        <v/>
      </c>
      <c r="W2187" s="17">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7" t="n">
        <v>389</v>
      </c>
      <c r="U2188" s="17" t="n">
        <v>44</v>
      </c>
      <c r="V2188" s="17">
        <f>ROUNDUP((T2188+U2188+2*'Read Me'!$B$13)*(1+'Read Me'!$B$12),-1)</f>
        <v/>
      </c>
      <c r="W2188" s="17">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7" t="n">
        <v>339</v>
      </c>
      <c r="U2189" s="17" t="n">
        <v>44</v>
      </c>
      <c r="V2189" s="17">
        <f>ROUNDUP((T2189+U2189+2*'Read Me'!$B$13)*(1+'Read Me'!$B$12),-1)</f>
        <v/>
      </c>
      <c r="W2189" s="17">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7" t="n">
        <v>307</v>
      </c>
      <c r="U2190" s="17" t="n">
        <v>44</v>
      </c>
      <c r="V2190" s="17">
        <f>ROUNDUP((T2190+U2190+2*'Read Me'!$B$13)*(1+'Read Me'!$B$12),-1)</f>
        <v/>
      </c>
      <c r="W2190" s="17">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7" t="n">
        <v>275</v>
      </c>
      <c r="U2191" s="17" t="n">
        <v>44</v>
      </c>
      <c r="V2191" s="17">
        <f>ROUNDUP((T2191+U2191+2*'Read Me'!$B$13)*(1+'Read Me'!$B$12),-1)</f>
        <v/>
      </c>
      <c r="W2191" s="17">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7" t="n">
        <v>243</v>
      </c>
      <c r="U2192" s="17" t="n">
        <v>44</v>
      </c>
      <c r="V2192" s="17">
        <f>ROUNDUP((T2192+U2192+2*'Read Me'!$B$13)*(1+'Read Me'!$B$12),-1)</f>
        <v/>
      </c>
      <c r="W2192" s="17">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7" t="n">
        <v>211</v>
      </c>
      <c r="U2193" s="17" t="n">
        <v>44</v>
      </c>
      <c r="V2193" s="17">
        <f>ROUNDUP((T2193+U2193+2*'Read Me'!$B$13)*(1+'Read Me'!$B$12),-1)</f>
        <v/>
      </c>
      <c r="W2193" s="17">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7" t="n">
        <v>211</v>
      </c>
      <c r="U2194" s="17" t="n">
        <v>44</v>
      </c>
      <c r="V2194" s="17">
        <f>ROUNDUP((T2194+U2194+2*'Read Me'!$B$13)*(1+'Read Me'!$B$12),-1)</f>
        <v/>
      </c>
      <c r="W2194" s="17">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7" t="n">
        <v>243</v>
      </c>
      <c r="U2195" s="17" t="n">
        <v>44</v>
      </c>
      <c r="V2195" s="17">
        <f>ROUNDUP((T2195+U2195+2*'Read Me'!$B$13)*(1+'Read Me'!$B$12),-1)</f>
        <v/>
      </c>
      <c r="W2195" s="17">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275</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307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339</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289</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257</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225</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193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161</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161</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193</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225</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257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289</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239</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207</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175</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143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111</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111</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143</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175</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207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239</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239</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207</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175</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143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111</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111</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143</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175</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239</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289</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257</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225</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193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161</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161</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193</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225</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257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289</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339</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307</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275</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243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211</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211</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243</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275</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307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339</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389</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357</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325</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293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261</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261</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293</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325</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357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389</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7" t="n">
        <v>0</v>
      </c>
      <c r="U2259" s="17" t="n">
        <v>52</v>
      </c>
      <c r="V2259" s="17">
        <f>ROUNDUP((T2259+U2259+2*'Read Me'!$B$13)*(1+'Read Me'!$B$12),-1)</f>
        <v/>
      </c>
      <c r="W2259" s="17">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7" t="n">
        <v>0</v>
      </c>
      <c r="U2260" s="17" t="n">
        <v>52</v>
      </c>
      <c r="V2260" s="17">
        <f>ROUNDUP((T2260+U2260+2*'Read Me'!$B$13)*(1+'Read Me'!$B$12),-1)</f>
        <v/>
      </c>
      <c r="W2260" s="17">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7" t="n">
        <v>0</v>
      </c>
      <c r="U2261" s="17" t="n">
        <v>52</v>
      </c>
      <c r="V2261" s="17">
        <f>ROUNDUP((T2261+U2261+2*'Read Me'!$B$13)*(1+'Read Me'!$B$12),-1)</f>
        <v/>
      </c>
      <c r="W2261" s="17">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7" t="n">
        <v>0</v>
      </c>
      <c r="U2262" s="17" t="n">
        <v>52</v>
      </c>
      <c r="V2262" s="17">
        <f>ROUNDUP((T2262+U2262+2*'Read Me'!$B$13)*(1+'Read Me'!$B$12),-1)</f>
        <v/>
      </c>
      <c r="W2262" s="17">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7" t="n">
        <v>0</v>
      </c>
      <c r="U2263" s="17" t="n">
        <v>52</v>
      </c>
      <c r="V2263" s="17">
        <f>ROUNDUP((T2263+U2263+2*'Read Me'!$B$13)*(1+'Read Me'!$B$12),-1)</f>
        <v/>
      </c>
      <c r="W2263" s="17">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7" t="n">
        <v>0</v>
      </c>
      <c r="U2264" s="17" t="n">
        <v>52</v>
      </c>
      <c r="V2264" s="17">
        <f>ROUNDUP((T2264+U2264+2*'Read Me'!$B$13)*(1+'Read Me'!$B$12),-1)</f>
        <v/>
      </c>
      <c r="W2264" s="17">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7" t="n">
        <v>0</v>
      </c>
      <c r="U2265" s="17" t="n">
        <v>52</v>
      </c>
      <c r="V2265" s="17">
        <f>ROUNDUP((T2265+U2265+2*'Read Me'!$B$13)*(1+'Read Me'!$B$12),-1)</f>
        <v/>
      </c>
      <c r="W2265" s="17">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7" t="n">
        <v>0</v>
      </c>
      <c r="U2266" s="17" t="n">
        <v>52</v>
      </c>
      <c r="V2266" s="17">
        <f>ROUNDUP((T2266+U2266+2*'Read Me'!$B$13)*(1+'Read Me'!$B$12),-1)</f>
        <v/>
      </c>
      <c r="W2266" s="17">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7" t="n">
        <v>0</v>
      </c>
      <c r="U2267" s="17" t="n">
        <v>52</v>
      </c>
      <c r="V2267" s="17">
        <f>ROUNDUP((T2267+U2267+2*'Read Me'!$B$13)*(1+'Read Me'!$B$12),-1)</f>
        <v/>
      </c>
      <c r="W2267" s="17">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7" t="n">
        <v>0</v>
      </c>
      <c r="U2268" s="17" t="n">
        <v>52</v>
      </c>
      <c r="V2268" s="17">
        <f>ROUNDUP((T2268+U2268+2*'Read Me'!$B$13)*(1+'Read Me'!$B$12),-1)</f>
        <v/>
      </c>
      <c r="W2268" s="17">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7" t="n">
        <v>0</v>
      </c>
      <c r="U2269" s="17" t="n">
        <v>52</v>
      </c>
      <c r="V2269" s="17">
        <f>ROUNDUP((T2269+U2269+2*'Read Me'!$B$13)*(1+'Read Me'!$B$12),-1)</f>
        <v/>
      </c>
      <c r="W2269" s="17">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7" t="n">
        <v>0</v>
      </c>
      <c r="U2270" s="17" t="n">
        <v>52</v>
      </c>
      <c r="V2270" s="17">
        <f>ROUNDUP((T2270+U2270+2*'Read Me'!$B$13)*(1+'Read Me'!$B$12),-1)</f>
        <v/>
      </c>
      <c r="W2270" s="17">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7" t="n">
        <v>0</v>
      </c>
      <c r="U2271" s="17" t="n">
        <v>52</v>
      </c>
      <c r="V2271" s="17">
        <f>ROUNDUP((T2271+U2271+2*'Read Me'!$B$13)*(1+'Read Me'!$B$12),-1)</f>
        <v/>
      </c>
      <c r="W2271" s="17">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7" t="n">
        <v>0</v>
      </c>
      <c r="U2272" s="17" t="n">
        <v>52</v>
      </c>
      <c r="V2272" s="17">
        <f>ROUNDUP((T2272+U2272+2*'Read Me'!$B$13)*(1+'Read Me'!$B$12),-1)</f>
        <v/>
      </c>
      <c r="W2272" s="17">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7" t="n">
        <v>0</v>
      </c>
      <c r="U2273" s="17" t="n">
        <v>52</v>
      </c>
      <c r="V2273" s="17">
        <f>ROUNDUP((T2273+U2273+2*'Read Me'!$B$13)*(1+'Read Me'!$B$12),-1)</f>
        <v/>
      </c>
      <c r="W2273" s="17">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7" t="n">
        <v>0</v>
      </c>
      <c r="U2274" s="17" t="n">
        <v>52</v>
      </c>
      <c r="V2274" s="17">
        <f>ROUNDUP((T2274+U2274+2*'Read Me'!$B$13)*(1+'Read Me'!$B$12),-1)</f>
        <v/>
      </c>
      <c r="W2274" s="17">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7" t="n">
        <v>0</v>
      </c>
      <c r="U2275" s="17" t="n">
        <v>52</v>
      </c>
      <c r="V2275" s="17">
        <f>ROUNDUP((T2275+U2275+2*'Read Me'!$B$13)*(1+'Read Me'!$B$12),-1)</f>
        <v/>
      </c>
      <c r="W2275" s="17">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7" t="n">
        <v>300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7" t="n">
        <v>300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7" t="n">
        <v>300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7" t="n">
        <v>300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7" t="n">
        <v>300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7" t="n">
        <v>300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7" t="n">
        <v>300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7" t="n">
        <v>765</v>
      </c>
      <c r="U2300" s="17" t="n">
        <v>211</v>
      </c>
      <c r="V2300" s="17">
        <f>ROUNDUP((T2300+U2300+2*'Read Me'!$B$13)*(1+'Read Me'!$B$12),-1)</f>
        <v/>
      </c>
      <c r="W2300" s="17">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7" t="n">
        <v>765</v>
      </c>
      <c r="U2301" s="17" t="n">
        <v>211</v>
      </c>
      <c r="V2301" s="17">
        <f>ROUNDUP((T2301+U2301+2*'Read Me'!$B$13)*(1+'Read Me'!$B$12),-1)</f>
        <v/>
      </c>
      <c r="W2301" s="17">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7" t="n">
        <v>765</v>
      </c>
      <c r="U2302" s="17" t="n">
        <v>211</v>
      </c>
      <c r="V2302" s="17">
        <f>ROUNDUP((T2302+U2302+2*'Read Me'!$B$13)*(1+'Read Me'!$B$12),-1)</f>
        <v/>
      </c>
      <c r="W2302" s="17">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7" t="n">
        <v>765</v>
      </c>
      <c r="U2303" s="17" t="n">
        <v>211</v>
      </c>
      <c r="V2303" s="17">
        <f>ROUNDUP((T2303+U2303+2*'Read Me'!$B$13)*(1+'Read Me'!$B$12),-1)</f>
        <v/>
      </c>
      <c r="W2303" s="17">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7" t="n">
        <v>765</v>
      </c>
      <c r="U2304" s="17" t="n">
        <v>211</v>
      </c>
      <c r="V2304" s="17">
        <f>ROUNDUP((T2304+U2304+2*'Read Me'!$B$13)*(1+'Read Me'!$B$12),-1)</f>
        <v/>
      </c>
      <c r="W2304" s="17">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7" t="n">
        <v>765</v>
      </c>
      <c r="U2305" s="17" t="n">
        <v>211</v>
      </c>
      <c r="V2305" s="17">
        <f>ROUNDUP((T2305+U2305+2*'Read Me'!$B$13)*(1+'Read Me'!$B$12),-1)</f>
        <v/>
      </c>
      <c r="W2305" s="17">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7" t="n">
        <v>765</v>
      </c>
      <c r="U2306" s="17" t="n">
        <v>211</v>
      </c>
      <c r="V2306" s="17">
        <f>ROUNDUP((T2306+U2306+2*'Read Me'!$B$13)*(1+'Read Me'!$B$12),-1)</f>
        <v/>
      </c>
      <c r="W2306" s="17">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7" t="n">
        <v>765</v>
      </c>
      <c r="U2307" s="17" t="n">
        <v>211</v>
      </c>
      <c r="V2307" s="17">
        <f>ROUNDUP((T2307+U2307+2*'Read Me'!$B$13)*(1+'Read Me'!$B$12),-1)</f>
        <v/>
      </c>
      <c r="W2307" s="17">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7" t="n">
        <v>765</v>
      </c>
      <c r="U2308" s="17" t="n">
        <v>211</v>
      </c>
      <c r="V2308" s="17">
        <f>ROUNDUP((T2308+U2308+2*'Read Me'!$B$13)*(1+'Read Me'!$B$12),-1)</f>
        <v/>
      </c>
      <c r="W2308" s="17">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7" t="n">
        <v>765</v>
      </c>
      <c r="U2309" s="17" t="n">
        <v>211</v>
      </c>
      <c r="V2309" s="17">
        <f>ROUNDUP((T2309+U2309+2*'Read Me'!$B$13)*(1+'Read Me'!$B$12),-1)</f>
        <v/>
      </c>
      <c r="W2309" s="17">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7" t="n">
        <v>765</v>
      </c>
      <c r="U2310" s="17" t="n">
        <v>211</v>
      </c>
      <c r="V2310" s="17">
        <f>ROUNDUP((T2310+U2310+2*'Read Me'!$B$13)*(1+'Read Me'!$B$12),-1)</f>
        <v/>
      </c>
      <c r="W2310" s="17">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7" t="n">
        <v>765</v>
      </c>
      <c r="U2311" s="17" t="n">
        <v>211</v>
      </c>
      <c r="V2311" s="17">
        <f>ROUNDUP((T2311+U2311+2*'Read Me'!$B$13)*(1+'Read Me'!$B$12),-1)</f>
        <v/>
      </c>
      <c r="W2311" s="17">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7" t="n">
        <v>664</v>
      </c>
      <c r="U2312" s="17" t="n">
        <v>175</v>
      </c>
      <c r="V2312" s="17">
        <f>ROUNDUP((T2312+U2312+2*'Read Me'!$B$13)*(1+'Read Me'!$B$12),-1)</f>
        <v/>
      </c>
      <c r="W2312" s="17">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7" t="n">
        <v>664</v>
      </c>
      <c r="U2313" s="17" t="n">
        <v>175</v>
      </c>
      <c r="V2313" s="17">
        <f>ROUNDUP((T2313+U2313+2*'Read Me'!$B$13)*(1+'Read Me'!$B$12),-1)</f>
        <v/>
      </c>
      <c r="W2313" s="17">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7" t="n">
        <v>398</v>
      </c>
      <c r="U2314" s="17" t="n">
        <v>113</v>
      </c>
      <c r="V2314" s="17">
        <f>ROUNDUP((T2314+U2314+2*'Read Me'!$B$13)*(1+'Read Me'!$B$12),-1)</f>
        <v/>
      </c>
      <c r="W2314" s="17">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7" t="n">
        <v>0</v>
      </c>
      <c r="U2315" s="17" t="n">
        <v>54</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7" t="n">
        <v>160</v>
      </c>
      <c r="U2316" s="17" t="n">
        <v>64</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7" t="n">
        <v>160</v>
      </c>
      <c r="U2317" s="17" t="n">
        <v>64</v>
      </c>
      <c r="V2317" s="17">
        <f>ROUNDUP((T2317+U2317+2*'Read Me'!$B$13)*(1+'Read Me'!$B$12),-1)</f>
        <v/>
      </c>
      <c r="W2317" s="17">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7" t="n">
        <v>160</v>
      </c>
      <c r="U2318" s="17" t="n">
        <v>64</v>
      </c>
      <c r="V2318" s="17">
        <f>ROUNDUP((T2318+U2318+2*'Read Me'!$B$13)*(1+'Read Me'!$B$12),-1)</f>
        <v/>
      </c>
      <c r="W2318" s="17">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7" t="n">
        <v>160</v>
      </c>
      <c r="U2319" s="17" t="n">
        <v>64</v>
      </c>
      <c r="V2319" s="17">
        <f>ROUNDUP((T2319+U2319+2*'Read Me'!$B$13)*(1+'Read Me'!$B$12),-1)</f>
        <v/>
      </c>
      <c r="W2319" s="17">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7" t="n">
        <v>160</v>
      </c>
      <c r="U2320" s="17" t="n">
        <v>64</v>
      </c>
      <c r="V2320" s="17">
        <f>ROUNDUP((T2320+U2320+2*'Read Me'!$B$13)*(1+'Read Me'!$B$12),-1)</f>
        <v/>
      </c>
      <c r="W2320" s="17">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7" t="n">
        <v>160</v>
      </c>
      <c r="U2321" s="17" t="n">
        <v>64</v>
      </c>
      <c r="V2321" s="17">
        <f>ROUNDUP((T2321+U2321+2*'Read Me'!$B$13)*(1+'Read Me'!$B$12),-1)</f>
        <v/>
      </c>
      <c r="W2321" s="17">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7" t="n">
        <v>186</v>
      </c>
      <c r="U2322" s="17" t="n">
        <v>64</v>
      </c>
      <c r="V2322" s="17">
        <f>ROUNDUP((T2322+U2322+2*'Read Me'!$B$13)*(1+'Read Me'!$B$12),-1)</f>
        <v/>
      </c>
      <c r="W2322" s="17">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7" t="n">
        <v>186</v>
      </c>
      <c r="U2323" s="17" t="n">
        <v>64</v>
      </c>
      <c r="V2323" s="17">
        <f>ROUNDUP((T2323+U2323+2*'Read Me'!$B$13)*(1+'Read Me'!$B$12),-1)</f>
        <v/>
      </c>
      <c r="W2323" s="17">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7" t="n">
        <v>186</v>
      </c>
      <c r="U2324" s="17" t="n">
        <v>64</v>
      </c>
      <c r="V2324" s="17">
        <f>ROUNDUP((T2324+U2324+2*'Read Me'!$B$13)*(1+'Read Me'!$B$12),-1)</f>
        <v/>
      </c>
      <c r="W2324" s="17">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7" t="n">
        <v>186</v>
      </c>
      <c r="U2325" s="17" t="n">
        <v>64</v>
      </c>
      <c r="V2325" s="17">
        <f>ROUNDUP((T2325+U2325+2*'Read Me'!$B$13)*(1+'Read Me'!$B$12),-1)</f>
        <v/>
      </c>
      <c r="W2325" s="17">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7" t="n">
        <v>186</v>
      </c>
      <c r="U2326" s="17" t="n">
        <v>64</v>
      </c>
      <c r="V2326" s="17">
        <f>ROUNDUP((T2326+U2326+2*'Read Me'!$B$13)*(1+'Read Me'!$B$12),-1)</f>
        <v/>
      </c>
      <c r="W2326" s="17">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7" t="n">
        <v>186</v>
      </c>
      <c r="U2327" s="17" t="n">
        <v>64</v>
      </c>
      <c r="V2327" s="17">
        <f>ROUNDUP((T2327+U2327+2*'Read Me'!$B$13)*(1+'Read Me'!$B$12),-1)</f>
        <v/>
      </c>
      <c r="W2327" s="17">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7" t="n">
        <v>215</v>
      </c>
      <c r="U2328" s="17" t="n">
        <v>51</v>
      </c>
      <c r="V2328" s="17">
        <f>ROUNDUP((T2328+U2328+2*'Read Me'!$B$13)*(1+'Read Me'!$B$12),-1)</f>
        <v/>
      </c>
      <c r="W2328" s="17">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7" t="n">
        <v>215</v>
      </c>
      <c r="U2329" s="17" t="n">
        <v>51</v>
      </c>
      <c r="V2329" s="17">
        <f>ROUNDUP((T2329+U2329+2*'Read Me'!$B$13)*(1+'Read Me'!$B$12),-1)</f>
        <v/>
      </c>
      <c r="W2329" s="17">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7" t="n">
        <v>215</v>
      </c>
      <c r="U2330" s="17" t="n">
        <v>51</v>
      </c>
      <c r="V2330" s="17">
        <f>ROUNDUP((T2330+U2330+2*'Read Me'!$B$13)*(1+'Read Me'!$B$12),-1)</f>
        <v/>
      </c>
      <c r="W2330" s="17">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7" t="n">
        <v>215</v>
      </c>
      <c r="U2331" s="17" t="n">
        <v>51</v>
      </c>
      <c r="V2331" s="17">
        <f>ROUNDUP((T2331+U2331+2*'Read Me'!$B$13)*(1+'Read Me'!$B$12),-1)</f>
        <v/>
      </c>
      <c r="W2331" s="17">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7" t="n">
        <v>215</v>
      </c>
      <c r="U2332" s="17" t="n">
        <v>51</v>
      </c>
      <c r="V2332" s="17">
        <f>ROUNDUP((T2332+U2332+2*'Read Me'!$B$13)*(1+'Read Me'!$B$12),-1)</f>
        <v/>
      </c>
      <c r="W2332" s="17">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215</v>
      </c>
      <c r="U2333" s="17" t="n">
        <v>51</v>
      </c>
      <c r="V2333" s="17">
        <f>ROUNDUP((T2333+U2333+2*'Read Me'!$B$13)*(1+'Read Me'!$B$12),-1)</f>
        <v/>
      </c>
      <c r="W2333" s="17">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209</v>
      </c>
      <c r="U2334" s="17" t="n">
        <v>77</v>
      </c>
      <c r="V2334" s="17">
        <f>ROUNDUP((T2334+U2334+2*'Read Me'!$B$13)*(1+'Read Me'!$B$12),-1)</f>
        <v/>
      </c>
      <c r="W2334" s="17">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209</v>
      </c>
      <c r="U2335" s="17" t="n">
        <v>77</v>
      </c>
      <c r="V2335" s="17">
        <f>ROUNDUP((T2335+U2335+2*'Read Me'!$B$13)*(1+'Read Me'!$B$12),-1)</f>
        <v/>
      </c>
      <c r="W2335" s="17">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209</v>
      </c>
      <c r="U2336" s="17" t="n">
        <v>77</v>
      </c>
      <c r="V2336" s="17">
        <f>ROUNDUP((T2336+U2336+2*'Read Me'!$B$13)*(1+'Read Me'!$B$12),-1)</f>
        <v/>
      </c>
      <c r="W2336" s="17">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209</v>
      </c>
      <c r="U2337" s="17" t="n">
        <v>77</v>
      </c>
      <c r="V2337" s="17">
        <f>ROUNDUP((T2337+U2337+2*'Read Me'!$B$13)*(1+'Read Me'!$B$12),-1)</f>
        <v/>
      </c>
      <c r="W2337" s="17">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209</v>
      </c>
      <c r="U2338" s="17" t="n">
        <v>77</v>
      </c>
      <c r="V2338" s="17">
        <f>ROUNDUP((T2338+U2338+2*'Read Me'!$B$13)*(1+'Read Me'!$B$12),-1)</f>
        <v/>
      </c>
      <c r="W2338" s="17">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209</v>
      </c>
      <c r="U2339" s="17" t="n">
        <v>77</v>
      </c>
      <c r="V2339" s="17">
        <f>ROUNDUP((T2339+U2339+2*'Read Me'!$B$13)*(1+'Read Me'!$B$12),-1)</f>
        <v/>
      </c>
      <c r="W2339" s="17">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7" t="n">
        <v>520</v>
      </c>
      <c r="U2340" s="17" t="n">
        <v>99</v>
      </c>
      <c r="V2340" s="17">
        <f>ROUNDUP((T2340+U2340+2*'Read Me'!$B$13)*(1+'Read Me'!$B$12),-1)</f>
        <v/>
      </c>
      <c r="W2340" s="17">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7" t="n">
        <v>520</v>
      </c>
      <c r="U2341" s="17" t="n">
        <v>99</v>
      </c>
      <c r="V2341" s="17">
        <f>ROUNDUP((T2341+U2341+2*'Read Me'!$B$13)*(1+'Read Me'!$B$12),-1)</f>
        <v/>
      </c>
      <c r="W2341" s="17">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7" t="n">
        <v>1173</v>
      </c>
      <c r="U2342" s="17" t="n">
        <v>147</v>
      </c>
      <c r="V2342" s="17">
        <f>ROUNDUP((T2342+U2342+2*'Read Me'!$B$13)*(1+'Read Me'!$B$12),-1)</f>
        <v/>
      </c>
      <c r="W2342" s="17">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7" t="n">
        <v>1228</v>
      </c>
      <c r="U2343" s="17" t="n">
        <v>163</v>
      </c>
      <c r="V2343" s="17">
        <f>ROUNDUP((T2343+U2343+2*'Read Me'!$B$13)*(1+'Read Me'!$B$12),-1)</f>
        <v/>
      </c>
      <c r="W2343" s="17">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7" t="n">
        <v>1310</v>
      </c>
      <c r="U2344" s="17" t="n">
        <v>128</v>
      </c>
      <c r="V2344" s="17">
        <f>ROUNDUP((T2344+U2344+2*'Read Me'!$B$13)*(1+'Read Me'!$B$12),-1)</f>
        <v/>
      </c>
      <c r="W2344" s="17">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7" t="n">
        <v>1222</v>
      </c>
      <c r="U2345" s="17" t="n">
        <v>160</v>
      </c>
      <c r="V2345" s="17">
        <f>ROUNDUP((T2345+U2345+2*'Read Me'!$B$13)*(1+'Read Me'!$B$12),-1)</f>
        <v/>
      </c>
      <c r="W2345" s="17">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7" t="n">
        <v>1215</v>
      </c>
      <c r="U2346" s="17" t="n">
        <v>274</v>
      </c>
      <c r="V2346" s="17">
        <f>ROUNDUP((T2346+U2346+2*'Read Me'!$B$13)*(1+'Read Me'!$B$12),-1)</f>
        <v/>
      </c>
      <c r="W2346" s="17">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7" t="n">
        <v>855</v>
      </c>
      <c r="U2347" s="17" t="n">
        <v>155</v>
      </c>
      <c r="V2347" s="17">
        <f>ROUNDUP((T2347+U2347+2*'Read Me'!$B$13)*(1+'Read Me'!$B$12),-1)</f>
        <v/>
      </c>
      <c r="W2347" s="17">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7" t="n">
        <v>1215</v>
      </c>
      <c r="U2348" s="17" t="n">
        <v>274</v>
      </c>
      <c r="V2348" s="17">
        <f>ROUNDUP((T2348+U2348+2*'Read Me'!$B$13)*(1+'Read Me'!$B$12),-1)</f>
        <v/>
      </c>
      <c r="W2348" s="17">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7" t="n">
        <v>5824</v>
      </c>
      <c r="U2349" s="17" t="n">
        <v>0</v>
      </c>
      <c r="V2349" s="17">
        <f>ROUNDUP((T2349+U2349+2*'Read Me'!$B$13)*(1+'Read Me'!$B$12),-1)</f>
        <v/>
      </c>
      <c r="W2349" s="17">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7" t="n">
        <v>274</v>
      </c>
      <c r="U2350" s="17" t="n">
        <v>40</v>
      </c>
      <c r="V2350" s="17">
        <f>ROUNDUP((T2350+U2350+2*'Read Me'!$B$13)*(1+'Read Me'!$B$12),-1)</f>
        <v/>
      </c>
      <c r="W2350" s="17">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7" t="n">
        <v>274</v>
      </c>
      <c r="U2351" s="17" t="n">
        <v>40</v>
      </c>
      <c r="V2351" s="17">
        <f>ROUNDUP((T2351+U2351+2*'Read Me'!$B$13)*(1+'Read Me'!$B$12),-1)</f>
        <v/>
      </c>
      <c r="W2351" s="17">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7" t="n">
        <v>274</v>
      </c>
      <c r="U2352" s="17" t="n">
        <v>40</v>
      </c>
      <c r="V2352" s="17">
        <f>ROUNDUP((T2352+U2352+2*'Read Me'!$B$13)*(1+'Read Me'!$B$12),-1)</f>
        <v/>
      </c>
      <c r="W2352" s="17">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7" t="n">
        <v>274</v>
      </c>
      <c r="U2353" s="17" t="n">
        <v>40</v>
      </c>
      <c r="V2353" s="17">
        <f>ROUNDUP((T2353+U2353+2*'Read Me'!$B$13)*(1+'Read Me'!$B$12),-1)</f>
        <v/>
      </c>
      <c r="W2353" s="17">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7" t="n">
        <v>274</v>
      </c>
      <c r="U2354" s="17" t="n">
        <v>40</v>
      </c>
      <c r="V2354" s="17">
        <f>ROUNDUP((T2354+U2354+2*'Read Me'!$B$13)*(1+'Read Me'!$B$12),-1)</f>
        <v/>
      </c>
      <c r="W2354" s="17">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7" t="n">
        <v>274</v>
      </c>
      <c r="U2355" s="17" t="n">
        <v>40</v>
      </c>
      <c r="V2355" s="17">
        <f>ROUNDUP((T2355+U2355+2*'Read Me'!$B$13)*(1+'Read Me'!$B$12),-1)</f>
        <v/>
      </c>
      <c r="W2355" s="17">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7" t="n">
        <v>274</v>
      </c>
      <c r="U2356" s="17" t="n">
        <v>40</v>
      </c>
      <c r="V2356" s="17">
        <f>ROUNDUP((T2356+U2356+2*'Read Me'!$B$13)*(1+'Read Me'!$B$12),-1)</f>
        <v/>
      </c>
      <c r="W2356" s="17">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7" t="n">
        <v>274</v>
      </c>
      <c r="U2357" s="17" t="n">
        <v>52</v>
      </c>
      <c r="V2357" s="17">
        <f>ROUNDUP((T2357+U2357+2*'Read Me'!$B$13)*(1+'Read Me'!$B$12),-1)</f>
        <v/>
      </c>
      <c r="W2357" s="17">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7" t="n">
        <v>274</v>
      </c>
      <c r="U2358" s="17" t="n">
        <v>52</v>
      </c>
      <c r="V2358" s="17">
        <f>ROUNDUP((T2358+U2358+2*'Read Me'!$B$13)*(1+'Read Me'!$B$12),-1)</f>
        <v/>
      </c>
      <c r="W2358" s="17">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7" t="n">
        <v>274</v>
      </c>
      <c r="U2359" s="17" t="n">
        <v>52</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7" t="n">
        <v>274</v>
      </c>
      <c r="U2360" s="17" t="n">
        <v>52</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7" t="n">
        <v>274</v>
      </c>
      <c r="U2361" s="17" t="n">
        <v>52</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7" t="n">
        <v>274</v>
      </c>
      <c r="U2362" s="17" t="n">
        <v>52</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7" t="n">
        <v>274</v>
      </c>
      <c r="U2363" s="17" t="n">
        <v>52</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7" t="n">
        <v>274</v>
      </c>
      <c r="U2364" s="17" t="n">
        <v>92</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7" t="n">
        <v>274</v>
      </c>
      <c r="U2365" s="17" t="n">
        <v>92</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7" t="n">
        <v>274</v>
      </c>
      <c r="U2366" s="17" t="n">
        <v>92</v>
      </c>
      <c r="V2366" s="17">
        <f>ROUNDUP((T2366+U2366+2*'Read Me'!$B$13)*(1+'Read Me'!$B$12),-1)</f>
        <v/>
      </c>
      <c r="W2366" s="17">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92</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7" t="n">
        <v>274</v>
      </c>
      <c r="U2368" s="17" t="n">
        <v>92</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7" t="n">
        <v>274</v>
      </c>
      <c r="U2369" s="17" t="n">
        <v>92</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7" t="n">
        <v>274</v>
      </c>
      <c r="U2370" s="17" t="n">
        <v>92</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7" t="n">
        <v>474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7" t="n">
        <v>474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7" t="n">
        <v>474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474</v>
      </c>
      <c r="U2374" s="17" t="n">
        <v>40</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7" t="n">
        <v>474</v>
      </c>
      <c r="U2375" s="17" t="n">
        <v>40</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7" t="n">
        <v>474</v>
      </c>
      <c r="U2376" s="17" t="n">
        <v>40</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7" t="n">
        <v>474</v>
      </c>
      <c r="U2377" s="17" t="n">
        <v>40</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7" t="n">
        <v>474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7" t="n">
        <v>474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7" t="n">
        <v>474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474</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7" t="n">
        <v>474</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7" t="n">
        <v>474</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7" t="n">
        <v>474</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7" t="n">
        <v>474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7" t="n">
        <v>474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7" t="n">
        <v>474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92</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7" t="n">
        <v>474</v>
      </c>
      <c r="U2389" s="17" t="n">
        <v>92</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7" t="n">
        <v>474</v>
      </c>
      <c r="U2390" s="17" t="n">
        <v>92</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7" t="n">
        <v>474</v>
      </c>
      <c r="U2391" s="17" t="n">
        <v>92</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7" t="n">
        <v>674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7" t="n">
        <v>674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7" t="n">
        <v>674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674</v>
      </c>
      <c r="U2395" s="17" t="n">
        <v>40</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7" t="n">
        <v>674</v>
      </c>
      <c r="U2396" s="17" t="n">
        <v>40</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7" t="n">
        <v>674</v>
      </c>
      <c r="U2397" s="17" t="n">
        <v>40</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7" t="n">
        <v>674</v>
      </c>
      <c r="U2398" s="17" t="n">
        <v>40</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7" t="n">
        <v>674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7" t="n">
        <v>674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7" t="n">
        <v>674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674</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7" t="n">
        <v>674</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7" t="n">
        <v>674</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7" t="n">
        <v>674</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7" t="n">
        <v>674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7" t="n">
        <v>674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7" t="n">
        <v>674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92</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7" t="n">
        <v>674</v>
      </c>
      <c r="U2410" s="17" t="n">
        <v>92</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7" t="n">
        <v>674</v>
      </c>
      <c r="U2411" s="17" t="n">
        <v>92</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7" t="n">
        <v>674</v>
      </c>
      <c r="U2412" s="17" t="n">
        <v>92</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7" t="n">
        <v>1294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7" t="n">
        <v>1294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7" t="n">
        <v>1294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1294</v>
      </c>
      <c r="U2416" s="17" t="n">
        <v>40</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7" t="n">
        <v>1294</v>
      </c>
      <c r="U2417" s="17" t="n">
        <v>40</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7" t="n">
        <v>1294</v>
      </c>
      <c r="U2418" s="17" t="n">
        <v>40</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7" t="n">
        <v>1294</v>
      </c>
      <c r="U2419" s="17" t="n">
        <v>40</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7" t="n">
        <v>1294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7" t="n">
        <v>1294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7" t="n">
        <v>1294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1294</v>
      </c>
      <c r="U2423" s="17" t="n">
        <v>52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7" t="n">
        <v>1294</v>
      </c>
      <c r="U2424" s="17" t="n">
        <v>52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7" t="n">
        <v>1294</v>
      </c>
      <c r="U2425" s="17" t="n">
        <v>52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7" t="n">
        <v>1294</v>
      </c>
      <c r="U2426" s="17" t="n">
        <v>52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7" t="n">
        <v>1340</v>
      </c>
      <c r="U2427" s="17" t="n">
        <v>46</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7" t="n">
        <v>1340</v>
      </c>
      <c r="U2428" s="17" t="n">
        <v>46</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7" t="n">
        <v>1340</v>
      </c>
      <c r="U2429" s="17" t="n">
        <v>46</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1340</v>
      </c>
      <c r="U2430" s="17" t="n">
        <v>46</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7" t="n">
        <v>1340</v>
      </c>
      <c r="U2431" s="17" t="n">
        <v>46</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7" t="n">
        <v>1340</v>
      </c>
      <c r="U2432" s="17" t="n">
        <v>46</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7" t="n">
        <v>1340</v>
      </c>
      <c r="U2433" s="17" t="n">
        <v>46</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7" t="n">
        <v>1434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7" t="n">
        <v>1434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7" t="n">
        <v>1434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1434</v>
      </c>
      <c r="U2437" s="17" t="n">
        <v>40</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7" t="n">
        <v>1434</v>
      </c>
      <c r="U2438" s="17" t="n">
        <v>40</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7" t="n">
        <v>1434</v>
      </c>
      <c r="U2439" s="17" t="n">
        <v>40</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7" t="n">
        <v>1434</v>
      </c>
      <c r="U2440" s="17" t="n">
        <v>40</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7" t="n">
        <v>1434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7" t="n">
        <v>1434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7" t="n">
        <v>1434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1434</v>
      </c>
      <c r="U2444" s="17" t="n">
        <v>52</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7" t="n">
        <v>1434</v>
      </c>
      <c r="U2445" s="17" t="n">
        <v>52</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7" t="n">
        <v>1434</v>
      </c>
      <c r="U2446" s="17" t="n">
        <v>52</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7" t="n">
        <v>1434</v>
      </c>
      <c r="U2447" s="17" t="n">
        <v>52</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7" t="n">
        <v>1434</v>
      </c>
      <c r="U2448" s="17" t="n">
        <v>92</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7" t="n">
        <v>1434</v>
      </c>
      <c r="U2449" s="17" t="n">
        <v>92</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7" t="n">
        <v>1434</v>
      </c>
      <c r="U2450" s="17" t="n">
        <v>92</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92</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7" t="n">
        <v>1434</v>
      </c>
      <c r="U2452" s="17" t="n">
        <v>92</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7" t="n">
        <v>1434</v>
      </c>
      <c r="U2453" s="17" t="n">
        <v>92</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7" t="n">
        <v>1434</v>
      </c>
      <c r="U2454" s="17" t="n">
        <v>92</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7" t="n">
        <v>1584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1584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1584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1584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7" t="n">
        <v>1584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1584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1584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7" t="n">
        <v>1584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1584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1584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1584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7" t="n">
        <v>1584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1584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1584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7" t="n">
        <v>1584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1584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1584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7" t="n">
        <v>1584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1584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1584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7" t="n">
        <v>0</v>
      </c>
      <c r="U2476" s="17" t="n">
        <v>30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7" t="n">
        <v>809</v>
      </c>
      <c r="U2477" s="17" t="n">
        <v>32</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7" t="n">
        <v>0</v>
      </c>
      <c r="U2478" s="17" t="n">
        <v>30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1170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7" t="n">
        <v>70200</v>
      </c>
      <c r="U2479" s="17" t="n">
        <v>0</v>
      </c>
      <c r="V2479" s="17">
        <f>ROUNDUP((T2479+U2479+2*'Read Me'!$B$13)*(1+'Read Me'!$B$12),-1)</f>
        <v/>
      </c>
      <c r="W2479" s="17">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7" t="n">
        <v>68700</v>
      </c>
      <c r="U2480" s="17" t="n">
        <v>0</v>
      </c>
      <c r="V2480" s="17">
        <f>ROUNDUP((T2480+U2480+2*'Read Me'!$B$13)*(1+'Read Me'!$B$12),-1)</f>
        <v/>
      </c>
      <c r="W2480" s="17">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7" t="n">
        <v>182</v>
      </c>
      <c r="U2481" s="17" t="n">
        <v>80</v>
      </c>
      <c r="V2481" s="17">
        <f>ROUNDUP((T2481+U2481+2*'Read Me'!$B$13)*(1+'Read Me'!$B$12),-1)</f>
        <v/>
      </c>
      <c r="W2481" s="17">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7" t="n">
        <v>1486</v>
      </c>
      <c r="U2482" s="17" t="n">
        <v>80</v>
      </c>
      <c r="V2482" s="17">
        <f>ROUNDUP((T2482+U2482+2*'Read Me'!$B$13)*(1+'Read Me'!$B$12),-1)</f>
        <v/>
      </c>
      <c r="W2482" s="17">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7" t="n">
        <v>1536</v>
      </c>
      <c r="U2483" s="17" t="n">
        <v>80</v>
      </c>
      <c r="V2483" s="17">
        <f>ROUNDUP((T2483+U2483+2*'Read Me'!$B$13)*(1+'Read Me'!$B$12),-1)</f>
        <v/>
      </c>
      <c r="W2483" s="17">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7" t="n">
        <v>1720</v>
      </c>
      <c r="U2484" s="17" t="n">
        <v>80</v>
      </c>
      <c r="V2484" s="17">
        <f>ROUNDUP((T2484+U2484+2*'Read Me'!$B$13)*(1+'Read Me'!$B$12),-1)</f>
        <v/>
      </c>
      <c r="W2484" s="17">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7" t="n">
        <v>12</v>
      </c>
      <c r="U2485" s="17" t="n">
        <v>80</v>
      </c>
      <c r="V2485" s="17">
        <f>ROUNDUP((T2485+U2485+2*'Read Me'!$B$13)*(1+'Read Me'!$B$12),-1)</f>
        <v/>
      </c>
      <c r="W2485" s="17">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7" t="n">
        <v>10</v>
      </c>
      <c r="U2486" s="17" t="n">
        <v>80</v>
      </c>
      <c r="V2486" s="17">
        <f>ROUNDUP((T2486+U2486+2*'Read Me'!$B$13)*(1+'Read Me'!$B$12),-1)</f>
        <v/>
      </c>
      <c r="W2486" s="17">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7" t="n">
        <v>52</v>
      </c>
      <c r="U2487" s="17" t="n">
        <v>10</v>
      </c>
      <c r="V2487" s="17">
        <f>ROUNDUP((T2487+U2487+2*'Read Me'!$B$13)*(1+'Read Me'!$B$12),-1)</f>
        <v/>
      </c>
      <c r="W2487" s="17">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7" t="n">
        <v>274</v>
      </c>
      <c r="U2488" s="17" t="n">
        <v>40</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7" t="n">
        <v>52</v>
      </c>
      <c r="U2489" s="17" t="n">
        <v>10</v>
      </c>
      <c r="V2489" s="17">
        <f>ROUNDUP((T2489+U2489+2*'Read Me'!$B$13)*(1+'Read Me'!$B$12),-1)</f>
        <v/>
      </c>
      <c r="W2489" s="17">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7" t="n">
        <v>274</v>
      </c>
      <c r="U2490" s="17" t="n">
        <v>40</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7" t="n">
        <v>52</v>
      </c>
      <c r="U2491" s="17" t="n">
        <v>10</v>
      </c>
      <c r="V2491" s="17">
        <f>ROUNDUP((T2491+U2491+2*'Read Me'!$B$13)*(1+'Read Me'!$B$12),-1)</f>
        <v/>
      </c>
      <c r="W2491" s="17">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7" t="n">
        <v>274</v>
      </c>
      <c r="U2492" s="17" t="n">
        <v>52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7" t="n">
        <v>52</v>
      </c>
      <c r="U2493" s="17" t="n">
        <v>10</v>
      </c>
      <c r="V2493" s="17">
        <f>ROUNDUP((T2493+U2493+2*'Read Me'!$B$13)*(1+'Read Me'!$B$12),-1)</f>
        <v/>
      </c>
      <c r="W2493" s="17">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7" t="n">
        <v>274</v>
      </c>
      <c r="U2494" s="17" t="n">
        <v>52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7" t="n">
        <v>52</v>
      </c>
      <c r="U2495" s="17" t="n">
        <v>10</v>
      </c>
      <c r="V2495" s="17">
        <f>ROUNDUP((T2495+U2495+2*'Read Me'!$B$13)*(1+'Read Me'!$B$12),-1)</f>
        <v/>
      </c>
      <c r="W2495" s="17">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7" t="n">
        <v>274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7" t="n">
        <v>52</v>
      </c>
      <c r="U2497" s="17" t="n">
        <v>10</v>
      </c>
      <c r="V2497" s="17">
        <f>ROUNDUP((T2497+U2497+2*'Read Me'!$B$13)*(1+'Read Me'!$B$12),-1)</f>
        <v/>
      </c>
      <c r="W2497" s="17">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7" t="n">
        <v>274</v>
      </c>
      <c r="U2498" s="17" t="n">
        <v>92</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7" t="n">
        <v>52</v>
      </c>
      <c r="U2499" s="17" t="n">
        <v>10</v>
      </c>
      <c r="V2499" s="17">
        <f>ROUNDUP((T2499+U2499+2*'Read Me'!$B$13)*(1+'Read Me'!$B$12),-1)</f>
        <v/>
      </c>
      <c r="W2499" s="17">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7" t="n">
        <v>474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7" t="n">
        <v>52</v>
      </c>
      <c r="U2501" s="17" t="n">
        <v>10</v>
      </c>
      <c r="V2501" s="17">
        <f>ROUNDUP((T2501+U2501+2*'Read Me'!$B$13)*(1+'Read Me'!$B$12),-1)</f>
        <v/>
      </c>
      <c r="W2501" s="17">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7" t="n">
        <v>474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7" t="n">
        <v>52</v>
      </c>
      <c r="U2503" s="17" t="n">
        <v>10</v>
      </c>
      <c r="V2503" s="17">
        <f>ROUNDUP((T2503+U2503+2*'Read Me'!$B$13)*(1+'Read Me'!$B$12),-1)</f>
        <v/>
      </c>
      <c r="W2503" s="17">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7" t="n">
        <v>474</v>
      </c>
      <c r="U2504" s="17" t="n">
        <v>52</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7" t="n">
        <v>52</v>
      </c>
      <c r="U2505" s="17" t="n">
        <v>10</v>
      </c>
      <c r="V2505" s="17">
        <f>ROUNDUP((T2505+U2505+2*'Read Me'!$B$13)*(1+'Read Me'!$B$12),-1)</f>
        <v/>
      </c>
      <c r="W2505" s="17">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7" t="n">
        <v>474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7" t="n">
        <v>52</v>
      </c>
      <c r="U2507" s="17" t="n">
        <v>10</v>
      </c>
      <c r="V2507" s="17">
        <f>ROUNDUP((T2507+U2507+2*'Read Me'!$B$13)*(1+'Read Me'!$B$12),-1)</f>
        <v/>
      </c>
      <c r="W2507" s="17">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7" t="n">
        <v>474</v>
      </c>
      <c r="U2508" s="17" t="n">
        <v>92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7" t="n">
        <v>52</v>
      </c>
      <c r="U2509" s="17" t="n">
        <v>10</v>
      </c>
      <c r="V2509" s="17">
        <f>ROUNDUP((T2509+U2509+2*'Read Me'!$B$13)*(1+'Read Me'!$B$12),-1)</f>
        <v/>
      </c>
      <c r="W2509" s="17">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7" t="n">
        <v>474</v>
      </c>
      <c r="U2510" s="17" t="n">
        <v>92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7" t="n">
        <v>52</v>
      </c>
      <c r="U2511" s="17" t="n">
        <v>10</v>
      </c>
      <c r="V2511" s="17">
        <f>ROUNDUP((T2511+U2511+2*'Read Me'!$B$13)*(1+'Read Me'!$B$12),-1)</f>
        <v/>
      </c>
      <c r="W2511" s="17">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7" t="n">
        <v>674</v>
      </c>
      <c r="U2512" s="17" t="n">
        <v>40</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7" t="n">
        <v>52</v>
      </c>
      <c r="U2513" s="17" t="n">
        <v>10</v>
      </c>
      <c r="V2513" s="17">
        <f>ROUNDUP((T2513+U2513+2*'Read Me'!$B$13)*(1+'Read Me'!$B$12),-1)</f>
        <v/>
      </c>
      <c r="W2513" s="17">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7" t="n">
        <v>674</v>
      </c>
      <c r="U2514" s="17" t="n">
        <v>40</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7" t="n">
        <v>52</v>
      </c>
      <c r="U2515" s="17" t="n">
        <v>10</v>
      </c>
      <c r="V2515" s="17">
        <f>ROUNDUP((T2515+U2515+2*'Read Me'!$B$13)*(1+'Read Me'!$B$12),-1)</f>
        <v/>
      </c>
      <c r="W2515" s="17">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7" t="n">
        <v>674</v>
      </c>
      <c r="U2516" s="17" t="n">
        <v>52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7" t="n">
        <v>52</v>
      </c>
      <c r="U2517" s="17" t="n">
        <v>10</v>
      </c>
      <c r="V2517" s="17">
        <f>ROUNDUP((T2517+U2517+2*'Read Me'!$B$13)*(1+'Read Me'!$B$12),-1)</f>
        <v/>
      </c>
      <c r="W2517" s="17">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7" t="n">
        <v>674</v>
      </c>
      <c r="U2518" s="17" t="n">
        <v>52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7" t="n">
        <v>52</v>
      </c>
      <c r="U2519" s="17" t="n">
        <v>10</v>
      </c>
      <c r="V2519" s="17">
        <f>ROUNDUP((T2519+U2519+2*'Read Me'!$B$13)*(1+'Read Me'!$B$12),-1)</f>
        <v/>
      </c>
      <c r="W2519" s="17">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7" t="n">
        <v>674</v>
      </c>
      <c r="U2520" s="17" t="n">
        <v>92</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7" t="n">
        <v>52</v>
      </c>
      <c r="U2521" s="17" t="n">
        <v>10</v>
      </c>
      <c r="V2521" s="17">
        <f>ROUNDUP((T2521+U2521+2*'Read Me'!$B$13)*(1+'Read Me'!$B$12),-1)</f>
        <v/>
      </c>
      <c r="W2521" s="17">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7" t="n">
        <v>674</v>
      </c>
      <c r="U2522" s="17" t="n">
        <v>92</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7" t="n">
        <v>52</v>
      </c>
      <c r="U2523" s="17" t="n">
        <v>10</v>
      </c>
      <c r="V2523" s="17">
        <f>ROUNDUP((T2523+U2523+2*'Read Me'!$B$13)*(1+'Read Me'!$B$12),-1)</f>
        <v/>
      </c>
      <c r="W2523" s="17">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7" t="n">
        <v>52</v>
      </c>
      <c r="U2525" s="17" t="n">
        <v>10</v>
      </c>
      <c r="V2525" s="17">
        <f>ROUNDUP((T2525+U2525+2*'Read Me'!$B$13)*(1+'Read Me'!$B$12),-1)</f>
        <v/>
      </c>
      <c r="W2525" s="17">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7" t="n">
        <v>1294</v>
      </c>
      <c r="U2526" s="17" t="n">
        <v>40</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7" t="n">
        <v>52</v>
      </c>
      <c r="U2527" s="17" t="n">
        <v>10</v>
      </c>
      <c r="V2527" s="17">
        <f>ROUNDUP((T2527+U2527+2*'Read Me'!$B$13)*(1+'Read Me'!$B$12),-1)</f>
        <v/>
      </c>
      <c r="W2527" s="17">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7" t="n">
        <v>52</v>
      </c>
      <c r="U2529" s="17" t="n">
        <v>10</v>
      </c>
      <c r="V2529" s="17">
        <f>ROUNDUP((T2529+U2529+2*'Read Me'!$B$13)*(1+'Read Me'!$B$12),-1)</f>
        <v/>
      </c>
      <c r="W2529" s="17">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7" t="n">
        <v>52</v>
      </c>
      <c r="U2531" s="17" t="n">
        <v>10</v>
      </c>
      <c r="V2531" s="17">
        <f>ROUNDUP((T2531+U2531+2*'Read Me'!$B$13)*(1+'Read Me'!$B$12),-1)</f>
        <v/>
      </c>
      <c r="W2531" s="17">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7" t="n">
        <v>1340</v>
      </c>
      <c r="U2532" s="17" t="n">
        <v>46</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7" t="n">
        <v>52</v>
      </c>
      <c r="U2533" s="17" t="n">
        <v>10</v>
      </c>
      <c r="V2533" s="17">
        <f>ROUNDUP((T2533+U2533+2*'Read Me'!$B$13)*(1+'Read Me'!$B$12),-1)</f>
        <v/>
      </c>
      <c r="W2533" s="17">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7" t="n">
        <v>52</v>
      </c>
      <c r="U2535" s="17" t="n">
        <v>10</v>
      </c>
      <c r="V2535" s="17">
        <f>ROUNDUP((T2535+U2535+2*'Read Me'!$B$13)*(1+'Read Me'!$B$12),-1)</f>
        <v/>
      </c>
      <c r="W2535" s="17">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7" t="n">
        <v>1434</v>
      </c>
      <c r="U2536" s="17" t="n">
        <v>40</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7" t="n">
        <v>52</v>
      </c>
      <c r="U2537" s="17" t="n">
        <v>10</v>
      </c>
      <c r="V2537" s="17">
        <f>ROUNDUP((T2537+U2537+2*'Read Me'!$B$13)*(1+'Read Me'!$B$12),-1)</f>
        <v/>
      </c>
      <c r="W2537" s="17">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7" t="n">
        <v>1434</v>
      </c>
      <c r="U2538" s="17" t="n">
        <v>40</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7" t="n">
        <v>52</v>
      </c>
      <c r="U2539" s="17" t="n">
        <v>10</v>
      </c>
      <c r="V2539" s="17">
        <f>ROUNDUP((T2539+U2539+2*'Read Me'!$B$13)*(1+'Read Me'!$B$12),-1)</f>
        <v/>
      </c>
      <c r="W2539" s="17">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7" t="n">
        <v>1434</v>
      </c>
      <c r="U2540" s="17" t="n">
        <v>52</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7" t="n">
        <v>52</v>
      </c>
      <c r="U2541" s="17" t="n">
        <v>10</v>
      </c>
      <c r="V2541" s="17">
        <f>ROUNDUP((T2541+U2541+2*'Read Me'!$B$13)*(1+'Read Me'!$B$12),-1)</f>
        <v/>
      </c>
      <c r="W2541" s="17">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7" t="n">
        <v>1434</v>
      </c>
      <c r="U2542" s="17" t="n">
        <v>52</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7" t="n">
        <v>52</v>
      </c>
      <c r="U2543" s="17" t="n">
        <v>10</v>
      </c>
      <c r="V2543" s="17">
        <f>ROUNDUP((T2543+U2543+2*'Read Me'!$B$13)*(1+'Read Me'!$B$12),-1)</f>
        <v/>
      </c>
      <c r="W2543" s="17">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7" t="n">
        <v>1434</v>
      </c>
      <c r="U2544" s="17" t="n">
        <v>92</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7" t="n">
        <v>52</v>
      </c>
      <c r="U2545" s="17" t="n">
        <v>10</v>
      </c>
      <c r="V2545" s="17">
        <f>ROUNDUP((T2545+U2545+2*'Read Me'!$B$13)*(1+'Read Me'!$B$12),-1)</f>
        <v/>
      </c>
      <c r="W2545" s="17">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7" t="n">
        <v>1434</v>
      </c>
      <c r="U2546" s="17" t="n">
        <v>92</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7" t="n">
        <v>52</v>
      </c>
      <c r="U2547" s="17" t="n">
        <v>10</v>
      </c>
      <c r="V2547" s="17">
        <f>ROUNDUP((T2547+U2547+2*'Read Me'!$B$13)*(1+'Read Me'!$B$12),-1)</f>
        <v/>
      </c>
      <c r="W2547" s="17">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7" t="n">
        <v>1584</v>
      </c>
      <c r="U2548" s="17" t="n">
        <v>40</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7" t="n">
        <v>52</v>
      </c>
      <c r="U2549" s="17" t="n">
        <v>10</v>
      </c>
      <c r="V2549" s="17">
        <f>ROUNDUP((T2549+U2549+2*'Read Me'!$B$13)*(1+'Read Me'!$B$12),-1)</f>
        <v/>
      </c>
      <c r="W2549" s="17">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7" t="n">
        <v>1584</v>
      </c>
      <c r="U2550" s="17" t="n">
        <v>40</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7" t="n">
        <v>52</v>
      </c>
      <c r="U2551" s="17" t="n">
        <v>10</v>
      </c>
      <c r="V2551" s="17">
        <f>ROUNDUP((T2551+U2551+2*'Read Me'!$B$13)*(1+'Read Me'!$B$12),-1)</f>
        <v/>
      </c>
      <c r="W2551" s="17">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7" t="n">
        <v>1584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7" t="n">
        <v>52</v>
      </c>
      <c r="U2553" s="17" t="n">
        <v>10</v>
      </c>
      <c r="V2553" s="17">
        <f>ROUNDUP((T2553+U2553+2*'Read Me'!$B$13)*(1+'Read Me'!$B$12),-1)</f>
        <v/>
      </c>
      <c r="W2553" s="17">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7" t="n">
        <v>1584</v>
      </c>
      <c r="U2554" s="17" t="n">
        <v>52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7" t="n">
        <v>52</v>
      </c>
      <c r="U2555" s="17" t="n">
        <v>10</v>
      </c>
      <c r="V2555" s="17">
        <f>ROUNDUP((T2555+U2555+2*'Read Me'!$B$13)*(1+'Read Me'!$B$12),-1)</f>
        <v/>
      </c>
      <c r="W2555" s="17">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7" t="n">
        <v>1584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7" t="n">
        <v>52</v>
      </c>
      <c r="U2557" s="17" t="n">
        <v>10</v>
      </c>
      <c r="V2557" s="17">
        <f>ROUNDUP((T2557+U2557+2*'Read Me'!$B$13)*(1+'Read Me'!$B$12),-1)</f>
        <v/>
      </c>
      <c r="W2557" s="17">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7" t="n">
        <v>1584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7" t="n">
        <v>77</v>
      </c>
      <c r="U2559" s="17" t="n">
        <v>10</v>
      </c>
      <c r="V2559" s="17">
        <f>ROUNDUP((T2559+U2559+2*'Read Me'!$B$13)*(1+'Read Me'!$B$12),-1)</f>
        <v/>
      </c>
      <c r="W2559" s="17">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7" t="n">
        <v>91</v>
      </c>
      <c r="U2560" s="17" t="n">
        <v>285</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7" t="n">
        <v>55</v>
      </c>
      <c r="U2561" s="17" t="n">
        <v>10</v>
      </c>
      <c r="V2561" s="17">
        <f>ROUNDUP((T2561+U2561+2*'Read Me'!$B$13)*(1+'Read Me'!$B$12),-1)</f>
        <v/>
      </c>
      <c r="W2561" s="17">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7" t="n">
        <v>91</v>
      </c>
      <c r="U2562" s="17" t="n">
        <v>226</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7" t="n">
        <v>77</v>
      </c>
      <c r="U2563" s="17" t="n">
        <v>10</v>
      </c>
      <c r="V2563" s="17">
        <f>ROUNDUP((T2563+U2563+2*'Read Me'!$B$13)*(1+'Read Me'!$B$12),-1)</f>
        <v/>
      </c>
      <c r="W2563" s="17">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7" t="n">
        <v>526</v>
      </c>
      <c r="U2564" s="17" t="n">
        <v>86</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7" t="n">
        <v>55</v>
      </c>
      <c r="U2565" s="17" t="n">
        <v>10</v>
      </c>
      <c r="V2565" s="17">
        <f>ROUNDUP((T2565+U2565+2*'Read Me'!$B$13)*(1+'Read Me'!$B$12),-1)</f>
        <v/>
      </c>
      <c r="W2565" s="17">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7" t="n">
        <v>474</v>
      </c>
      <c r="U2566" s="17" t="n">
        <v>78</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7" t="n">
        <v>900</v>
      </c>
      <c r="U2567" s="17" t="n">
        <v>30</v>
      </c>
      <c r="V2567" s="17">
        <f>ROUNDUP((T2567+U2567+2*'Read Me'!$B$13)*(1+'Read Me'!$B$12),-1)</f>
        <v/>
      </c>
      <c r="W2567" s="17">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7" t="n">
        <v>900</v>
      </c>
      <c r="U2568" s="17" t="n">
        <v>30</v>
      </c>
      <c r="V2568" s="17">
        <f>ROUNDUP((T2568+U2568+2*'Read Me'!$B$13)*(1+'Read Me'!$B$12),-1)</f>
        <v/>
      </c>
      <c r="W2568" s="17">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7" t="n">
        <v>900</v>
      </c>
      <c r="U2569" s="17" t="n">
        <v>30</v>
      </c>
      <c r="V2569" s="17">
        <f>ROUNDUP((T2569+U2569+2*'Read Me'!$B$13)*(1+'Read Me'!$B$12),-1)</f>
        <v/>
      </c>
      <c r="W2569" s="17">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7" t="n">
        <v>900</v>
      </c>
      <c r="U2570" s="17" t="n">
        <v>30</v>
      </c>
      <c r="V2570" s="17">
        <f>ROUNDUP((T2570+U2570+2*'Read Me'!$B$13)*(1+'Read Me'!$B$12),-1)</f>
        <v/>
      </c>
      <c r="W2570" s="17">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7" t="n">
        <v>0</v>
      </c>
      <c r="U2571" s="17" t="n">
        <v>30</v>
      </c>
      <c r="V2571" s="17">
        <f>ROUNDUP((T2571+U2571+2*'Read Me'!$B$13)*(1+'Read Me'!$B$12),-1)</f>
        <v/>
      </c>
      <c r="W2571" s="17">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7" t="n">
        <v>115</v>
      </c>
      <c r="U2572" s="17" t="n">
        <v>0</v>
      </c>
      <c r="V2572" s="17">
        <f>ROUNDUP((T2572+U2572+2*'Read Me'!$B$13)*(1+'Read Me'!$B$12),-1)</f>
        <v/>
      </c>
      <c r="W2572" s="17">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7" t="n">
        <v>115</v>
      </c>
      <c r="U2573" s="17" t="n">
        <v>0</v>
      </c>
      <c r="V2573" s="17">
        <f>ROUNDUP((T2573+U2573+2*'Read Me'!$B$13)*(1+'Read Me'!$B$12),-1)</f>
        <v/>
      </c>
      <c r="W2573" s="17">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7" t="n">
        <v>263</v>
      </c>
      <c r="U2574" s="17" t="n">
        <v>0</v>
      </c>
      <c r="V2574" s="17">
        <f>ROUNDUP((T2574+U2574+2*'Read Me'!$B$13)*(1+'Read Me'!$B$12),-1)</f>
        <v/>
      </c>
      <c r="W2574" s="17">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7" t="n">
        <v>304</v>
      </c>
      <c r="U2575" s="17" t="n">
        <v>0</v>
      </c>
      <c r="V2575" s="17">
        <f>ROUNDUP((T2575+U2575+2*'Read Me'!$B$13)*(1+'Read Me'!$B$12),-1)</f>
        <v/>
      </c>
      <c r="W2575" s="17">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7" t="n">
        <v>324</v>
      </c>
      <c r="U2576" s="17" t="n">
        <v>0</v>
      </c>
      <c r="V2576" s="17">
        <f>ROUNDUP((T2576+U2576+2*'Read Me'!$B$13)*(1+'Read Me'!$B$12),-1)</f>
        <v/>
      </c>
      <c r="W2576" s="17">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7" t="n">
        <v>236</v>
      </c>
      <c r="U2577" s="17" t="n">
        <v>0</v>
      </c>
      <c r="V2577" s="17">
        <f>ROUNDUP((T2577+U2577+2*'Read Me'!$B$13)*(1+'Read Me'!$B$12),-1)</f>
        <v/>
      </c>
      <c r="W2577" s="17">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7" t="n">
        <v>1544</v>
      </c>
      <c r="U2578" s="17" t="n">
        <v>0</v>
      </c>
      <c r="V2578" s="17">
        <f>ROUNDUP((T2578+U2578+2*'Read Me'!$B$13)*(1+'Read Me'!$B$12),-1)</f>
        <v/>
      </c>
      <c r="W2578" s="17">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7" t="n">
        <v>65</v>
      </c>
      <c r="U2579" s="17" t="n">
        <v>132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7" t="n">
        <v>65</v>
      </c>
      <c r="U2580" s="17" t="n">
        <v>59</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7" t="n">
        <v>65</v>
      </c>
      <c r="U2581" s="17" t="n">
        <v>42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7" t="n">
        <v>2412</v>
      </c>
      <c r="U2582" s="17" t="n">
        <v>157</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7" t="n">
        <v>2412</v>
      </c>
      <c r="U2583" s="17" t="n">
        <v>157</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7" t="n">
        <v>2412</v>
      </c>
      <c r="U2584" s="17" t="n">
        <v>157</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7" t="n">
        <v>2412</v>
      </c>
      <c r="U2585" s="17" t="n">
        <v>157</v>
      </c>
      <c r="V2585" s="17">
        <f>ROUNDUP((T2585+U2585+2*'Read Me'!$B$13)*(1+'Read Me'!$B$12),-1)</f>
        <v/>
      </c>
      <c r="W2585" s="17">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7" t="n">
        <v>2412</v>
      </c>
      <c r="U2586" s="17" t="n">
        <v>157</v>
      </c>
      <c r="V2586" s="17">
        <f>ROUNDUP((T2586+U2586+2*'Read Me'!$B$13)*(1+'Read Me'!$B$12),-1)</f>
        <v/>
      </c>
      <c r="W2586" s="17">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7" t="n">
        <v>2412</v>
      </c>
      <c r="U2587" s="17" t="n">
        <v>157</v>
      </c>
      <c r="V2587" s="17">
        <f>ROUNDUP((T2587+U2587+2*'Read Me'!$B$13)*(1+'Read Me'!$B$12),-1)</f>
        <v/>
      </c>
      <c r="W2587" s="17">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7" t="n">
        <v>0</v>
      </c>
      <c r="U2588" s="17" t="n">
        <v>84</v>
      </c>
      <c r="V2588" s="17">
        <f>ROUNDUP((T2588+U2588+2*'Read Me'!$B$13)*(1+'Read Me'!$B$12),-1)</f>
        <v/>
      </c>
      <c r="W2588" s="17">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7" t="n">
        <v>60</v>
      </c>
      <c r="U2589" s="17" t="n">
        <v>10</v>
      </c>
      <c r="V2589" s="17">
        <f>ROUNDUP((T2589+U2589+2*'Read Me'!$B$13)*(1+'Read Me'!$B$12),-1)</f>
        <v/>
      </c>
      <c r="W2589" s="17">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7" t="n">
        <v>193</v>
      </c>
      <c r="U2590" s="17" t="n">
        <v>32</v>
      </c>
      <c r="V2590" s="17">
        <f>ROUNDUP((T2590+U2590+2*'Read Me'!$B$13)*(1+'Read Me'!$B$12),-1)</f>
        <v/>
      </c>
      <c r="W2590" s="17">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7" t="n">
        <v>60</v>
      </c>
      <c r="U2591" s="17" t="n">
        <v>10</v>
      </c>
      <c r="V2591" s="17">
        <f>ROUNDUP((T2591+U2591+2*'Read Me'!$B$13)*(1+'Read Me'!$B$12),-1)</f>
        <v/>
      </c>
      <c r="W2591" s="17">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7" t="n">
        <v>83</v>
      </c>
      <c r="U2592" s="17" t="n">
        <v>32</v>
      </c>
      <c r="V2592" s="17">
        <f>ROUNDUP((T2592+U2592+2*'Read Me'!$B$13)*(1+'Read Me'!$B$12),-1)</f>
        <v/>
      </c>
      <c r="W2592" s="17">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7" t="n">
        <v>46</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7" t="n">
        <v>193</v>
      </c>
      <c r="U2594" s="17" t="n">
        <v>129</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7" t="n">
        <v>0</v>
      </c>
      <c r="U2595" s="17" t="n">
        <v>32</v>
      </c>
      <c r="V2595" s="17">
        <f>ROUNDUP((T2595+U2595+2*'Read Me'!$B$13)*(1+'Read Me'!$B$12),-1)</f>
        <v/>
      </c>
      <c r="W2595" s="17">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7" t="n">
        <v>15</v>
      </c>
      <c r="U2596" s="17" t="n">
        <v>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7" t="n">
        <v>134</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7" t="n">
        <v>199</v>
      </c>
      <c r="U2598" s="17" t="n">
        <v>32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7" t="n">
        <v>134</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7" t="n">
        <v>199</v>
      </c>
      <c r="U2600" s="17" t="n">
        <v>32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7" t="n">
        <v>137</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7" t="n">
        <v>154</v>
      </c>
      <c r="U2602" s="17" t="n">
        <v>67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7" t="n">
        <v>137</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7" t="n">
        <v>154</v>
      </c>
      <c r="U2604" s="17" t="n">
        <v>67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7" t="n">
        <v>65</v>
      </c>
      <c r="U2605" s="17" t="n">
        <v>132</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7" t="n">
        <v>65</v>
      </c>
      <c r="U2606" s="17" t="n">
        <v>59</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7" t="n">
        <v>65</v>
      </c>
      <c r="U2607" s="17" t="n">
        <v>59</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7" t="n">
        <v>65</v>
      </c>
      <c r="U2608" s="17" t="n">
        <v>42</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7" t="n">
        <v>133</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7" t="n">
        <v>553</v>
      </c>
      <c r="U2610" s="17" t="n">
        <v>32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7" t="n">
        <v>133</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7" t="n">
        <v>553</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7" t="n">
        <v>133</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7" t="n">
        <v>553</v>
      </c>
      <c r="U2614" s="17" t="n">
        <v>32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7" t="n">
        <v>133</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7" t="n">
        <v>553</v>
      </c>
      <c r="U2616" s="17" t="n">
        <v>32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7" t="n">
        <v>133</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7" t="n">
        <v>553</v>
      </c>
      <c r="U2618" s="17" t="n">
        <v>32</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7" t="n">
        <v>0</v>
      </c>
      <c r="U2619" s="17" t="n">
        <v>84</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7" t="n">
        <v>61</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143</v>
      </c>
      <c r="U2621" s="17" t="n">
        <v>32</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7" t="n">
        <v>61</v>
      </c>
      <c r="U2622" s="17" t="n">
        <v>10</v>
      </c>
      <c r="V2622" s="17">
        <f>ROUNDUP((T2622+U2622+2*'Read Me'!$B$13)*(1+'Read Me'!$B$12),-1)</f>
        <v/>
      </c>
      <c r="W2622" s="17">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7" t="n">
        <v>143</v>
      </c>
      <c r="U2623" s="17" t="n">
        <v>32</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7" t="n">
        <v>64</v>
      </c>
      <c r="U2624" s="17" t="n">
        <v>10</v>
      </c>
      <c r="V2624" s="17">
        <f>ROUNDUP((T2624+U2624+2*'Read Me'!$B$13)*(1+'Read Me'!$B$12),-1)</f>
        <v/>
      </c>
      <c r="W2624" s="17">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7" t="n">
        <v>83</v>
      </c>
      <c r="U2625" s="17" t="n">
        <v>72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7" t="n">
        <v>64</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83</v>
      </c>
      <c r="U2627" s="17" t="n">
        <v>72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7" t="n">
        <v>60</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193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7" t="n">
        <v>60</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193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7" t="n">
        <v>56</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7" t="n">
        <v>4</v>
      </c>
      <c r="U2633" s="17" t="n">
        <v>114</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7" t="n">
        <v>56</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7" t="n">
        <v>4</v>
      </c>
      <c r="U2635" s="17" t="n">
        <v>114</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7" t="n">
        <v>60</v>
      </c>
      <c r="U2636" s="17" t="n">
        <v>10</v>
      </c>
      <c r="V2636" s="17">
        <f>ROUNDUP((T2636+U2636+2*'Read Me'!$B$13)*(1+'Read Me'!$B$12),-1)</f>
        <v/>
      </c>
      <c r="W2636" s="17">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7" t="n">
        <v>83</v>
      </c>
      <c r="U2637" s="17" t="n">
        <v>32</v>
      </c>
      <c r="V2637" s="17">
        <f>ROUNDUP((T2637+U2637+2*'Read Me'!$B$13)*(1+'Read Me'!$B$12),-1)</f>
        <v/>
      </c>
      <c r="W2637" s="17">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7" t="n">
        <v>60</v>
      </c>
      <c r="U2638" s="17" t="n">
        <v>10</v>
      </c>
      <c r="V2638" s="17">
        <f>ROUNDUP((T2638+U2638+2*'Read Me'!$B$13)*(1+'Read Me'!$B$12),-1)</f>
        <v/>
      </c>
      <c r="W2638" s="17">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7" t="n">
        <v>83</v>
      </c>
      <c r="U2639" s="17" t="n">
        <v>32</v>
      </c>
      <c r="V2639" s="17">
        <f>ROUNDUP((T2639+U2639+2*'Read Me'!$B$13)*(1+'Read Me'!$B$12),-1)</f>
        <v/>
      </c>
      <c r="W2639" s="17">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7" t="n">
        <v>46</v>
      </c>
      <c r="U2640" s="17" t="n">
        <v>10</v>
      </c>
      <c r="V2640" s="17">
        <f>ROUNDUP((T2640+U2640+2*'Read Me'!$B$13)*(1+'Read Me'!$B$12),-1)</f>
        <v/>
      </c>
      <c r="W2640" s="17">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7" t="n">
        <v>193</v>
      </c>
      <c r="U2641" s="17" t="n">
        <v>129</v>
      </c>
      <c r="V2641" s="17">
        <f>ROUNDUP((T2641+U2641+2*'Read Me'!$B$13)*(1+'Read Me'!$B$12),-1)</f>
        <v/>
      </c>
      <c r="W2641" s="17">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7" t="n">
        <v>0</v>
      </c>
      <c r="U2642" s="17" t="n">
        <v>32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7" t="n">
        <v>1902</v>
      </c>
      <c r="U2643" s="17" t="n">
        <v>157</v>
      </c>
      <c r="V2643" s="17">
        <f>ROUNDUP((T2643+U2643+2*'Read Me'!$B$13)*(1+'Read Me'!$B$12),-1)</f>
        <v/>
      </c>
      <c r="W2643" s="17">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7" t="n">
        <v>1768</v>
      </c>
      <c r="U2644" s="17" t="n">
        <v>257</v>
      </c>
      <c r="V2644" s="17">
        <f>ROUNDUP((T2644+U2644+2*'Read Me'!$B$13)*(1+'Read Me'!$B$12),-1)</f>
        <v/>
      </c>
      <c r="W2644" s="17">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7" t="n">
        <v>1768</v>
      </c>
      <c r="U2645" s="17" t="n">
        <v>184</v>
      </c>
      <c r="V2645" s="17">
        <f>ROUNDUP((T2645+U2645+2*'Read Me'!$B$13)*(1+'Read Me'!$B$12),-1)</f>
        <v/>
      </c>
      <c r="W2645" s="17">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7" t="n">
        <v>1768</v>
      </c>
      <c r="U2646" s="17" t="n">
        <v>167</v>
      </c>
      <c r="V2646" s="17">
        <f>ROUNDUP((T2646+U2646+2*'Read Me'!$B$13)*(1+'Read Me'!$B$12),-1)</f>
        <v/>
      </c>
      <c r="W2646" s="17">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7" t="n">
        <v>2412</v>
      </c>
      <c r="U2647" s="17" t="n">
        <v>157</v>
      </c>
      <c r="V2647" s="17">
        <f>ROUNDUP((T2647+U2647+2*'Read Me'!$B$13)*(1+'Read Me'!$B$12),-1)</f>
        <v/>
      </c>
      <c r="W2647" s="17">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7" t="n">
        <v>2412</v>
      </c>
      <c r="U2648" s="17" t="n">
        <v>157</v>
      </c>
      <c r="V2648" s="17">
        <f>ROUNDUP((T2648+U2648+2*'Read Me'!$B$13)*(1+'Read Me'!$B$12),-1)</f>
        <v/>
      </c>
      <c r="W2648" s="17">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7" t="n">
        <v>2412</v>
      </c>
      <c r="U2649" s="17" t="n">
        <v>157</v>
      </c>
      <c r="V2649" s="17">
        <f>ROUNDUP((T2649+U2649+2*'Read Me'!$B$13)*(1+'Read Me'!$B$12),-1)</f>
        <v/>
      </c>
      <c r="W2649" s="17">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7" t="n">
        <v>2412</v>
      </c>
      <c r="U2650" s="17" t="n">
        <v>157</v>
      </c>
      <c r="V2650" s="17">
        <f>ROUNDUP((T2650+U2650+2*'Read Me'!$B$13)*(1+'Read Me'!$B$12),-1)</f>
        <v/>
      </c>
      <c r="W2650" s="17">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7" t="n">
        <v>2412</v>
      </c>
      <c r="U2651" s="17" t="n">
        <v>157</v>
      </c>
      <c r="V2651" s="17">
        <f>ROUNDUP((T2651+U2651+2*'Read Me'!$B$13)*(1+'Read Me'!$B$12),-1)</f>
        <v/>
      </c>
      <c r="W2651" s="17">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7" t="n">
        <v>2412</v>
      </c>
      <c r="U2652" s="17" t="n">
        <v>157</v>
      </c>
      <c r="V2652" s="17">
        <f>ROUNDUP((T2652+U2652+2*'Read Me'!$B$13)*(1+'Read Me'!$B$12),-1)</f>
        <v/>
      </c>
      <c r="W2652" s="17">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7" t="n">
        <v>1833</v>
      </c>
      <c r="U2653" s="17" t="n">
        <v>209</v>
      </c>
      <c r="V2653" s="17">
        <f>ROUNDUP((T2653+U2653+2*'Read Me'!$B$13)*(1+'Read Me'!$B$12),-1)</f>
        <v/>
      </c>
      <c r="W2653" s="17">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7" t="n">
        <v>1500</v>
      </c>
      <c r="U2654" s="17" t="n">
        <v>0</v>
      </c>
      <c r="V2654" s="17">
        <f>ROUNDUP((T2654+U2654+2*'Read Me'!$B$13)*(1+'Read Me'!$B$12),-1)</f>
        <v/>
      </c>
      <c r="W2654" s="17">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7" t="n">
        <v>2002</v>
      </c>
      <c r="U2655" s="17" t="n">
        <v>157</v>
      </c>
      <c r="V2655" s="17">
        <f>ROUNDUP((T2655+U2655+2*'Read Me'!$B$13)*(1+'Read Me'!$B$12),-1)</f>
        <v/>
      </c>
      <c r="W2655" s="17">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7" t="n">
        <v>1942</v>
      </c>
      <c r="U2656" s="17" t="n">
        <v>197</v>
      </c>
      <c r="V2656" s="17">
        <f>ROUNDUP((T2656+U2656+2*'Read Me'!$B$13)*(1+'Read Me'!$B$12),-1)</f>
        <v/>
      </c>
      <c r="W2656" s="17">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7" t="n">
        <v>2052</v>
      </c>
      <c r="U2657" s="17" t="n">
        <v>157</v>
      </c>
      <c r="V2657" s="17">
        <f>ROUNDUP((T2657+U2657+2*'Read Me'!$B$13)*(1+'Read Me'!$B$12),-1)</f>
        <v/>
      </c>
      <c r="W2657" s="17">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7" t="n">
        <v>1942</v>
      </c>
      <c r="U2658" s="17" t="n">
        <v>157</v>
      </c>
      <c r="V2658" s="17">
        <f>ROUNDUP((T2658+U2658+2*'Read Me'!$B$13)*(1+'Read Me'!$B$12),-1)</f>
        <v/>
      </c>
      <c r="W2658" s="17">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7" t="n">
        <v>2052</v>
      </c>
      <c r="U2659" s="17" t="n">
        <v>254</v>
      </c>
      <c r="V2659" s="17">
        <f>ROUNDUP((T2659+U2659+2*'Read Me'!$B$13)*(1+'Read Me'!$B$12),-1)</f>
        <v/>
      </c>
      <c r="W2659" s="17">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7" t="n">
        <v>1833</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7" t="n">
        <v>1868</v>
      </c>
      <c r="U2661" s="17" t="n">
        <v>157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7" t="n">
        <v>180</v>
      </c>
      <c r="U2662" s="17" t="n">
        <v>20</v>
      </c>
      <c r="V2662" s="17">
        <f>ROUNDUP((T2662+U2662+2*'Read Me'!$B$13)*(1+'Read Me'!$B$12),-1)</f>
        <v/>
      </c>
      <c r="W2662" s="17">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7" t="n">
        <v>180</v>
      </c>
      <c r="U2663" s="17" t="n">
        <v>20</v>
      </c>
      <c r="V2663" s="17">
        <f>ROUNDUP((T2663+U2663+2*'Read Me'!$B$13)*(1+'Read Me'!$B$12),-1)</f>
        <v/>
      </c>
      <c r="W2663" s="17">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7" t="n">
        <v>180</v>
      </c>
      <c r="U2664" s="17" t="n">
        <v>20</v>
      </c>
      <c r="V2664" s="17">
        <f>ROUNDUP((T2664+U2664+2*'Read Me'!$B$13)*(1+'Read Me'!$B$12),-1)</f>
        <v/>
      </c>
      <c r="W2664" s="17">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7" t="n">
        <v>180</v>
      </c>
      <c r="U2665" s="17" t="n">
        <v>20</v>
      </c>
      <c r="V2665" s="17">
        <f>ROUNDUP((T2665+U2665+2*'Read Me'!$B$13)*(1+'Read Me'!$B$12),-1)</f>
        <v/>
      </c>
      <c r="W2665" s="17">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7" t="n">
        <v>180</v>
      </c>
      <c r="U2666" s="17" t="n">
        <v>20</v>
      </c>
      <c r="V2666" s="17">
        <f>ROUNDUP((T2666+U2666+2*'Read Me'!$B$13)*(1+'Read Me'!$B$12),-1)</f>
        <v/>
      </c>
      <c r="W2666" s="17">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7" t="n">
        <v>180</v>
      </c>
      <c r="U2667" s="17" t="n">
        <v>20</v>
      </c>
      <c r="V2667" s="17">
        <f>ROUNDUP((T2667+U2667+2*'Read Me'!$B$13)*(1+'Read Me'!$B$12),-1)</f>
        <v/>
      </c>
      <c r="W2667" s="17">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7" t="n">
        <v>180</v>
      </c>
      <c r="U2668" s="17" t="n">
        <v>20</v>
      </c>
      <c r="V2668" s="17">
        <f>ROUNDUP((T2668+U2668+2*'Read Me'!$B$13)*(1+'Read Me'!$B$12),-1)</f>
        <v/>
      </c>
      <c r="W2668" s="17">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7" t="n">
        <v>180</v>
      </c>
      <c r="U2669" s="17" t="n">
        <v>20</v>
      </c>
      <c r="V2669" s="17">
        <f>ROUNDUP((T2669+U2669+2*'Read Me'!$B$13)*(1+'Read Me'!$B$12),-1)</f>
        <v/>
      </c>
      <c r="W2669" s="17">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7" t="n">
        <v>180</v>
      </c>
      <c r="U2670" s="17" t="n">
        <v>20</v>
      </c>
      <c r="V2670" s="17">
        <f>ROUNDUP((T2670+U2670+2*'Read Me'!$B$13)*(1+'Read Me'!$B$12),-1)</f>
        <v/>
      </c>
      <c r="W2670" s="17">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7" t="n">
        <v>180</v>
      </c>
      <c r="U2671" s="17" t="n">
        <v>20</v>
      </c>
      <c r="V2671" s="17">
        <f>ROUNDUP((T2671+U2671+2*'Read Me'!$B$13)*(1+'Read Me'!$B$12),-1)</f>
        <v/>
      </c>
      <c r="W2671" s="17">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7" t="n">
        <v>180</v>
      </c>
      <c r="U2672" s="17" t="n">
        <v>20</v>
      </c>
      <c r="V2672" s="17">
        <f>ROUNDUP((T2672+U2672+2*'Read Me'!$B$13)*(1+'Read Me'!$B$12),-1)</f>
        <v/>
      </c>
      <c r="W2672" s="17">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7" t="n">
        <v>180</v>
      </c>
      <c r="U2673" s="17" t="n">
        <v>20</v>
      </c>
      <c r="V2673" s="17">
        <f>ROUNDUP((T2673+U2673+2*'Read Me'!$B$13)*(1+'Read Me'!$B$12),-1)</f>
        <v/>
      </c>
      <c r="W2673" s="17">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7" t="n">
        <v>180</v>
      </c>
      <c r="U2674" s="17" t="n">
        <v>20</v>
      </c>
      <c r="V2674" s="17">
        <f>ROUNDUP((T2674+U2674+2*'Read Me'!$B$13)*(1+'Read Me'!$B$12),-1)</f>
        <v/>
      </c>
      <c r="W2674" s="17">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7" t="n">
        <v>180</v>
      </c>
      <c r="U2675" s="17" t="n">
        <v>20</v>
      </c>
      <c r="V2675" s="17">
        <f>ROUNDUP((T2675+U2675+2*'Read Me'!$B$13)*(1+'Read Me'!$B$12),-1)</f>
        <v/>
      </c>
      <c r="W2675" s="17">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7" t="n">
        <v>180</v>
      </c>
      <c r="U2676" s="17" t="n">
        <v>20</v>
      </c>
      <c r="V2676" s="17">
        <f>ROUNDUP((T2676+U2676+2*'Read Me'!$B$13)*(1+'Read Me'!$B$12),-1)</f>
        <v/>
      </c>
      <c r="W2676" s="17">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7" t="n">
        <v>180</v>
      </c>
      <c r="U2677" s="17" t="n">
        <v>20</v>
      </c>
      <c r="V2677" s="17">
        <f>ROUNDUP((T2677+U2677+2*'Read Me'!$B$13)*(1+'Read Me'!$B$12),-1)</f>
        <v/>
      </c>
      <c r="W2677" s="17">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7" t="n">
        <v>180</v>
      </c>
      <c r="U2678" s="17" t="n">
        <v>20</v>
      </c>
      <c r="V2678" s="17">
        <f>ROUNDUP((T2678+U2678+2*'Read Me'!$B$13)*(1+'Read Me'!$B$12),-1)</f>
        <v/>
      </c>
      <c r="W2678" s="17">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7" t="n">
        <v>2380</v>
      </c>
      <c r="U2686" s="17" t="n">
        <v>124</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7" t="n">
        <v>2380</v>
      </c>
      <c r="U2687" s="17" t="n">
        <v>124</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7" t="n">
        <v>2380</v>
      </c>
      <c r="U2688" s="17" t="n">
        <v>124</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7" t="n">
        <v>1920</v>
      </c>
      <c r="U2689" s="17" t="n">
        <v>0</v>
      </c>
      <c r="V2689" s="17">
        <f>ROUNDUP((T2689+U2689+2*'Read Me'!$B$13)*(1+'Read Me'!$B$12),-1)</f>
        <v/>
      </c>
      <c r="W2689" s="17">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7" t="n">
        <v>21760</v>
      </c>
      <c r="U2690" s="17" t="n">
        <v>0</v>
      </c>
      <c r="V2690" s="17">
        <f>ROUNDUP((T2690+U2690+2*'Read Me'!$B$13)*(1+'Read Me'!$B$12),-1)</f>
        <v/>
      </c>
      <c r="W2690" s="17">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7" t="n">
        <v>2010</v>
      </c>
      <c r="U2691" s="17" t="n">
        <v>145</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7" t="n">
        <v>2010</v>
      </c>
      <c r="U2692" s="17" t="n">
        <v>145</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7" t="n">
        <v>2089</v>
      </c>
      <c r="U2693" s="17" t="n">
        <v>165</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7" t="n">
        <v>2089</v>
      </c>
      <c r="U2694" s="17" t="n">
        <v>165</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7" t="n">
        <v>2089</v>
      </c>
      <c r="U2695" s="17" t="n">
        <v>165</v>
      </c>
      <c r="V2695" s="17">
        <f>ROUNDUP((T2695+U2695+2*'Read Me'!$B$13)*(1+'Read Me'!$B$12),-1)</f>
        <v/>
      </c>
      <c r="W2695" s="17">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7" t="n">
        <v>115</v>
      </c>
      <c r="U2696" s="17" t="n">
        <v>96</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7" t="n">
        <v>2004</v>
      </c>
      <c r="U2697" s="17" t="n">
        <v>209</v>
      </c>
      <c r="V2697" s="17">
        <f>ROUNDUP((T2697+U2697+2*'Read Me'!$B$13)*(1+'Read Me'!$B$12),-1)</f>
        <v/>
      </c>
      <c r="W2697" s="17">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7" t="n">
        <v>2004</v>
      </c>
      <c r="U2698" s="17" t="n">
        <v>209</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7" t="n">
        <v>292</v>
      </c>
      <c r="U2699" s="17" t="n">
        <v>108</v>
      </c>
      <c r="V2699" s="17">
        <f>ROUNDUP((T2699+U2699+2*'Read Me'!$B$13)*(1+'Read Me'!$B$12),-1)</f>
        <v/>
      </c>
      <c r="W2699" s="17">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7" t="n">
        <v>2002</v>
      </c>
      <c r="U2700" s="17" t="n">
        <v>347</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7" t="n">
        <v>2002</v>
      </c>
      <c r="U2701" s="17" t="n">
        <v>347</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1859</v>
      </c>
      <c r="U2702" s="17" t="n">
        <v>212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7" t="n">
        <v>1859</v>
      </c>
      <c r="U2703" s="17" t="n">
        <v>212</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7" t="n">
        <v>1859</v>
      </c>
      <c r="U2704" s="17" t="n">
        <v>212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7" t="n">
        <v>1859</v>
      </c>
      <c r="U2705" s="17" t="n">
        <v>212</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7" t="n">
        <v>1859</v>
      </c>
      <c r="U2706" s="17" t="n">
        <v>212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7" t="n">
        <v>1859</v>
      </c>
      <c r="U2707" s="17" t="n">
        <v>212</v>
      </c>
      <c r="V2707" s="17">
        <f>ROUNDUP((T2707+U2707+2*'Read Me'!$B$13)*(1+'Read Me'!$B$12),-1)</f>
        <v/>
      </c>
      <c r="W2707" s="17">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1859</v>
      </c>
      <c r="U2708" s="17" t="n">
        <v>212</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1859</v>
      </c>
      <c r="U2709" s="17" t="n">
        <v>212</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1629</v>
      </c>
      <c r="U2710" s="17" t="n">
        <v>145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1629</v>
      </c>
      <c r="U2711" s="17" t="n">
        <v>145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1629</v>
      </c>
      <c r="U2712" s="17" t="n">
        <v>145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1629</v>
      </c>
      <c r="U2713" s="17" t="n">
        <v>145</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1629</v>
      </c>
      <c r="U2714" s="17" t="n">
        <v>145</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1629</v>
      </c>
      <c r="U2715" s="17" t="n">
        <v>145</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1629</v>
      </c>
      <c r="U2716" s="17" t="n">
        <v>145</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1629</v>
      </c>
      <c r="U2717" s="17" t="n">
        <v>145</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1629</v>
      </c>
      <c r="U2718" s="17" t="n">
        <v>145</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1629</v>
      </c>
      <c r="U2719" s="17" t="n">
        <v>145</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1629</v>
      </c>
      <c r="U2720" s="17" t="n">
        <v>145</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1629</v>
      </c>
      <c r="U2721" s="17" t="n">
        <v>145</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1629</v>
      </c>
      <c r="U2722" s="17" t="n">
        <v>145</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1629</v>
      </c>
      <c r="U2723" s="17" t="n">
        <v>145</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1629</v>
      </c>
      <c r="U2724" s="17" t="n">
        <v>145</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1629</v>
      </c>
      <c r="U2725" s="17" t="n">
        <v>145</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1629</v>
      </c>
      <c r="U2726" s="17" t="n">
        <v>145</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7" t="n">
        <v>1251</v>
      </c>
      <c r="U2730" s="17" t="n">
        <v>32</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7" t="n">
        <v>370</v>
      </c>
      <c r="U2731" s="17" t="n">
        <v>52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7" t="n">
        <v>160</v>
      </c>
      <c r="U2732" s="17" t="n">
        <v>96</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7" t="n">
        <v>0</v>
      </c>
      <c r="U2733" s="17" t="n">
        <v>32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7" t="n">
        <v>90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7" t="n">
        <v>292</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7" t="n">
        <v>90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7" t="n">
        <v>292</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7" t="n">
        <v>128</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7" t="n">
        <v>370</v>
      </c>
      <c r="U2739" s="17" t="n">
        <v>52</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7" t="n">
        <v>128</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7" t="n">
        <v>370</v>
      </c>
      <c r="U2741" s="17" t="n">
        <v>52</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7" t="n">
        <v>128</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7" t="n">
        <v>370</v>
      </c>
      <c r="U2743" s="17" t="n">
        <v>52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7" t="n">
        <v>128</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7" t="n">
        <v>370</v>
      </c>
      <c r="U2745" s="17" t="n">
        <v>52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7" t="n">
        <v>115</v>
      </c>
      <c r="U2746" s="17" t="n">
        <v>96</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7" t="n">
        <v>86</v>
      </c>
      <c r="U2747" s="17" t="n">
        <v>10</v>
      </c>
      <c r="V2747" s="17">
        <f>ROUNDUP((T2747+U2747+2*'Read Me'!$B$13)*(1+'Read Me'!$B$12),-1)</f>
        <v/>
      </c>
      <c r="W2747" s="17">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7" t="n">
        <v>28</v>
      </c>
      <c r="U2748" s="17" t="n">
        <v>123</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7" t="n">
        <v>86</v>
      </c>
      <c r="U2749" s="17" t="n">
        <v>10</v>
      </c>
      <c r="V2749" s="17">
        <f>ROUNDUP((T2749+U2749+2*'Read Me'!$B$13)*(1+'Read Me'!$B$12),-1)</f>
        <v/>
      </c>
      <c r="W2749" s="17">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7" t="n">
        <v>28</v>
      </c>
      <c r="U2750" s="17" t="n">
        <v>123</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7" t="n">
        <v>95</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0</v>
      </c>
      <c r="U2752" s="17" t="n">
        <v>100</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7" t="n">
        <v>95</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0</v>
      </c>
      <c r="U2754" s="17" t="n">
        <v>100</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7" t="n">
        <v>66</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160</v>
      </c>
      <c r="U2756" s="17" t="n">
        <v>96</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7" t="n">
        <v>66</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160</v>
      </c>
      <c r="U2758" s="17" t="n">
        <v>96</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7" t="n">
        <v>66</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160</v>
      </c>
      <c r="U2760" s="17" t="n">
        <v>96</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7" t="n">
        <v>82</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7" t="n">
        <v>535</v>
      </c>
      <c r="U2762" s="17" t="n">
        <v>32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7" t="n">
        <v>82</v>
      </c>
      <c r="U2763" s="17" t="n">
        <v>10</v>
      </c>
      <c r="V2763" s="17">
        <f>ROUNDUP((T2763+U2763+2*'Read Me'!$B$13)*(1+'Read Me'!$B$12),-1)</f>
        <v/>
      </c>
      <c r="W2763" s="17">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7" t="n">
        <v>535</v>
      </c>
      <c r="U2764" s="17" t="n">
        <v>32</v>
      </c>
      <c r="V2764" s="17">
        <f>ROUNDUP((T2764+U2764+2*'Read Me'!$B$13)*(1+'Read Me'!$B$12),-1)</f>
        <v/>
      </c>
      <c r="W2764" s="17">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7" t="n">
        <v>40</v>
      </c>
      <c r="U2765" s="17" t="n">
        <v>10</v>
      </c>
      <c r="V2765" s="17">
        <f>ROUNDUP((T2765+U2765+2*'Read Me'!$B$13)*(1+'Read Me'!$B$12),-1)</f>
        <v/>
      </c>
      <c r="W2765" s="17">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7" t="n">
        <v>0</v>
      </c>
      <c r="U2766" s="17" t="n">
        <v>58</v>
      </c>
      <c r="V2766" s="17">
        <f>ROUNDUP((T2766+U2766+2*'Read Me'!$B$13)*(1+'Read Me'!$B$12),-1)</f>
        <v/>
      </c>
      <c r="W2766" s="17">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7" t="n">
        <v>40</v>
      </c>
      <c r="U2767" s="17" t="n">
        <v>10</v>
      </c>
      <c r="V2767" s="17">
        <f>ROUNDUP((T2767+U2767+2*'Read Me'!$B$13)*(1+'Read Me'!$B$12),-1)</f>
        <v/>
      </c>
      <c r="W2767" s="17">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7" t="n">
        <v>0</v>
      </c>
      <c r="U2768" s="17" t="n">
        <v>58</v>
      </c>
      <c r="V2768" s="17">
        <f>ROUNDUP((T2768+U2768+2*'Read Me'!$B$13)*(1+'Read Me'!$B$12),-1)</f>
        <v/>
      </c>
      <c r="W2768" s="17">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7" t="n">
        <v>45</v>
      </c>
      <c r="U2769" s="17" t="n">
        <v>10</v>
      </c>
      <c r="V2769" s="17">
        <f>ROUNDUP((T2769+U2769+2*'Read Me'!$B$13)*(1+'Read Me'!$B$12),-1)</f>
        <v/>
      </c>
      <c r="W2769" s="17">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7" t="n">
        <v>655</v>
      </c>
      <c r="U2770" s="17" t="n">
        <v>32</v>
      </c>
      <c r="V2770" s="17">
        <f>ROUNDUP((T2770+U2770+2*'Read Me'!$B$13)*(1+'Read Me'!$B$12),-1)</f>
        <v/>
      </c>
      <c r="W2770" s="17">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7" t="n">
        <v>45</v>
      </c>
      <c r="U2771" s="17" t="n">
        <v>10</v>
      </c>
      <c r="V2771" s="17">
        <f>ROUNDUP((T2771+U2771+2*'Read Me'!$B$13)*(1+'Read Me'!$B$12),-1)</f>
        <v/>
      </c>
      <c r="W2771" s="17">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7" t="n">
        <v>655</v>
      </c>
      <c r="U2772" s="17" t="n">
        <v>32</v>
      </c>
      <c r="V2772" s="17">
        <f>ROUNDUP((T2772+U2772+2*'Read Me'!$B$13)*(1+'Read Me'!$B$12),-1)</f>
        <v/>
      </c>
      <c r="W2772" s="17">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7" t="n">
        <v>86</v>
      </c>
      <c r="U2773" s="17" t="n">
        <v>10</v>
      </c>
      <c r="V2773" s="17">
        <f>ROUNDUP((T2773+U2773+2*'Read Me'!$B$13)*(1+'Read Me'!$B$12),-1)</f>
        <v/>
      </c>
      <c r="W2773" s="17">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7" t="n">
        <v>125</v>
      </c>
      <c r="U2774" s="17" t="n">
        <v>32</v>
      </c>
      <c r="V2774" s="17">
        <f>ROUNDUP((T2774+U2774+2*'Read Me'!$B$13)*(1+'Read Me'!$B$12),-1)</f>
        <v/>
      </c>
      <c r="W2774" s="17">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7" t="n">
        <v>86</v>
      </c>
      <c r="U2775" s="17" t="n">
        <v>10</v>
      </c>
      <c r="V2775" s="17">
        <f>ROUNDUP((T2775+U2775+2*'Read Me'!$B$13)*(1+'Read Me'!$B$12),-1)</f>
        <v/>
      </c>
      <c r="W2775" s="17">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7" t="n">
        <v>125</v>
      </c>
      <c r="U2776" s="17" t="n">
        <v>32</v>
      </c>
      <c r="V2776" s="17">
        <f>ROUNDUP((T2776+U2776+2*'Read Me'!$B$13)*(1+'Read Me'!$B$12),-1)</f>
        <v/>
      </c>
      <c r="W2776" s="17">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7" t="n">
        <v>140</v>
      </c>
      <c r="U2777" s="17" t="n">
        <v>10</v>
      </c>
      <c r="V2777" s="17">
        <f>ROUNDUP((T2777+U2777+2*'Read Me'!$B$13)*(1+'Read Me'!$B$12),-1)</f>
        <v/>
      </c>
      <c r="W2777" s="17">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7" t="n">
        <v>15</v>
      </c>
      <c r="U2778" s="17" t="n">
        <v>99</v>
      </c>
      <c r="V2778" s="17">
        <f>ROUNDUP((T2778+U2778+2*'Read Me'!$B$13)*(1+'Read Me'!$B$12),-1)</f>
        <v/>
      </c>
      <c r="W2778" s="17">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7" t="n">
        <v>140</v>
      </c>
      <c r="U2779" s="17" t="n">
        <v>10</v>
      </c>
      <c r="V2779" s="17">
        <f>ROUNDUP((T2779+U2779+2*'Read Me'!$B$13)*(1+'Read Me'!$B$12),-1)</f>
        <v/>
      </c>
      <c r="W2779" s="17">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7" t="n">
        <v>15</v>
      </c>
      <c r="U2780" s="17" t="n">
        <v>99</v>
      </c>
      <c r="V2780" s="17">
        <f>ROUNDUP((T2780+U2780+2*'Read Me'!$B$13)*(1+'Read Me'!$B$12),-1)</f>
        <v/>
      </c>
      <c r="W2780" s="17">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7" t="n">
        <v>140</v>
      </c>
      <c r="U2781" s="17" t="n">
        <v>10</v>
      </c>
      <c r="V2781" s="17">
        <f>ROUNDUP((T2781+U2781+2*'Read Me'!$B$13)*(1+'Read Me'!$B$12),-1)</f>
        <v/>
      </c>
      <c r="W2781" s="17">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7" t="n">
        <v>15</v>
      </c>
      <c r="U2782" s="17" t="n">
        <v>99</v>
      </c>
      <c r="V2782" s="17">
        <f>ROUNDUP((T2782+U2782+2*'Read Me'!$B$13)*(1+'Read Me'!$B$12),-1)</f>
        <v/>
      </c>
      <c r="W2782" s="17">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7" t="n">
        <v>160</v>
      </c>
      <c r="U2783" s="17" t="n">
        <v>10</v>
      </c>
      <c r="V2783" s="17">
        <f>ROUNDUP((T2783+U2783+2*'Read Me'!$B$13)*(1+'Read Me'!$B$12),-1)</f>
        <v/>
      </c>
      <c r="W2783" s="17">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7" t="n">
        <v>0</v>
      </c>
      <c r="U2784" s="17" t="n">
        <v>32</v>
      </c>
      <c r="V2784" s="17">
        <f>ROUNDUP((T2784+U2784+2*'Read Me'!$B$13)*(1+'Read Me'!$B$12),-1)</f>
        <v/>
      </c>
      <c r="W2784" s="17">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7" t="n">
        <v>160</v>
      </c>
      <c r="U2785" s="17" t="n">
        <v>10</v>
      </c>
      <c r="V2785" s="17">
        <f>ROUNDUP((T2785+U2785+2*'Read Me'!$B$13)*(1+'Read Me'!$B$12),-1)</f>
        <v/>
      </c>
      <c r="W2785" s="17">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7" t="n">
        <v>0</v>
      </c>
      <c r="U2786" s="17" t="n">
        <v>32</v>
      </c>
      <c r="V2786" s="17">
        <f>ROUNDUP((T2786+U2786+2*'Read Me'!$B$13)*(1+'Read Me'!$B$12),-1)</f>
        <v/>
      </c>
      <c r="W2786" s="17">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7" t="n">
        <v>160</v>
      </c>
      <c r="U2787" s="17" t="n">
        <v>10</v>
      </c>
      <c r="V2787" s="17">
        <f>ROUNDUP((T2787+U2787+2*'Read Me'!$B$13)*(1+'Read Me'!$B$12),-1)</f>
        <v/>
      </c>
      <c r="W2787" s="17">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7" t="n">
        <v>0</v>
      </c>
      <c r="U2788" s="17" t="n">
        <v>32</v>
      </c>
      <c r="V2788" s="17">
        <f>ROUNDUP((T2788+U2788+2*'Read Me'!$B$13)*(1+'Read Me'!$B$12),-1)</f>
        <v/>
      </c>
      <c r="W2788" s="17">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7" t="n">
        <v>160</v>
      </c>
      <c r="U2789" s="17" t="n">
        <v>10</v>
      </c>
      <c r="V2789" s="17">
        <f>ROUNDUP((T2789+U2789+2*'Read Me'!$B$13)*(1+'Read Me'!$B$12),-1)</f>
        <v/>
      </c>
      <c r="W2789" s="17">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7" t="n">
        <v>0</v>
      </c>
      <c r="U2790" s="17" t="n">
        <v>32</v>
      </c>
      <c r="V2790" s="17">
        <f>ROUNDUP((T2790+U2790+2*'Read Me'!$B$13)*(1+'Read Me'!$B$12),-1)</f>
        <v/>
      </c>
      <c r="W2790" s="17">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7" t="n">
        <v>160</v>
      </c>
      <c r="U2791" s="17" t="n">
        <v>10</v>
      </c>
      <c r="V2791" s="17">
        <f>ROUNDUP((T2791+U2791+2*'Read Me'!$B$13)*(1+'Read Me'!$B$12),-1)</f>
        <v/>
      </c>
      <c r="W2791" s="17">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7" t="n">
        <v>0</v>
      </c>
      <c r="U2792" s="17" t="n">
        <v>32</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7" t="n">
        <v>160</v>
      </c>
      <c r="U2793" s="17" t="n">
        <v>10</v>
      </c>
      <c r="V2793" s="17">
        <f>ROUNDUP((T2793+U2793+2*'Read Me'!$B$13)*(1+'Read Me'!$B$12),-1)</f>
        <v/>
      </c>
      <c r="W2793" s="17">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7" t="n">
        <v>0</v>
      </c>
      <c r="U2794" s="17" t="n">
        <v>32</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7" t="n">
        <v>160</v>
      </c>
      <c r="U2795" s="17" t="n">
        <v>10</v>
      </c>
      <c r="V2795" s="17">
        <f>ROUNDUP((T2795+U2795+2*'Read Me'!$B$13)*(1+'Read Me'!$B$12),-1)</f>
        <v/>
      </c>
      <c r="W2795" s="17">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7" t="n">
        <v>0</v>
      </c>
      <c r="U2796" s="17" t="n">
        <v>32</v>
      </c>
      <c r="V2796" s="17">
        <f>ROUNDUP((T2796+U2796+2*'Read Me'!$B$13)*(1+'Read Me'!$B$12),-1)</f>
        <v/>
      </c>
      <c r="W2796" s="17">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7" t="n">
        <v>1959</v>
      </c>
      <c r="U2802" s="17" t="n">
        <v>209</v>
      </c>
      <c r="V2802" s="17">
        <f>ROUNDUP((T2802+U2802+2*'Read Me'!$B$13)*(1+'Read Me'!$B$12),-1)</f>
        <v/>
      </c>
      <c r="W2802" s="17">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7" t="n">
        <v>1500</v>
      </c>
      <c r="U2803" s="17" t="n">
        <v>0</v>
      </c>
      <c r="V2803" s="17">
        <f>ROUNDUP((T2803+U2803+2*'Read Me'!$B$13)*(1+'Read Me'!$B$12),-1)</f>
        <v/>
      </c>
      <c r="W2803" s="17">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7" t="n">
        <v>1872</v>
      </c>
      <c r="U2804" s="17" t="n">
        <v>236</v>
      </c>
      <c r="V2804" s="17">
        <f>ROUNDUP((T2804+U2804+2*'Read Me'!$B$13)*(1+'Read Me'!$B$12),-1)</f>
        <v/>
      </c>
      <c r="W2804" s="17">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7" t="n">
        <v>1798</v>
      </c>
      <c r="U2805" s="17" t="n">
        <v>145</v>
      </c>
      <c r="V2805" s="17">
        <f>ROUNDUP((T2805+U2805+2*'Read Me'!$B$13)*(1+'Read Me'!$B$12),-1)</f>
        <v/>
      </c>
      <c r="W2805" s="17">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7" t="n">
        <v>2004</v>
      </c>
      <c r="U2806" s="17" t="n">
        <v>209</v>
      </c>
      <c r="V2806" s="17">
        <f>ROUNDUP((T2806+U2806+2*'Read Me'!$B$13)*(1+'Read Me'!$B$12),-1)</f>
        <v/>
      </c>
      <c r="W2806" s="17">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7" t="n">
        <v>2004</v>
      </c>
      <c r="U2807" s="17" t="n">
        <v>209</v>
      </c>
      <c r="V2807" s="17">
        <f>ROUNDUP((T2807+U2807+2*'Read Me'!$B$13)*(1+'Read Me'!$B$12),-1)</f>
        <v/>
      </c>
      <c r="W2807" s="17">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7" t="n">
        <v>2254</v>
      </c>
      <c r="U2808" s="17" t="n">
        <v>145</v>
      </c>
      <c r="V2808" s="17">
        <f>ROUNDUP((T2808+U2808+2*'Read Me'!$B$13)*(1+'Read Me'!$B$12),-1)</f>
        <v/>
      </c>
      <c r="W2808" s="17">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7" t="n">
        <v>2010</v>
      </c>
      <c r="U2809" s="17" t="n">
        <v>220</v>
      </c>
      <c r="V2809" s="17">
        <f>ROUNDUP((T2809+U2809+2*'Read Me'!$B$13)*(1+'Read Me'!$B$12),-1)</f>
        <v/>
      </c>
      <c r="W2809" s="17">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7" t="n">
        <v>180</v>
      </c>
      <c r="U2810" s="17" t="n">
        <v>20</v>
      </c>
      <c r="V2810" s="17">
        <f>ROUNDUP((T2810+U2810+2*'Read Me'!$B$13)*(1+'Read Me'!$B$12),-1)</f>
        <v/>
      </c>
      <c r="W2810" s="17">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7" t="n">
        <v>180</v>
      </c>
      <c r="U2811" s="17" t="n">
        <v>20</v>
      </c>
      <c r="V2811" s="17">
        <f>ROUNDUP((T2811+U2811+2*'Read Me'!$B$13)*(1+'Read Me'!$B$12),-1)</f>
        <v/>
      </c>
      <c r="W2811" s="17">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7" t="n">
        <v>180</v>
      </c>
      <c r="U2812" s="17" t="n">
        <v>20</v>
      </c>
      <c r="V2812" s="17">
        <f>ROUNDUP((T2812+U2812+2*'Read Me'!$B$13)*(1+'Read Me'!$B$12),-1)</f>
        <v/>
      </c>
      <c r="W2812" s="17">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7" t="n">
        <v>180</v>
      </c>
      <c r="U2813" s="17" t="n">
        <v>20</v>
      </c>
      <c r="V2813" s="17">
        <f>ROUNDUP((T2813+U2813+2*'Read Me'!$B$13)*(1+'Read Me'!$B$12),-1)</f>
        <v/>
      </c>
      <c r="W2813" s="17">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7" t="n">
        <v>180</v>
      </c>
      <c r="U2814" s="17" t="n">
        <v>20</v>
      </c>
      <c r="V2814" s="17">
        <f>ROUNDUP((T2814+U2814+2*'Read Me'!$B$13)*(1+'Read Me'!$B$12),-1)</f>
        <v/>
      </c>
      <c r="W2814" s="17">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7" t="n">
        <v>180</v>
      </c>
      <c r="U2815" s="17" t="n">
        <v>20</v>
      </c>
      <c r="V2815" s="17">
        <f>ROUNDUP((T2815+U2815+2*'Read Me'!$B$13)*(1+'Read Me'!$B$12),-1)</f>
        <v/>
      </c>
      <c r="W2815" s="17">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7" t="n">
        <v>180</v>
      </c>
      <c r="U2816" s="17" t="n">
        <v>20</v>
      </c>
      <c r="V2816" s="17">
        <f>ROUNDUP((T2816+U2816+2*'Read Me'!$B$13)*(1+'Read Me'!$B$12),-1)</f>
        <v/>
      </c>
      <c r="W2816" s="17">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7" t="n">
        <v>180</v>
      </c>
      <c r="U2817" s="17" t="n">
        <v>20</v>
      </c>
      <c r="V2817" s="17">
        <f>ROUNDUP((T2817+U2817+2*'Read Me'!$B$13)*(1+'Read Me'!$B$12),-1)</f>
        <v/>
      </c>
      <c r="W2817" s="17">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7" t="n">
        <v>180</v>
      </c>
      <c r="U2818" s="17" t="n">
        <v>20</v>
      </c>
      <c r="V2818" s="17">
        <f>ROUNDUP((T2818+U2818+2*'Read Me'!$B$13)*(1+'Read Me'!$B$12),-1)</f>
        <v/>
      </c>
      <c r="W2818" s="17">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7" t="n">
        <v>180</v>
      </c>
      <c r="U2819" s="17" t="n">
        <v>20</v>
      </c>
      <c r="V2819" s="17">
        <f>ROUNDUP((T2819+U2819+2*'Read Me'!$B$13)*(1+'Read Me'!$B$12),-1)</f>
        <v/>
      </c>
      <c r="W2819" s="17">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7" t="n">
        <v>180</v>
      </c>
      <c r="U2820" s="17" t="n">
        <v>20</v>
      </c>
      <c r="V2820" s="17">
        <f>ROUNDUP((T2820+U2820+2*'Read Me'!$B$13)*(1+'Read Me'!$B$12),-1)</f>
        <v/>
      </c>
      <c r="W2820" s="17">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7" t="n">
        <v>180</v>
      </c>
      <c r="U2821" s="17" t="n">
        <v>20</v>
      </c>
      <c r="V2821" s="17">
        <f>ROUNDUP((T2821+U2821+2*'Read Me'!$B$13)*(1+'Read Me'!$B$12),-1)</f>
        <v/>
      </c>
      <c r="W2821" s="17">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7" t="n">
        <v>180</v>
      </c>
      <c r="U2822" s="17" t="n">
        <v>20</v>
      </c>
      <c r="V2822" s="17">
        <f>ROUNDUP((T2822+U2822+2*'Read Me'!$B$13)*(1+'Read Me'!$B$12),-1)</f>
        <v/>
      </c>
      <c r="W2822" s="17">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7" t="n">
        <v>180</v>
      </c>
      <c r="U2823" s="17" t="n">
        <v>20</v>
      </c>
      <c r="V2823" s="17">
        <f>ROUNDUP((T2823+U2823+2*'Read Me'!$B$13)*(1+'Read Me'!$B$12),-1)</f>
        <v/>
      </c>
      <c r="W2823" s="17">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7" t="n">
        <v>180</v>
      </c>
      <c r="U2824" s="17" t="n">
        <v>20</v>
      </c>
      <c r="V2824" s="17">
        <f>ROUNDUP((T2824+U2824+2*'Read Me'!$B$13)*(1+'Read Me'!$B$12),-1)</f>
        <v/>
      </c>
      <c r="W2824" s="17">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7" t="n">
        <v>180</v>
      </c>
      <c r="U2825" s="17" t="n">
        <v>20</v>
      </c>
      <c r="V2825" s="17">
        <f>ROUNDUP((T2825+U2825+2*'Read Me'!$B$13)*(1+'Read Me'!$B$12),-1)</f>
        <v/>
      </c>
      <c r="W2825" s="17">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7" t="n">
        <v>180</v>
      </c>
      <c r="U2826" s="17" t="n">
        <v>20</v>
      </c>
      <c r="V2826" s="17">
        <f>ROUNDUP((T2826+U2826+2*'Read Me'!$B$13)*(1+'Read Me'!$B$12),-1)</f>
        <v/>
      </c>
      <c r="W2826" s="17">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7" t="n">
        <v>1844</v>
      </c>
      <c r="U2834" s="17" t="n">
        <v>171</v>
      </c>
      <c r="V2834" s="17">
        <f>ROUNDUP((T2834+U2834+2*'Read Me'!$B$13)*(1+'Read Me'!$B$12),-1)</f>
        <v/>
      </c>
      <c r="W2834" s="17">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7" t="n">
        <v>180</v>
      </c>
      <c r="U2851" s="17" t="n">
        <v>20</v>
      </c>
      <c r="V2851" s="17">
        <f>ROUNDUP((T2851+U2851+2*'Read Me'!$B$13)*(1+'Read Me'!$B$12),-1)</f>
        <v/>
      </c>
      <c r="W2851" s="17">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7" t="n">
        <v>2002</v>
      </c>
      <c r="U2859" s="17" t="n">
        <v>347</v>
      </c>
      <c r="V2859" s="17">
        <f>ROUNDUP((T2859+U2859+2*'Read Me'!$B$13)*(1+'Read Me'!$B$12),-1)</f>
        <v/>
      </c>
      <c r="W2859" s="17">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7" t="n">
        <v>2002</v>
      </c>
      <c r="U2860" s="17" t="n">
        <v>347</v>
      </c>
      <c r="V2860" s="17">
        <f>ROUNDUP((T2860+U2860+2*'Read Me'!$B$13)*(1+'Read Me'!$B$12),-1)</f>
        <v/>
      </c>
      <c r="W2860" s="17">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7" t="n">
        <v>1754</v>
      </c>
      <c r="U2861" s="17" t="n">
        <v>145</v>
      </c>
      <c r="V2861" s="17">
        <f>ROUNDUP((T2861+U2861+2*'Read Me'!$B$13)*(1+'Read Me'!$B$12),-1)</f>
        <v/>
      </c>
      <c r="W2861" s="17">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7" t="n">
        <v>1859</v>
      </c>
      <c r="U2862" s="17" t="n">
        <v>212</v>
      </c>
      <c r="V2862" s="17">
        <f>ROUNDUP((T2862+U2862+2*'Read Me'!$B$13)*(1+'Read Me'!$B$12),-1)</f>
        <v/>
      </c>
      <c r="W2862" s="17">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7" t="n">
        <v>1859</v>
      </c>
      <c r="U2863" s="17" t="n">
        <v>212</v>
      </c>
      <c r="V2863" s="17">
        <f>ROUNDUP((T2863+U2863+2*'Read Me'!$B$13)*(1+'Read Me'!$B$12),-1)</f>
        <v/>
      </c>
      <c r="W2863" s="17">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7" t="n">
        <v>1859</v>
      </c>
      <c r="U2864" s="17" t="n">
        <v>212</v>
      </c>
      <c r="V2864" s="17">
        <f>ROUNDUP((T2864+U2864+2*'Read Me'!$B$13)*(1+'Read Me'!$B$12),-1)</f>
        <v/>
      </c>
      <c r="W2864" s="17">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7" t="n">
        <v>1859</v>
      </c>
      <c r="U2865" s="17" t="n">
        <v>212</v>
      </c>
      <c r="V2865" s="17">
        <f>ROUNDUP((T2865+U2865+2*'Read Me'!$B$13)*(1+'Read Me'!$B$12),-1)</f>
        <v/>
      </c>
      <c r="W2865" s="17">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7" t="n">
        <v>1859</v>
      </c>
      <c r="U2866" s="17" t="n">
        <v>212</v>
      </c>
      <c r="V2866" s="17">
        <f>ROUNDUP((T2866+U2866+2*'Read Me'!$B$13)*(1+'Read Me'!$B$12),-1)</f>
        <v/>
      </c>
      <c r="W2866" s="17">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7" t="n">
        <v>1859</v>
      </c>
      <c r="U2867" s="17" t="n">
        <v>212</v>
      </c>
      <c r="V2867" s="17">
        <f>ROUNDUP((T2867+U2867+2*'Read Me'!$B$13)*(1+'Read Me'!$B$12),-1)</f>
        <v/>
      </c>
      <c r="W2867" s="17">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7" t="n">
        <v>1859</v>
      </c>
      <c r="U2868" s="17" t="n">
        <v>212</v>
      </c>
      <c r="V2868" s="17">
        <f>ROUNDUP((T2868+U2868+2*'Read Me'!$B$13)*(1+'Read Me'!$B$12),-1)</f>
        <v/>
      </c>
      <c r="W2868" s="17">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7" t="n">
        <v>1859</v>
      </c>
      <c r="U2869" s="17" t="n">
        <v>212</v>
      </c>
      <c r="V2869" s="17">
        <f>ROUNDUP((T2869+U2869+2*'Read Me'!$B$13)*(1+'Read Me'!$B$12),-1)</f>
        <v/>
      </c>
      <c r="W2869" s="17">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7" t="n">
        <v>1629</v>
      </c>
      <c r="U2870" s="17" t="n">
        <v>145</v>
      </c>
      <c r="V2870" s="17">
        <f>ROUNDUP((T2870+U2870+2*'Read Me'!$B$13)*(1+'Read Me'!$B$12),-1)</f>
        <v/>
      </c>
      <c r="W2870" s="17">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7" t="n">
        <v>1629</v>
      </c>
      <c r="U2871" s="17" t="n">
        <v>145</v>
      </c>
      <c r="V2871" s="17">
        <f>ROUNDUP((T2871+U2871+2*'Read Me'!$B$13)*(1+'Read Me'!$B$12),-1)</f>
        <v/>
      </c>
      <c r="W2871" s="17">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7" t="n">
        <v>1629</v>
      </c>
      <c r="U2872" s="17" t="n">
        <v>145</v>
      </c>
      <c r="V2872" s="17">
        <f>ROUNDUP((T2872+U2872+2*'Read Me'!$B$13)*(1+'Read Me'!$B$12),-1)</f>
        <v/>
      </c>
      <c r="W2872" s="17">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7" t="n">
        <v>1629</v>
      </c>
      <c r="U2873" s="17" t="n">
        <v>145</v>
      </c>
      <c r="V2873" s="17">
        <f>ROUNDUP((T2873+U2873+2*'Read Me'!$B$13)*(1+'Read Me'!$B$12),-1)</f>
        <v/>
      </c>
      <c r="W2873" s="17">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7" t="n">
        <v>1629</v>
      </c>
      <c r="U2874" s="17" t="n">
        <v>145</v>
      </c>
      <c r="V2874" s="17">
        <f>ROUNDUP((T2874+U2874+2*'Read Me'!$B$13)*(1+'Read Me'!$B$12),-1)</f>
        <v/>
      </c>
      <c r="W2874" s="17">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7" t="n">
        <v>1629</v>
      </c>
      <c r="U2875" s="17" t="n">
        <v>145</v>
      </c>
      <c r="V2875" s="17">
        <f>ROUNDUP((T2875+U2875+2*'Read Me'!$B$13)*(1+'Read Me'!$B$12),-1)</f>
        <v/>
      </c>
      <c r="W2875" s="17">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7" t="n">
        <v>1629</v>
      </c>
      <c r="U2876" s="17" t="n">
        <v>145</v>
      </c>
      <c r="V2876" s="17">
        <f>ROUNDUP((T2876+U2876+2*'Read Me'!$B$13)*(1+'Read Me'!$B$12),-1)</f>
        <v/>
      </c>
      <c r="W2876" s="17">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7" t="n">
        <v>1629</v>
      </c>
      <c r="U2877" s="17" t="n">
        <v>145</v>
      </c>
      <c r="V2877" s="17">
        <f>ROUNDUP((T2877+U2877+2*'Read Me'!$B$13)*(1+'Read Me'!$B$12),-1)</f>
        <v/>
      </c>
      <c r="W2877" s="17">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7" t="n">
        <v>1629</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7" t="n">
        <v>1629</v>
      </c>
      <c r="U2879" s="17" t="n">
        <v>145</v>
      </c>
      <c r="V2879" s="17">
        <f>ROUNDUP((T2879+U2879+2*'Read Me'!$B$13)*(1+'Read Me'!$B$12),-1)</f>
        <v/>
      </c>
      <c r="W2879" s="17">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7" t="n">
        <v>1629</v>
      </c>
      <c r="U2880" s="17" t="n">
        <v>145</v>
      </c>
      <c r="V2880" s="17">
        <f>ROUNDUP((T2880+U2880+2*'Read Me'!$B$13)*(1+'Read Me'!$B$12),-1)</f>
        <v/>
      </c>
      <c r="W2880" s="17">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7" t="n">
        <v>1629</v>
      </c>
      <c r="U2881" s="17" t="n">
        <v>145</v>
      </c>
      <c r="V2881" s="17">
        <f>ROUNDUP((T2881+U2881+2*'Read Me'!$B$13)*(1+'Read Me'!$B$12),-1)</f>
        <v/>
      </c>
      <c r="W2881" s="17">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7" t="n">
        <v>1629</v>
      </c>
      <c r="U2882" s="17" t="n">
        <v>145</v>
      </c>
      <c r="V2882" s="17">
        <f>ROUNDUP((T2882+U2882+2*'Read Me'!$B$13)*(1+'Read Me'!$B$12),-1)</f>
        <v/>
      </c>
      <c r="W2882" s="17">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7" t="n">
        <v>1629</v>
      </c>
      <c r="U2883" s="17" t="n">
        <v>145</v>
      </c>
      <c r="V2883" s="17">
        <f>ROUNDUP((T2883+U2883+2*'Read Me'!$B$13)*(1+'Read Me'!$B$12),-1)</f>
        <v/>
      </c>
      <c r="W2883" s="17">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7" t="n">
        <v>1629</v>
      </c>
      <c r="U2884" s="17" t="n">
        <v>145</v>
      </c>
      <c r="V2884" s="17">
        <f>ROUNDUP((T2884+U2884+2*'Read Me'!$B$13)*(1+'Read Me'!$B$12),-1)</f>
        <v/>
      </c>
      <c r="W2884" s="17">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7" t="n">
        <v>1629</v>
      </c>
      <c r="U2885" s="17" t="n">
        <v>145</v>
      </c>
      <c r="V2885" s="17">
        <f>ROUNDUP((T2885+U2885+2*'Read Me'!$B$13)*(1+'Read Me'!$B$12),-1)</f>
        <v/>
      </c>
      <c r="W2885" s="17">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7" t="n">
        <v>1629</v>
      </c>
      <c r="U2886" s="17" t="n">
        <v>145</v>
      </c>
      <c r="V2886" s="17">
        <f>ROUNDUP((T2886+U2886+2*'Read Me'!$B$13)*(1+'Read Me'!$B$12),-1)</f>
        <v/>
      </c>
      <c r="W2886" s="17">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UPS-1 to EP-1 (control-room critical loads), THHN in EMT</t>
        </is>
      </c>
      <c r="E2890" s="12" t="inlineStr">
        <is>
          <t>UPS-1</t>
        </is>
      </c>
      <c r="F2890" s="12" t="inlineStr">
        <is>
          <t>Control / admin building: UPS-1</t>
        </is>
      </c>
      <c r="G2890" s="12" t="inlineStr">
        <is>
          <t>EP-1</t>
        </is>
      </c>
      <c r="H2890" s="12" t="inlineStr">
        <is>
          <t>Control / admin building: EP-1</t>
        </is>
      </c>
      <c r="I2890" s="12" t="inlineStr">
        <is>
          <t>Building wire</t>
        </is>
      </c>
      <c r="J2890" s="12" t="inlineStr">
        <is>
          <t>SIMpull THHN/THWN-2 600 V 1/C Cu (lighting, receptacles, small power)</t>
        </is>
      </c>
      <c r="K2890" s="12" t="inlineStr">
        <is>
          <t>THHN|1/C|2</t>
        </is>
      </c>
      <c r="L2890" s="12" t="inlineStr">
        <is>
          <t>1/C</t>
        </is>
      </c>
      <c r="M2890" s="12" t="inlineStr">
        <is>
          <t>2</t>
        </is>
      </c>
      <c r="N2890" s="12" t="n">
        <v>1</v>
      </c>
      <c r="O2890" s="12" t="n">
        <v>4</v>
      </c>
      <c r="P2890" s="12" t="n">
        <v>208</v>
      </c>
      <c r="Q2890" s="12" t="n"/>
      <c r="R2890" s="12" t="n">
        <v>110</v>
      </c>
      <c r="S2890" s="12" t="inlineStr">
        <is>
          <t>Conduit</t>
        </is>
      </c>
      <c r="T2890" s="17" t="n">
        <v>30</v>
      </c>
      <c r="U2890" s="17" t="n">
        <v>16</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F-L-0002</t>
        </is>
      </c>
      <c r="B2891" s="12" t="inlineStr">
        <is>
          <t>F</t>
        </is>
      </c>
      <c r="C2891" s="12" t="inlineStr">
        <is>
          <t>Controls / service</t>
        </is>
      </c>
      <c r="D2891" s="12" t="inlineStr">
        <is>
          <t>MDP to LP-1 277/480 V lighting, THHN in EMT</t>
        </is>
      </c>
      <c r="E2891" s="12" t="inlineStr">
        <is>
          <t>MDP 480 V</t>
        </is>
      </c>
      <c r="F2891" s="12" t="inlineStr">
        <is>
          <t>Control / admin building: MDP 480 V</t>
        </is>
      </c>
      <c r="G2891" s="12" t="inlineStr">
        <is>
          <t>LP-1</t>
        </is>
      </c>
      <c r="H2891" s="12" t="inlineStr">
        <is>
          <t>Control / admin building: LP-1</t>
        </is>
      </c>
      <c r="I2891" s="12" t="inlineStr">
        <is>
          <t>Building wire</t>
        </is>
      </c>
      <c r="J2891" s="12" t="inlineStr">
        <is>
          <t>SIMpull THHN/THWN-2 600 V 1/C Cu (lighting, receptacles, small power)</t>
        </is>
      </c>
      <c r="K2891" s="12" t="inlineStr">
        <is>
          <t>THHN|1/C|1</t>
        </is>
      </c>
      <c r="L2891" s="12" t="inlineStr">
        <is>
          <t>1/C</t>
        </is>
      </c>
      <c r="M2891" s="12" t="inlineStr">
        <is>
          <t>1</t>
        </is>
      </c>
      <c r="N2891" s="12" t="n">
        <v>1</v>
      </c>
      <c r="O2891" s="12" t="n">
        <v>4</v>
      </c>
      <c r="P2891" s="12" t="n">
        <v>480</v>
      </c>
      <c r="Q2891" s="12" t="n"/>
      <c r="R2891" s="12" t="n">
        <v>100</v>
      </c>
      <c r="S2891" s="12" t="inlineStr">
        <is>
          <t>Conduit</t>
        </is>
      </c>
      <c r="T2891" s="17" t="n">
        <v>12</v>
      </c>
      <c r="U2891" s="17" t="n">
        <v>16</v>
      </c>
      <c r="V2891" s="17">
        <f>ROUNDUP((T2891+U2891+2*'Read Me'!$B$13)*(1+'Read Me'!$B$12),-1)</f>
        <v/>
      </c>
      <c r="W2891" s="17">
        <f>V2891*N2891*O2891</f>
        <v/>
      </c>
      <c r="X2891" s="12">
        <f>IF(LEFT(I2891,2)="MV",2*N2891*IF(L2891="1/C",O2891,1),0)</f>
        <v/>
      </c>
      <c r="Y2891" s="12">
        <f>IF(OR(LEFT(K2891,4)="LVAX",LEFT(K2891,6)="MV15AX",LEFT(K2891,4)="CTAX",LEFT(K2891,2)="W|"),2*N2891*O2891,0)</f>
        <v/>
      </c>
      <c r="Z2891" s="12" t="inlineStr"/>
      <c r="AA2891" s="12">
        <f>N2891*O2891</f>
        <v/>
      </c>
    </row>
    <row r="2892">
      <c r="A2892" s="12" t="inlineStr">
        <is>
          <t>F-L-0003</t>
        </is>
      </c>
      <c r="B2892" s="12" t="inlineStr">
        <is>
          <t>F</t>
        </is>
      </c>
      <c r="C2892" s="12" t="inlineStr">
        <is>
          <t>Controls / service</t>
        </is>
      </c>
      <c r="D2892" s="12" t="inlineStr">
        <is>
          <t>Console power whips (6 positions, 2 circuits each)</t>
        </is>
      </c>
      <c r="E2892" s="12" t="inlineStr">
        <is>
          <t>EP-1</t>
        </is>
      </c>
      <c r="F2892" s="12" t="inlineStr">
        <is>
          <t>Control / admin building: EP-1</t>
        </is>
      </c>
      <c r="G2892" s="12" t="inlineStr">
        <is>
          <t>MCR console floor boxes</t>
        </is>
      </c>
      <c r="H2892" s="12" t="inlineStr">
        <is>
          <t>Control / admin building: MCR console floor boxes</t>
        </is>
      </c>
      <c r="I2892" s="12" t="inlineStr">
        <is>
          <t>Building wire</t>
        </is>
      </c>
      <c r="J2892" s="12" t="inlineStr">
        <is>
          <t>Southwire MC 600 V, Cu THHN, Al interlocked armour (branch circuits)</t>
        </is>
      </c>
      <c r="K2892" s="12" t="inlineStr">
        <is>
          <t>MC|3/C+G|12</t>
        </is>
      </c>
      <c r="L2892" s="12" t="inlineStr">
        <is>
          <t>3/C+G</t>
        </is>
      </c>
      <c r="M2892" s="12" t="inlineStr">
        <is>
          <t>12</t>
        </is>
      </c>
      <c r="N2892" s="12" t="n">
        <v>1</v>
      </c>
      <c r="O2892" s="12" t="n">
        <v>1</v>
      </c>
      <c r="P2892" s="12" t="n">
        <v>120</v>
      </c>
      <c r="Q2892" s="12" t="n"/>
      <c r="R2892" s="12" t="n">
        <v>16</v>
      </c>
      <c r="S2892" s="12" t="inlineStr">
        <is>
          <t>Under floor</t>
        </is>
      </c>
      <c r="T2892" s="17" t="n">
        <v>1080</v>
      </c>
      <c r="U2892" s="17" t="n">
        <v>0</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F-L-0004</t>
        </is>
      </c>
      <c r="B2893" s="12" t="inlineStr">
        <is>
          <t>F</t>
        </is>
      </c>
      <c r="C2893" s="12" t="inlineStr">
        <is>
          <t>Controls / service</t>
        </is>
      </c>
      <c r="D2893" s="12" t="inlineStr">
        <is>
          <t>T-1 to RP-1 120/208 V, THHN in EMT</t>
        </is>
      </c>
      <c r="E2893" s="12" t="inlineStr">
        <is>
          <t>T-1 75 kVA</t>
        </is>
      </c>
      <c r="F2893" s="12" t="inlineStr">
        <is>
          <t>Control / admin building: T-1 75 kVA</t>
        </is>
      </c>
      <c r="G2893" s="12" t="inlineStr">
        <is>
          <t>RP-1</t>
        </is>
      </c>
      <c r="H2893" s="12" t="inlineStr">
        <is>
          <t>Control / admin building: RP-1</t>
        </is>
      </c>
      <c r="I2893" s="12" t="inlineStr">
        <is>
          <t>Building wire</t>
        </is>
      </c>
      <c r="J2893" s="12" t="inlineStr">
        <is>
          <t>SIMpull THHN/THWN-2 600 V 1/C Cu (lighting, receptacles, small power)</t>
        </is>
      </c>
      <c r="K2893" s="12" t="inlineStr">
        <is>
          <t>THHN|1/C|4/0</t>
        </is>
      </c>
      <c r="L2893" s="12" t="inlineStr">
        <is>
          <t>1/C</t>
        </is>
      </c>
      <c r="M2893" s="12" t="inlineStr">
        <is>
          <t>4/0</t>
        </is>
      </c>
      <c r="N2893" s="12" t="n">
        <v>1</v>
      </c>
      <c r="O2893" s="12" t="n">
        <v>4</v>
      </c>
      <c r="P2893" s="12" t="n">
        <v>208</v>
      </c>
      <c r="Q2893" s="12" t="n"/>
      <c r="R2893" s="12" t="n">
        <v>200</v>
      </c>
      <c r="S2893" s="12" t="inlineStr">
        <is>
          <t>Conduit</t>
        </is>
      </c>
      <c r="T2893" s="17" t="n">
        <v>10</v>
      </c>
      <c r="U2893" s="17" t="n">
        <v>16</v>
      </c>
      <c r="V2893" s="17">
        <f>ROUNDUP((T2893+U2893+2*'Read Me'!$B$13)*(1+'Read Me'!$B$12),-1)</f>
        <v/>
      </c>
      <c r="W2893" s="17">
        <f>V2893*N2893*O2893</f>
        <v/>
      </c>
      <c r="X2893" s="12">
        <f>IF(LEFT(I2893,2)="MV",2*N2893*IF(L2893="1/C",O2893,1),0)</f>
        <v/>
      </c>
      <c r="Y2893" s="12">
        <f>IF(OR(LEFT(K2893,4)="LVAX",LEFT(K2893,6)="MV15AX",LEFT(K2893,4)="CTAX",LEFT(K2893,2)="W|"),2*N2893*O2893,0)</f>
        <v/>
      </c>
      <c r="Z2893" s="12" t="inlineStr"/>
      <c r="AA2893" s="12">
        <f>N2893*O2893</f>
        <v/>
      </c>
    </row>
    <row r="2894">
      <c r="A2894" s="12" t="inlineStr">
        <is>
          <t>F-L-0005</t>
        </is>
      </c>
      <c r="B2894" s="12" t="inlineStr">
        <is>
          <t>F</t>
        </is>
      </c>
      <c r="C2894" s="12" t="inlineStr">
        <is>
          <t>Controls / service</t>
        </is>
      </c>
      <c r="D2894" s="12" t="inlineStr">
        <is>
          <t>T-1 to RP-2 120/208 V, THHN in EMT</t>
        </is>
      </c>
      <c r="E2894" s="12" t="inlineStr">
        <is>
          <t>T-1 75 kVA</t>
        </is>
      </c>
      <c r="F2894" s="12" t="inlineStr">
        <is>
          <t>Control / admin building: T-1 75 kVA</t>
        </is>
      </c>
      <c r="G2894" s="12" t="inlineStr">
        <is>
          <t>RP-2</t>
        </is>
      </c>
      <c r="H2894" s="12" t="inlineStr">
        <is>
          <t>Control / admin building: RP-2</t>
        </is>
      </c>
      <c r="I2894" s="12" t="inlineStr">
        <is>
          <t>Building wire</t>
        </is>
      </c>
      <c r="J2894" s="12" t="inlineStr">
        <is>
          <t>SIMpull THHN/THWN-2 600 V 1/C Cu (lighting, receptacles, small power)</t>
        </is>
      </c>
      <c r="K2894" s="12" t="inlineStr">
        <is>
          <t>THHN|1/C|4/0</t>
        </is>
      </c>
      <c r="L2894" s="12" t="inlineStr">
        <is>
          <t>1/C</t>
        </is>
      </c>
      <c r="M2894" s="12" t="inlineStr">
        <is>
          <t>4/0</t>
        </is>
      </c>
      <c r="N2894" s="12" t="n">
        <v>1</v>
      </c>
      <c r="O2894" s="12" t="n">
        <v>4</v>
      </c>
      <c r="P2894" s="12" t="n">
        <v>208</v>
      </c>
      <c r="Q2894" s="12" t="n"/>
      <c r="R2894" s="12" t="n">
        <v>200</v>
      </c>
      <c r="S2894" s="12" t="inlineStr">
        <is>
          <t>Conduit</t>
        </is>
      </c>
      <c r="T2894" s="17" t="n">
        <v>10</v>
      </c>
      <c r="U2894" s="17" t="n">
        <v>16</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F-L-0006</t>
        </is>
      </c>
      <c r="B2895" s="12" t="inlineStr">
        <is>
          <t>F</t>
        </is>
      </c>
      <c r="C2895" s="12" t="inlineStr">
        <is>
          <t>Controls / service</t>
        </is>
      </c>
      <c r="D2895" s="12" t="inlineStr">
        <is>
          <t>MDP to T-1 primary, THHN in EMT</t>
        </is>
      </c>
      <c r="E2895" s="12" t="inlineStr">
        <is>
          <t>MDP 480 V</t>
        </is>
      </c>
      <c r="F2895" s="12" t="inlineStr">
        <is>
          <t>Control / admin building: MDP 480 V</t>
        </is>
      </c>
      <c r="G2895" s="12" t="inlineStr">
        <is>
          <t>T-1 75 kVA</t>
        </is>
      </c>
      <c r="H2895" s="12" t="inlineStr">
        <is>
          <t>Control / admin building: T-1 75 kVA</t>
        </is>
      </c>
      <c r="I2895" s="12" t="inlineStr">
        <is>
          <t>Building wire</t>
        </is>
      </c>
      <c r="J2895" s="12" t="inlineStr">
        <is>
          <t>SIMpull THHN/THWN-2 600 V 1/C Cu (lighting, receptacles, small power)</t>
        </is>
      </c>
      <c r="K2895" s="12" t="inlineStr">
        <is>
          <t>THHN|1/C|3</t>
        </is>
      </c>
      <c r="L2895" s="12" t="inlineStr">
        <is>
          <t>1/C</t>
        </is>
      </c>
      <c r="M2895" s="12" t="inlineStr">
        <is>
          <t>3</t>
        </is>
      </c>
      <c r="N2895" s="12" t="n">
        <v>1</v>
      </c>
      <c r="O2895" s="12" t="n">
        <v>3</v>
      </c>
      <c r="P2895" s="12" t="n">
        <v>480</v>
      </c>
      <c r="Q2895" s="12" t="n"/>
      <c r="R2895" s="12" t="n">
        <v>90</v>
      </c>
      <c r="S2895" s="12" t="inlineStr">
        <is>
          <t>Conduit</t>
        </is>
      </c>
      <c r="T2895" s="17" t="n">
        <v>12</v>
      </c>
      <c r="U2895" s="17" t="n">
        <v>16</v>
      </c>
      <c r="V2895" s="17">
        <f>ROUNDUP((T2895+U2895+2*'Read Me'!$B$13)*(1+'Read Me'!$B$12),-1)</f>
        <v/>
      </c>
      <c r="W2895" s="17">
        <f>V2895*N2895*O2895</f>
        <v/>
      </c>
      <c r="X2895" s="12">
        <f>IF(LEFT(I2895,2)="MV",2*N2895*IF(L2895="1/C",O2895,1),0)</f>
        <v/>
      </c>
      <c r="Y2895" s="12">
        <f>IF(OR(LEFT(K2895,4)="LVAX",LEFT(K2895,6)="MV15AX",LEFT(K2895,4)="CTAX",LEFT(K2895,2)="W|"),2*N2895*O2895,0)</f>
        <v/>
      </c>
      <c r="Z2895" s="12" t="inlineStr"/>
      <c r="AA2895" s="12">
        <f>N2895*O2895</f>
        <v/>
      </c>
    </row>
    <row r="2896">
      <c r="A2896" s="12" t="inlineStr">
        <is>
          <t>F-L-0007</t>
        </is>
      </c>
      <c r="B2896" s="12" t="inlineStr">
        <is>
          <t>F</t>
        </is>
      </c>
      <c r="C2896" s="12" t="inlineStr">
        <is>
          <t>Controls / service</t>
        </is>
      </c>
      <c r="D2896" s="12" t="inlineStr">
        <is>
          <t>MDP to UPS-1 (feeds EP-1), THHN in EMT</t>
        </is>
      </c>
      <c r="E2896" s="12" t="inlineStr">
        <is>
          <t>MDP 480 V</t>
        </is>
      </c>
      <c r="F2896" s="12" t="inlineStr">
        <is>
          <t>Control / admin building: MDP 480 V</t>
        </is>
      </c>
      <c r="G2896" s="12" t="inlineStr">
        <is>
          <t>UPS-1</t>
        </is>
      </c>
      <c r="H2896" s="12" t="inlineStr">
        <is>
          <t>Control / admin building: UPS-1</t>
        </is>
      </c>
      <c r="I2896" s="12" t="inlineStr">
        <is>
          <t>Building wire</t>
        </is>
      </c>
      <c r="J2896" s="12" t="inlineStr">
        <is>
          <t>SIMpull THHN/THWN-2 600 V 1/C Cu (lighting, receptacles, small power)</t>
        </is>
      </c>
      <c r="K2896" s="12" t="inlineStr">
        <is>
          <t>THHN|1/C|4</t>
        </is>
      </c>
      <c r="L2896" s="12" t="inlineStr">
        <is>
          <t>1/C</t>
        </is>
      </c>
      <c r="M2896" s="12" t="inlineStr">
        <is>
          <t>4</t>
        </is>
      </c>
      <c r="N2896" s="12" t="n">
        <v>1</v>
      </c>
      <c r="O2896" s="12" t="n">
        <v>3</v>
      </c>
      <c r="P2896" s="12" t="n">
        <v>480</v>
      </c>
      <c r="Q2896" s="12" t="n"/>
      <c r="R2896" s="12" t="n">
        <v>60</v>
      </c>
      <c r="S2896" s="12" t="inlineStr">
        <is>
          <t>Conduit</t>
        </is>
      </c>
      <c r="T2896" s="17" t="n">
        <v>12</v>
      </c>
      <c r="U2896" s="17" t="n">
        <v>16</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F-L-0008</t>
        </is>
      </c>
      <c r="B2897" s="12" t="inlineStr">
        <is>
          <t>F</t>
        </is>
      </c>
      <c r="C2897" s="12" t="inlineStr">
        <is>
          <t>Controls / service</t>
        </is>
      </c>
      <c r="D2897" s="12" t="inlineStr">
        <is>
          <t>Lighting branch circuits, 18 home runs + fixture whips</t>
        </is>
      </c>
      <c r="E2897" s="12" t="inlineStr">
        <is>
          <t>LP-1</t>
        </is>
      </c>
      <c r="F2897" s="12" t="inlineStr">
        <is>
          <t>Control / admin building: LP-1</t>
        </is>
      </c>
      <c r="G2897" s="12" t="inlineStr">
        <is>
          <t>lighting, all rooms</t>
        </is>
      </c>
      <c r="H2897" s="12" t="inlineStr">
        <is>
          <t>Control / admin building: lighting, all rooms</t>
        </is>
      </c>
      <c r="I2897" s="12" t="inlineStr">
        <is>
          <t>Building wire</t>
        </is>
      </c>
      <c r="J2897" s="12" t="inlineStr">
        <is>
          <t>Southwire MC 600 V, Cu THHN, Al interlocked armour (branch circuits)</t>
        </is>
      </c>
      <c r="K2897" s="12" t="inlineStr">
        <is>
          <t>MC|2/C+G|12</t>
        </is>
      </c>
      <c r="L2897" s="12" t="inlineStr">
        <is>
          <t>2/C+G</t>
        </is>
      </c>
      <c r="M2897" s="12" t="inlineStr">
        <is>
          <t>12</t>
        </is>
      </c>
      <c r="N2897" s="12" t="n">
        <v>1</v>
      </c>
      <c r="O2897" s="12" t="n">
        <v>1</v>
      </c>
      <c r="P2897" s="12" t="n">
        <v>277</v>
      </c>
      <c r="Q2897" s="12" t="n"/>
      <c r="R2897" s="12" t="n">
        <v>16</v>
      </c>
      <c r="S2897" s="12" t="inlineStr">
        <is>
          <t>Above ceiling</t>
        </is>
      </c>
      <c r="T2897" s="17" t="n">
        <v>2235</v>
      </c>
      <c r="U2897" s="17" t="n">
        <v>0</v>
      </c>
      <c r="V2897" s="17">
        <f>ROUNDUP((T2897+U2897+2*'Read Me'!$B$13)*(1+'Read Me'!$B$12),-1)</f>
        <v/>
      </c>
      <c r="W2897" s="17">
        <f>V2897*N2897*O2897</f>
        <v/>
      </c>
      <c r="X2897" s="12">
        <f>IF(LEFT(I2897,2)="MV",2*N2897*IF(L2897="1/C",O2897,1),0)</f>
        <v/>
      </c>
      <c r="Y2897" s="12">
        <f>IF(OR(LEFT(K2897,4)="LVAX",LEFT(K2897,6)="MV15AX",LEFT(K2897,4)="CTAX",LEFT(K2897,2)="W|"),2*N2897*O2897,0)</f>
        <v/>
      </c>
      <c r="Z2897" s="12" t="inlineStr">
        <is>
          <t>MC 12/2, measured home runs</t>
        </is>
      </c>
      <c r="AA2897" s="12">
        <f>N2897*O2897</f>
        <v/>
      </c>
    </row>
    <row r="2898">
      <c r="A2898" s="12" t="inlineStr">
        <is>
          <t>F-L-0009</t>
        </is>
      </c>
      <c r="B2898" s="12" t="inlineStr">
        <is>
          <t>F</t>
        </is>
      </c>
      <c r="C2898" s="12" t="inlineStr">
        <is>
          <t>Controls / service</t>
        </is>
      </c>
      <c r="D2898" s="12" t="inlineStr">
        <is>
          <t>Receptacle branch circuits, 19 home runs</t>
        </is>
      </c>
      <c r="E2898" s="12" t="inlineStr">
        <is>
          <t>RP-1 / RP-2</t>
        </is>
      </c>
      <c r="F2898" s="12" t="inlineStr">
        <is>
          <t>Control / admin building: RP-1 / RP-2</t>
        </is>
      </c>
      <c r="G2898" s="12" t="inlineStr">
        <is>
          <t>receptacles, all rooms</t>
        </is>
      </c>
      <c r="H2898" s="12" t="inlineStr">
        <is>
          <t>Control / admin building: receptacles, all rooms</t>
        </is>
      </c>
      <c r="I2898" s="12" t="inlineStr">
        <is>
          <t>Building wire</t>
        </is>
      </c>
      <c r="J2898" s="12" t="inlineStr">
        <is>
          <t>Southwire MC 600 V, Cu THHN, Al interlocked armour (branch circuits)</t>
        </is>
      </c>
      <c r="K2898" s="12" t="inlineStr">
        <is>
          <t>MC|3/C+G|12</t>
        </is>
      </c>
      <c r="L2898" s="12" t="inlineStr">
        <is>
          <t>3/C+G</t>
        </is>
      </c>
      <c r="M2898" s="12" t="inlineStr">
        <is>
          <t>12</t>
        </is>
      </c>
      <c r="N2898" s="12" t="n">
        <v>1</v>
      </c>
      <c r="O2898" s="12" t="n">
        <v>1</v>
      </c>
      <c r="P2898" s="12" t="n">
        <v>120</v>
      </c>
      <c r="Q2898" s="12" t="n"/>
      <c r="R2898" s="12" t="n">
        <v>16</v>
      </c>
      <c r="S2898" s="12" t="inlineStr">
        <is>
          <t>Above ceiling</t>
        </is>
      </c>
      <c r="T2898" s="17" t="n">
        <v>3236</v>
      </c>
      <c r="U2898" s="17" t="n">
        <v>0</v>
      </c>
      <c r="V2898" s="17">
        <f>ROUNDUP((T2898+U2898+2*'Read Me'!$B$13)*(1+'Read Me'!$B$12),-1)</f>
        <v/>
      </c>
      <c r="W2898" s="17">
        <f>V2898*N2898*O2898</f>
        <v/>
      </c>
      <c r="X2898" s="12">
        <f>IF(LEFT(I2898,2)="MV",2*N2898*IF(L2898="1/C",O2898,1),0)</f>
        <v/>
      </c>
      <c r="Y2898" s="12">
        <f>IF(OR(LEFT(K2898,4)="LVAX",LEFT(K2898,6)="MV15AX",LEFT(K2898,4)="CTAX",LEFT(K2898,2)="W|"),2*N2898*O2898,0)</f>
        <v/>
      </c>
      <c r="Z2898" s="12" t="inlineStr">
        <is>
          <t>MC 12/3, measured home runs</t>
        </is>
      </c>
      <c r="AA2898" s="12">
        <f>N2898*O2898</f>
        <v/>
      </c>
    </row>
    <row r="2899">
      <c r="A2899" s="12" t="inlineStr">
        <is>
          <t>F-L-0010</t>
        </is>
      </c>
      <c r="B2899" s="12" t="inlineStr">
        <is>
          <t>F</t>
        </is>
      </c>
      <c r="C2899" s="12" t="inlineStr">
        <is>
          <t>Controls / service</t>
        </is>
      </c>
      <c r="D2899" s="12" t="inlineStr">
        <is>
          <t>Lighting, receptacles and small power branch circuits (allowance)</t>
        </is>
      </c>
      <c r="E2899" s="12" t="inlineStr"/>
      <c r="F2899" s="12" t="inlineStr">
        <is>
          <t>Gatehouse</t>
        </is>
      </c>
      <c r="G2899" s="12" t="inlineStr"/>
      <c r="H2899" s="12" t="inlineStr">
        <is>
          <t>Gatehouse</t>
        </is>
      </c>
      <c r="I2899" s="12" t="inlineStr">
        <is>
          <t>Building wire</t>
        </is>
      </c>
      <c r="J2899" s="12" t="inlineStr">
        <is>
          <t>SIMpull THHN/THWN-2 600 V 1/C Cu (lighting, receptacles, small power)</t>
        </is>
      </c>
      <c r="K2899" s="12" t="inlineStr">
        <is>
          <t>THHN|1/C|12</t>
        </is>
      </c>
      <c r="L2899" s="12" t="inlineStr">
        <is>
          <t>1/C</t>
        </is>
      </c>
      <c r="M2899" s="12" t="inlineStr">
        <is>
          <t>12</t>
        </is>
      </c>
      <c r="N2899" s="12" t="n">
        <v>1</v>
      </c>
      <c r="O2899" s="12" t="n">
        <v>1</v>
      </c>
      <c r="P2899" s="12" t="n">
        <v>277</v>
      </c>
      <c r="Q2899" s="12" t="n"/>
      <c r="R2899" s="12" t="n"/>
      <c r="S2899" s="12" t="inlineStr">
        <is>
          <t>Conduit</t>
        </is>
      </c>
      <c r="T2899" s="17" t="n">
        <v>736</v>
      </c>
      <c r="U2899" s="17" t="n">
        <v>0</v>
      </c>
      <c r="V2899" s="17">
        <f>ROUNDUP((T2899+U2899+2*'Read Me'!$B$13)*(1+'Read Me'!$B$12),-1)</f>
        <v/>
      </c>
      <c r="W2899" s="17">
        <f>V2899*N2899*O2899</f>
        <v/>
      </c>
      <c r="X2899" s="12">
        <f>IF(LEFT(I2899,2)="MV",2*N2899*IF(L2899="1/C",O2899,1),0)</f>
        <v/>
      </c>
      <c r="Y2899" s="12">
        <f>IF(OR(LEFT(K2899,4)="LVAX",LEFT(K2899,6)="MV15AX",LEFT(K2899,4)="CTAX",LEFT(K2899,2)="W|"),2*N2899*O2899,0)</f>
        <v/>
      </c>
      <c r="Z2899" s="12" t="inlineStr">
        <is>
          <t>allowance: 1.6 ft of conductor per ft2 of floor</t>
        </is>
      </c>
      <c r="AA2899" s="12">
        <f>N2899*O2899</f>
        <v/>
      </c>
    </row>
    <row r="2900">
      <c r="A2900" s="12" t="inlineStr">
        <is>
          <t>F-L-0011</t>
        </is>
      </c>
      <c r="B2900" s="12" t="inlineStr">
        <is>
          <t>F</t>
        </is>
      </c>
      <c r="C2900" s="12" t="inlineStr">
        <is>
          <t>Controls / service</t>
        </is>
      </c>
      <c r="D2900" s="12" t="inlineStr">
        <is>
          <t>Lighting, receptacles and small power branch circuits (allowance)</t>
        </is>
      </c>
      <c r="E2900" s="12" t="inlineStr"/>
      <c r="F2900" s="12" t="inlineStr">
        <is>
          <t>Maintenance building / workshop</t>
        </is>
      </c>
      <c r="G2900" s="12" t="inlineStr"/>
      <c r="H2900" s="12" t="inlineStr">
        <is>
          <t>Maintenance building / workshop</t>
        </is>
      </c>
      <c r="I2900" s="12" t="inlineStr">
        <is>
          <t>Building wire</t>
        </is>
      </c>
      <c r="J2900" s="12" t="inlineStr">
        <is>
          <t>SIMpull THHN/THWN-2 600 V 1/C Cu (lighting, receptacles, small power)</t>
        </is>
      </c>
      <c r="K2900" s="12" t="inlineStr">
        <is>
          <t>THHN|1/C|12</t>
        </is>
      </c>
      <c r="L2900" s="12" t="inlineStr">
        <is>
          <t>1/C</t>
        </is>
      </c>
      <c r="M2900" s="12" t="inlineStr">
        <is>
          <t>12</t>
        </is>
      </c>
      <c r="N2900" s="12" t="n">
        <v>1</v>
      </c>
      <c r="O2900" s="12" t="n">
        <v>1</v>
      </c>
      <c r="P2900" s="12" t="n">
        <v>277</v>
      </c>
      <c r="Q2900" s="12" t="n"/>
      <c r="R2900" s="12" t="n"/>
      <c r="S2900" s="12" t="inlineStr">
        <is>
          <t>Conduit</t>
        </is>
      </c>
      <c r="T2900" s="17" t="n">
        <v>8003</v>
      </c>
      <c r="U2900" s="17" t="n">
        <v>0</v>
      </c>
      <c r="V2900" s="17">
        <f>ROUNDUP((T2900+U2900+2*'Read Me'!$B$13)*(1+'Read Me'!$B$12),-1)</f>
        <v/>
      </c>
      <c r="W2900" s="17">
        <f>V2900*N2900*O2900</f>
        <v/>
      </c>
      <c r="X2900" s="12">
        <f>IF(LEFT(I2900,2)="MV",2*N2900*IF(L2900="1/C",O2900,1),0)</f>
        <v/>
      </c>
      <c r="Y2900" s="12">
        <f>IF(OR(LEFT(K2900,4)="LVAX",LEFT(K2900,6)="MV15AX",LEFT(K2900,4)="CTAX",LEFT(K2900,2)="W|"),2*N2900*O2900,0)</f>
        <v/>
      </c>
      <c r="Z2900" s="12" t="inlineStr">
        <is>
          <t>allowance: 1.6 ft of conductor per ft2 of floor</t>
        </is>
      </c>
      <c r="AA2900" s="12">
        <f>N2900*O2900</f>
        <v/>
      </c>
    </row>
    <row r="2901">
      <c r="A2901" s="12" t="inlineStr">
        <is>
          <t>F-L-0012</t>
        </is>
      </c>
      <c r="B2901" s="12" t="inlineStr">
        <is>
          <t>F</t>
        </is>
      </c>
      <c r="C2901" s="12" t="inlineStr">
        <is>
          <t>Controls / service</t>
        </is>
      </c>
      <c r="D2901" s="12" t="inlineStr">
        <is>
          <t>Lighting, receptacles and small power branch circuits (allowance)</t>
        </is>
      </c>
      <c r="E2901" s="12" t="inlineStr"/>
      <c r="F2901" s="12" t="inlineStr">
        <is>
          <t>Warehouse</t>
        </is>
      </c>
      <c r="G2901" s="12" t="inlineStr"/>
      <c r="H2901" s="12" t="inlineStr">
        <is>
          <t>Warehouse</t>
        </is>
      </c>
      <c r="I2901" s="12" t="inlineStr">
        <is>
          <t>Building wire</t>
        </is>
      </c>
      <c r="J2901" s="12" t="inlineStr">
        <is>
          <t>SIMpull THHN/THWN-2 600 V 1/C Cu (lighting, receptacles, small power)</t>
        </is>
      </c>
      <c r="K2901" s="12" t="inlineStr">
        <is>
          <t>THHN|1/C|12</t>
        </is>
      </c>
      <c r="L2901" s="12" t="inlineStr">
        <is>
          <t>1/C</t>
        </is>
      </c>
      <c r="M2901" s="12" t="inlineStr">
        <is>
          <t>12</t>
        </is>
      </c>
      <c r="N2901" s="12" t="n">
        <v>1</v>
      </c>
      <c r="O2901" s="12" t="n">
        <v>1</v>
      </c>
      <c r="P2901" s="12" t="n">
        <v>277</v>
      </c>
      <c r="Q2901" s="12" t="n"/>
      <c r="R2901" s="12" t="n"/>
      <c r="S2901" s="12" t="inlineStr">
        <is>
          <t>Conduit</t>
        </is>
      </c>
      <c r="T2901" s="17" t="n">
        <v>27227</v>
      </c>
      <c r="U2901" s="17" t="n">
        <v>0</v>
      </c>
      <c r="V2901" s="17">
        <f>ROUNDUP((T2901+U2901+2*'Read Me'!$B$13)*(1+'Read Me'!$B$12),-1)</f>
        <v/>
      </c>
      <c r="W2901" s="17">
        <f>V2901*N2901*O2901</f>
        <v/>
      </c>
      <c r="X2901" s="12">
        <f>IF(LEFT(I2901,2)="MV",2*N2901*IF(L2901="1/C",O2901,1),0)</f>
        <v/>
      </c>
      <c r="Y2901" s="12">
        <f>IF(OR(LEFT(K2901,4)="LVAX",LEFT(K2901,6)="MV15AX",LEFT(K2901,4)="CTAX",LEFT(K2901,2)="W|"),2*N2901*O2901,0)</f>
        <v/>
      </c>
      <c r="Z2901" s="12" t="inlineStr">
        <is>
          <t>allowance: 1.6 ft of conductor per ft2 of floor</t>
        </is>
      </c>
      <c r="AA2901" s="12">
        <f>N2901*O2901</f>
        <v/>
      </c>
    </row>
    <row r="2902">
      <c r="A2902" s="12" t="inlineStr">
        <is>
          <t>F-C-0001</t>
        </is>
      </c>
      <c r="B2902" s="12" t="inlineStr">
        <is>
          <t>F</t>
        </is>
      </c>
      <c r="C2902" s="12" t="inlineStr">
        <is>
          <t>Controls / service</t>
        </is>
      </c>
      <c r="D2902" s="12" t="inlineStr">
        <is>
          <t>Control</t>
        </is>
      </c>
      <c r="E2902" s="12" t="inlineStr">
        <is>
          <t>CR</t>
        </is>
      </c>
      <c r="F2902" s="12" t="inlineStr">
        <is>
          <t>Control / admin building (main control room)</t>
        </is>
      </c>
      <c r="G2902" s="12" t="inlineStr">
        <is>
          <t>CR</t>
        </is>
      </c>
      <c r="H2902" s="12" t="inlineStr">
        <is>
          <t>Control / admin building (main control room)</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F-C-0002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Control / admin building wiring: power, lighting, fire alarm, data; op</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7" t="n">
        <v>0</v>
      </c>
      <c r="U2903" s="17" t="n">
        <v>32</v>
      </c>
      <c r="V2903" s="17">
        <f>ROUNDUP((T2903+U2903+2*'Read Me'!$B$13)*(1+'Read Me'!$B$12),-1)</f>
        <v/>
      </c>
      <c r="W2903" s="17">
        <f>V2903*N2903*O2903</f>
        <v/>
      </c>
      <c r="X2903" s="12">
        <f>IF(LEFT(I2903,2)="MV",2*N2903*IF(L2903="1/C",O2903,1),0)</f>
        <v/>
      </c>
      <c r="Y2903" s="12">
        <f>IF(OR(LEFT(K2903,4)="LVAX",LEFT(K2903,6)="MV15AX",LEFT(K2903,4)="CTAX",LEFT(K2903,2)="W|"),2*N2903*O2903,0)</f>
        <v/>
      </c>
      <c r="Z2903" s="12" t="inlineStr"/>
      <c r="AA2903" s="12">
        <f>N2903*O2903</f>
        <v/>
      </c>
    </row>
    <row r="2904">
      <c r="A2904" s="12" t="inlineStr">
        <is>
          <t>F-C-0003</t>
        </is>
      </c>
      <c r="B2904" s="12" t="inlineStr">
        <is>
          <t>F</t>
        </is>
      </c>
      <c r="C2904" s="12" t="inlineStr">
        <is>
          <t>Controls / service</t>
        </is>
      </c>
      <c r="D2904" s="12" t="inlineStr">
        <is>
          <t>Control</t>
        </is>
      </c>
      <c r="E2904" s="12" t="inlineStr">
        <is>
          <t>CR</t>
        </is>
      </c>
      <c r="F2904" s="12" t="inlineStr">
        <is>
          <t>Control / admin building (main control room)</t>
        </is>
      </c>
      <c r="G2904" s="12" t="inlineStr">
        <is>
          <t>EDG-1</t>
        </is>
      </c>
      <c r="H2904" s="12" t="inlineStr">
        <is>
          <t>EDG-1: 3 MW emergency diesel generator (480 V)</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7" t="n">
        <v>626</v>
      </c>
      <c r="U2904" s="17" t="n">
        <v>62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F-C-0004</t>
        </is>
      </c>
      <c r="B2905" s="12" t="inlineStr">
        <is>
          <t>F</t>
        </is>
      </c>
      <c r="C2905" s="12" t="inlineStr">
        <is>
          <t>Controls / service</t>
        </is>
      </c>
      <c r="D2905" s="12" t="inlineStr">
        <is>
          <t>Control</t>
        </is>
      </c>
      <c r="E2905" s="12" t="inlineStr">
        <is>
          <t>CR</t>
        </is>
      </c>
      <c r="F2905" s="12" t="inlineStr">
        <is>
          <t>Control / admin building (main control room)</t>
        </is>
      </c>
      <c r="G2905" s="12" t="inlineStr">
        <is>
          <t>EDG-2</t>
        </is>
      </c>
      <c r="H2905" s="12" t="inlineStr">
        <is>
          <t>EDG-2: 3 MW emergency diesel generator (480 V)</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7" t="n">
        <v>661</v>
      </c>
      <c r="U2905" s="17" t="n">
        <v>65</v>
      </c>
      <c r="V2905" s="17">
        <f>ROUNDUP((T2905+U2905+2*'Read Me'!$B$13)*(1+'Read Me'!$B$12),-1)</f>
        <v/>
      </c>
      <c r="W2905" s="17">
        <f>V2905*N2905*O2905</f>
        <v/>
      </c>
      <c r="X2905" s="12">
        <f>IF(LEFT(I2905,2)="MV",2*N2905*IF(L2905="1/C",O2905,1),0)</f>
        <v/>
      </c>
      <c r="Y2905" s="12">
        <f>IF(OR(LEFT(K2905,4)="LVAX",LEFT(K2905,6)="MV15AX",LEFT(K2905,4)="CTAX",LEFT(K2905,2)="W|"),2*N2905*O2905,0)</f>
        <v/>
      </c>
      <c r="Z2905" s="12" t="inlineStr"/>
      <c r="AA2905" s="12">
        <f>N2905*O2905</f>
        <v/>
      </c>
    </row>
    <row r="2906">
      <c r="A2906" s="12" t="inlineStr">
        <is>
          <t>F-C-0005</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Gatehouse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Duct bank</t>
        </is>
      </c>
      <c r="T2906" s="17" t="n">
        <v>38</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F-C-0006</t>
        </is>
      </c>
      <c r="B2907" s="12" t="inlineStr">
        <is>
          <t>F</t>
        </is>
      </c>
      <c r="C2907" s="12" t="inlineStr">
        <is>
          <t>Controls / service</t>
        </is>
      </c>
      <c r="D2907" s="12" t="inlineStr">
        <is>
          <t>Motor 1 of 2: control / local station</t>
        </is>
      </c>
      <c r="E2907" s="12" t="inlineStr">
        <is>
          <t>MCC-C2</t>
        </is>
      </c>
      <c r="F2907" s="12" t="inlineStr">
        <is>
          <t>R1 MCC-C2</t>
        </is>
      </c>
      <c r="G2907" s="12" t="inlineStr">
        <is>
          <t>LS-1</t>
        </is>
      </c>
      <c r="H2907" s="12" t="inlineStr">
        <is>
          <t>LS-1: sanitary lift station (packaged duplex)</t>
        </is>
      </c>
      <c r="I2907" s="12" t="inlineStr">
        <is>
          <t>Control</t>
        </is>
      </c>
      <c r="J2907" s="12" t="inlineStr">
        <is>
          <t>Control cable 600 V Type TC-ER, Cu #14 AWG, PVC jacket</t>
        </is>
      </c>
      <c r="K2907" s="12" t="inlineStr">
        <is>
          <t>CT|7/C|14</t>
        </is>
      </c>
      <c r="L2907" s="12" t="inlineStr">
        <is>
          <t>7/C</t>
        </is>
      </c>
      <c r="M2907" s="12" t="inlineStr">
        <is>
          <t>14</t>
        </is>
      </c>
      <c r="N2907" s="12" t="n">
        <v>1</v>
      </c>
      <c r="O2907" s="12" t="n">
        <v>1</v>
      </c>
      <c r="P2907" s="12" t="n"/>
      <c r="Q2907" s="12" t="n"/>
      <c r="R2907" s="12" t="n"/>
      <c r="S2907" s="12" t="inlineStr">
        <is>
          <t>Tray</t>
        </is>
      </c>
      <c r="T2907" s="17" t="n">
        <v>744</v>
      </c>
      <c r="U2907" s="17" t="n">
        <v>173</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F-C-0007</t>
        </is>
      </c>
      <c r="B2908" s="12" t="inlineStr">
        <is>
          <t>F</t>
        </is>
      </c>
      <c r="C2908" s="12" t="inlineStr">
        <is>
          <t>Controls / service</t>
        </is>
      </c>
      <c r="D2908" s="12" t="inlineStr">
        <is>
          <t>Motor 2 of 2: control / local station</t>
        </is>
      </c>
      <c r="E2908" s="12" t="inlineStr">
        <is>
          <t>MCC-C2</t>
        </is>
      </c>
      <c r="F2908" s="12" t="inlineStr">
        <is>
          <t>R1 MCC-C2</t>
        </is>
      </c>
      <c r="G2908" s="12" t="inlineStr">
        <is>
          <t>LS-1</t>
        </is>
      </c>
      <c r="H2908" s="12" t="inlineStr">
        <is>
          <t>LS-1: sanitary lift station (packaged duplex)</t>
        </is>
      </c>
      <c r="I2908" s="12" t="inlineStr">
        <is>
          <t>Control</t>
        </is>
      </c>
      <c r="J2908" s="12" t="inlineStr">
        <is>
          <t>Control cable 600 V Type TC-ER, Cu #14 AWG, PVC jacket</t>
        </is>
      </c>
      <c r="K2908" s="12" t="inlineStr">
        <is>
          <t>CT|7/C|14</t>
        </is>
      </c>
      <c r="L2908" s="12" t="inlineStr">
        <is>
          <t>7/C</t>
        </is>
      </c>
      <c r="M2908" s="12" t="inlineStr">
        <is>
          <t>14</t>
        </is>
      </c>
      <c r="N2908" s="12" t="n">
        <v>1</v>
      </c>
      <c r="O2908" s="12" t="n">
        <v>1</v>
      </c>
      <c r="P2908" s="12" t="n"/>
      <c r="Q2908" s="12" t="n"/>
      <c r="R2908" s="12" t="n"/>
      <c r="S2908" s="12" t="inlineStr">
        <is>
          <t>Tray</t>
        </is>
      </c>
      <c r="T2908" s="17" t="n">
        <v>744</v>
      </c>
      <c r="U2908" s="17" t="n">
        <v>173</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F-C-0008</t>
        </is>
      </c>
      <c r="B2909" s="12" t="inlineStr">
        <is>
          <t>F</t>
        </is>
      </c>
      <c r="C2909" s="12" t="inlineStr">
        <is>
          <t>Controls / service</t>
        </is>
      </c>
      <c r="D2909" s="12" t="inlineStr">
        <is>
          <t>Control</t>
        </is>
      </c>
      <c r="E2909" s="12" t="inlineStr">
        <is>
          <t>CR</t>
        </is>
      </c>
      <c r="F2909" s="12" t="inlineStr">
        <is>
          <t>Control / admin building (main control room)</t>
        </is>
      </c>
      <c r="G2909" s="12" t="inlineStr"/>
      <c r="H2909" s="12" t="inlineStr">
        <is>
          <t xml:space="preserve">Main gate checkpoint: islands, access-control devices, CCTV and their </t>
        </is>
      </c>
      <c r="I2909" s="12" t="inlineStr">
        <is>
          <t>Control</t>
        </is>
      </c>
      <c r="J2909" s="12" t="inlineStr">
        <is>
          <t>Control cable 600 V Type TC-ER, Cu #14 AWG, PVC jacket</t>
        </is>
      </c>
      <c r="K2909" s="12" t="inlineStr">
        <is>
          <t>CT|7/C|14</t>
        </is>
      </c>
      <c r="L2909" s="12" t="inlineStr">
        <is>
          <t>7/C</t>
        </is>
      </c>
      <c r="M2909" s="12" t="inlineStr">
        <is>
          <t>14</t>
        </is>
      </c>
      <c r="N2909" s="12" t="n">
        <v>1</v>
      </c>
      <c r="O2909" s="12" t="n">
        <v>1</v>
      </c>
      <c r="P2909" s="12" t="n"/>
      <c r="Q2909" s="12" t="n"/>
      <c r="R2909" s="12" t="n"/>
      <c r="S2909" s="12" t="inlineStr">
        <is>
          <t>Tray</t>
        </is>
      </c>
      <c r="T2909" s="17" t="n">
        <v>33</v>
      </c>
      <c r="U2909" s="17" t="n">
        <v>32</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F-C-0009</t>
        </is>
      </c>
      <c r="B2910" s="12" t="inlineStr">
        <is>
          <t>F</t>
        </is>
      </c>
      <c r="C2910" s="12" t="inlineStr">
        <is>
          <t>Controls / service</t>
        </is>
      </c>
      <c r="D2910" s="12" t="inlineStr">
        <is>
          <t>Control</t>
        </is>
      </c>
      <c r="E2910" s="12" t="inlineStr">
        <is>
          <t>RH</t>
        </is>
      </c>
      <c r="F2910" s="12" t="inlineStr">
        <is>
          <t>RH: switchyard relay / control house (52 x 70 ft)</t>
        </is>
      </c>
      <c r="G2910" s="12" t="inlineStr"/>
      <c r="H2910" s="12" t="inlineStr">
        <is>
          <t>Main gate: sliding gate, barrier arms, card readers, entrance sign</t>
        </is>
      </c>
      <c r="I2910" s="12" t="inlineStr">
        <is>
          <t>Control</t>
        </is>
      </c>
      <c r="J2910" s="12" t="inlineStr">
        <is>
          <t>Control cable 600 V Type TC-ER, Cu #14 AWG, PVC jacket</t>
        </is>
      </c>
      <c r="K2910" s="12" t="inlineStr">
        <is>
          <t>CT|7/C|14</t>
        </is>
      </c>
      <c r="L2910" s="12" t="inlineStr">
        <is>
          <t>7/C</t>
        </is>
      </c>
      <c r="M2910" s="12" t="inlineStr">
        <is>
          <t>14</t>
        </is>
      </c>
      <c r="N2910" s="12" t="n">
        <v>1</v>
      </c>
      <c r="O2910" s="12" t="n">
        <v>1</v>
      </c>
      <c r="P2910" s="12" t="n"/>
      <c r="Q2910" s="12" t="n"/>
      <c r="R2910" s="12" t="n"/>
      <c r="S2910" s="12" t="inlineStr">
        <is>
          <t>Duct bank</t>
        </is>
      </c>
      <c r="T2910" s="17" t="n">
        <v>900</v>
      </c>
      <c r="U2910" s="17" t="n">
        <v>237</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F-C-0010</t>
        </is>
      </c>
      <c r="B2911" s="12" t="inlineStr">
        <is>
          <t>F</t>
        </is>
      </c>
      <c r="C2911" s="12" t="inlineStr">
        <is>
          <t>Controls / service</t>
        </is>
      </c>
      <c r="D2911" s="12" t="inlineStr">
        <is>
          <t>Control</t>
        </is>
      </c>
      <c r="E2911" s="12" t="inlineStr">
        <is>
          <t>CR</t>
        </is>
      </c>
      <c r="F2911" s="12" t="inlineStr">
        <is>
          <t>Control / admin building (main control room)</t>
        </is>
      </c>
      <c r="G2911" s="12" t="inlineStr"/>
      <c r="H2911" s="12" t="inlineStr">
        <is>
          <t>Maintenance building / workshop</t>
        </is>
      </c>
      <c r="I2911" s="12" t="inlineStr">
        <is>
          <t>Control</t>
        </is>
      </c>
      <c r="J2911" s="12" t="inlineStr">
        <is>
          <t>Control cable 600 V Type TC-ER, Cu #14 AWG, PVC jacket</t>
        </is>
      </c>
      <c r="K2911" s="12" t="inlineStr">
        <is>
          <t>CT|7/C|14</t>
        </is>
      </c>
      <c r="L2911" s="12" t="inlineStr">
        <is>
          <t>7/C</t>
        </is>
      </c>
      <c r="M2911" s="12" t="inlineStr">
        <is>
          <t>14</t>
        </is>
      </c>
      <c r="N2911" s="12" t="n">
        <v>1</v>
      </c>
      <c r="O2911" s="12" t="n">
        <v>1</v>
      </c>
      <c r="P2911" s="12" t="n"/>
      <c r="Q2911" s="12" t="n"/>
      <c r="R2911" s="12" t="n"/>
      <c r="S2911" s="12" t="inlineStr">
        <is>
          <t>Duct bank</t>
        </is>
      </c>
      <c r="T2911" s="17" t="n">
        <v>356</v>
      </c>
      <c r="U2911" s="17" t="n">
        <v>32</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F-C-0011</t>
        </is>
      </c>
      <c r="B2912" s="12" t="inlineStr">
        <is>
          <t>F</t>
        </is>
      </c>
      <c r="C2912" s="12" t="inlineStr">
        <is>
          <t>Controls / service</t>
        </is>
      </c>
      <c r="D2912" s="12" t="inlineStr">
        <is>
          <t>Control</t>
        </is>
      </c>
      <c r="E2912" s="12" t="inlineStr">
        <is>
          <t>CR</t>
        </is>
      </c>
      <c r="F2912" s="12" t="inlineStr">
        <is>
          <t>Control / admin building (main control room)</t>
        </is>
      </c>
      <c r="G2912" s="12" t="inlineStr"/>
      <c r="H2912" s="12" t="inlineStr">
        <is>
          <t>Perimeter fence barbed-wire arms and CCTV cameras</t>
        </is>
      </c>
      <c r="I2912" s="12" t="inlineStr">
        <is>
          <t>Control</t>
        </is>
      </c>
      <c r="J2912" s="12" t="inlineStr">
        <is>
          <t>Control cable 600 V Type TC-ER, Cu #14 AWG, PVC jacket</t>
        </is>
      </c>
      <c r="K2912" s="12" t="inlineStr">
        <is>
          <t>CT|7/C|14</t>
        </is>
      </c>
      <c r="L2912" s="12" t="inlineStr">
        <is>
          <t>7/C</t>
        </is>
      </c>
      <c r="M2912" s="12" t="inlineStr">
        <is>
          <t>14</t>
        </is>
      </c>
      <c r="N2912" s="12" t="n">
        <v>1</v>
      </c>
      <c r="O2912" s="12" t="n">
        <v>1</v>
      </c>
      <c r="P2912" s="12" t="n"/>
      <c r="Q2912" s="12" t="n"/>
      <c r="R2912" s="12" t="n"/>
      <c r="S2912" s="12" t="inlineStr">
        <is>
          <t>Tray</t>
        </is>
      </c>
      <c r="T2912" s="17" t="n">
        <v>2486</v>
      </c>
      <c r="U2912" s="17" t="n">
        <v>264</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F-C-0012</t>
        </is>
      </c>
      <c r="B2913" s="12" t="inlineStr">
        <is>
          <t>F</t>
        </is>
      </c>
      <c r="C2913" s="12" t="inlineStr">
        <is>
          <t>Controls / service</t>
        </is>
      </c>
      <c r="D2913" s="12" t="inlineStr">
        <is>
          <t>Motor 1 of 2: control / local station</t>
        </is>
      </c>
      <c r="E2913" s="12" t="inlineStr">
        <is>
          <t>MCC-C2</t>
        </is>
      </c>
      <c r="F2913" s="12" t="inlineStr">
        <is>
          <t>R1 MCC-C2</t>
        </is>
      </c>
      <c r="G2913" s="12" t="inlineStr"/>
      <c r="H2913" s="12" t="inlineStr">
        <is>
          <t>Stormwater pump station (2 x 100% submersible pumps)</t>
        </is>
      </c>
      <c r="I2913" s="12" t="inlineStr">
        <is>
          <t>Control</t>
        </is>
      </c>
      <c r="J2913" s="12" t="inlineStr">
        <is>
          <t>Control cable 600 V Type TC-ER, Cu #14 AWG, PVC jacket</t>
        </is>
      </c>
      <c r="K2913" s="12" t="inlineStr">
        <is>
          <t>CT|7/C|14</t>
        </is>
      </c>
      <c r="L2913" s="12" t="inlineStr">
        <is>
          <t>7/C</t>
        </is>
      </c>
      <c r="M2913" s="12" t="inlineStr">
        <is>
          <t>14</t>
        </is>
      </c>
      <c r="N2913" s="12" t="n">
        <v>1</v>
      </c>
      <c r="O2913" s="12" t="n">
        <v>1</v>
      </c>
      <c r="P2913" s="12" t="n"/>
      <c r="Q2913" s="12" t="n"/>
      <c r="R2913" s="12" t="n"/>
      <c r="S2913" s="12" t="inlineStr">
        <is>
          <t>Duct bank</t>
        </is>
      </c>
      <c r="T2913" s="17" t="n">
        <v>1832</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F-C-0013</t>
        </is>
      </c>
      <c r="B2914" s="12" t="inlineStr">
        <is>
          <t>F</t>
        </is>
      </c>
      <c r="C2914" s="12" t="inlineStr">
        <is>
          <t>Controls / service</t>
        </is>
      </c>
      <c r="D2914" s="12" t="inlineStr">
        <is>
          <t>Motor 2 of 2: control / local station</t>
        </is>
      </c>
      <c r="E2914" s="12" t="inlineStr">
        <is>
          <t>MCC-C2</t>
        </is>
      </c>
      <c r="F2914" s="12" t="inlineStr">
        <is>
          <t>R1 MCC-C2</t>
        </is>
      </c>
      <c r="G2914" s="12" t="inlineStr"/>
      <c r="H2914" s="12" t="inlineStr">
        <is>
          <t>Stormwater pump station (2 x 100% submersible pumps)</t>
        </is>
      </c>
      <c r="I2914" s="12" t="inlineStr">
        <is>
          <t>Control</t>
        </is>
      </c>
      <c r="J2914" s="12" t="inlineStr">
        <is>
          <t>Control cable 600 V Type TC-ER, Cu #14 AWG, PVC jacket</t>
        </is>
      </c>
      <c r="K2914" s="12" t="inlineStr">
        <is>
          <t>CT|7/C|14</t>
        </is>
      </c>
      <c r="L2914" s="12" t="inlineStr">
        <is>
          <t>7/C</t>
        </is>
      </c>
      <c r="M2914" s="12" t="inlineStr">
        <is>
          <t>14</t>
        </is>
      </c>
      <c r="N2914" s="12" t="n">
        <v>1</v>
      </c>
      <c r="O2914" s="12" t="n">
        <v>1</v>
      </c>
      <c r="P2914" s="12" t="n"/>
      <c r="Q2914" s="12" t="n"/>
      <c r="R2914" s="12" t="n"/>
      <c r="S2914" s="12" t="inlineStr">
        <is>
          <t>Duct bank</t>
        </is>
      </c>
      <c r="T2914" s="17" t="n">
        <v>1832</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c r="AA2914" s="12">
        <f>N2914*O2914</f>
        <v/>
      </c>
    </row>
    <row r="2915">
      <c r="A2915" s="12" t="inlineStr">
        <is>
          <t>F-C-0014</t>
        </is>
      </c>
      <c r="B2915" s="12" t="inlineStr">
        <is>
          <t>F</t>
        </is>
      </c>
      <c r="C2915" s="12" t="inlineStr">
        <is>
          <t>Controls / service</t>
        </is>
      </c>
      <c r="D2915" s="12" t="inlineStr">
        <is>
          <t>Control</t>
        </is>
      </c>
      <c r="E2915" s="12" t="inlineStr">
        <is>
          <t>CR</t>
        </is>
      </c>
      <c r="F2915" s="12" t="inlineStr">
        <is>
          <t>Control / admin building (main control room)</t>
        </is>
      </c>
      <c r="G2915" s="12" t="inlineStr"/>
      <c r="H2915" s="12" t="inlineStr">
        <is>
          <t>Warehouse</t>
        </is>
      </c>
      <c r="I2915" s="12" t="inlineStr">
        <is>
          <t>Control</t>
        </is>
      </c>
      <c r="J2915" s="12" t="inlineStr">
        <is>
          <t>Control cable 600 V Type TC-ER, Cu #14 AWG, PVC jacket</t>
        </is>
      </c>
      <c r="K2915" s="12" t="inlineStr">
        <is>
          <t>CT|7/C|14</t>
        </is>
      </c>
      <c r="L2915" s="12" t="inlineStr">
        <is>
          <t>7/C</t>
        </is>
      </c>
      <c r="M2915" s="12" t="inlineStr">
        <is>
          <t>14</t>
        </is>
      </c>
      <c r="N2915" s="12" t="n">
        <v>1</v>
      </c>
      <c r="O2915" s="12" t="n">
        <v>1</v>
      </c>
      <c r="P2915" s="12" t="n"/>
      <c r="Q2915" s="12" t="n"/>
      <c r="R2915" s="12" t="n"/>
      <c r="S2915" s="12" t="inlineStr">
        <is>
          <t>Tray</t>
        </is>
      </c>
      <c r="T2915" s="17" t="n">
        <v>37</v>
      </c>
      <c r="U2915" s="17" t="n">
        <v>109</v>
      </c>
      <c r="V2915" s="17">
        <f>ROUNDUP((T2915+U2915+2*'Read Me'!$B$13)*(1+'Read Me'!$B$12),-1)</f>
        <v/>
      </c>
      <c r="W2915" s="17">
        <f>V2915*N2915*O2915</f>
        <v/>
      </c>
      <c r="X2915" s="12">
        <f>IF(LEFT(I2915,2)="MV",2*N2915*IF(L2915="1/C",O2915,1),0)</f>
        <v/>
      </c>
      <c r="Y2915" s="12">
        <f>IF(OR(LEFT(K2915,4)="LVAX",LEFT(K2915,6)="MV15AX",LEFT(K2915,4)="CTAX",LEFT(K2915,2)="W|"),2*N2915*O2915,0)</f>
        <v/>
      </c>
      <c r="Z2915" s="12" t="inlineStr"/>
      <c r="AA2915" s="12">
        <f>N2915*O2915</f>
        <v/>
      </c>
    </row>
    <row r="2916">
      <c r="A2916" s="12" t="inlineStr">
        <is>
          <t>F-F-0001</t>
        </is>
      </c>
      <c r="B2916" s="12" t="inlineStr">
        <is>
          <t>F</t>
        </is>
      </c>
      <c r="C2916" s="12" t="inlineStr">
        <is>
          <t>Controls / service</t>
        </is>
      </c>
      <c r="D2916" s="12" t="inlineStr">
        <is>
          <t>Plant network / DCS fibre</t>
        </is>
      </c>
      <c r="E2916" s="12" t="inlineStr">
        <is>
          <t>CR</t>
        </is>
      </c>
      <c r="F2916" s="12" t="inlineStr">
        <is>
          <t>Control / admin building (main control room)</t>
        </is>
      </c>
      <c r="G2916" s="12" t="inlineStr">
        <is>
          <t>CR</t>
        </is>
      </c>
      <c r="H2916" s="12" t="inlineStr">
        <is>
          <t>Control / admin building (main control room)</t>
        </is>
      </c>
      <c r="I2916" s="12" t="inlineStr">
        <is>
          <t>Fibre / data</t>
        </is>
      </c>
      <c r="J2916" s="12" t="inlineStr">
        <is>
          <t>Fibre optic, single-mode, 12-fibre, armored, orange jacket</t>
        </is>
      </c>
      <c r="K2916" s="12" t="inlineStr">
        <is>
          <t>FO|12 SM|-</t>
        </is>
      </c>
      <c r="L2916" s="12" t="inlineStr">
        <is>
          <t>12 SM</t>
        </is>
      </c>
      <c r="M2916" s="12" t="inlineStr">
        <is>
          <t>-</t>
        </is>
      </c>
      <c r="N2916" s="12" t="n">
        <v>1</v>
      </c>
      <c r="O2916" s="12" t="n">
        <v>1</v>
      </c>
      <c r="P2916" s="12" t="n"/>
      <c r="Q2916" s="12" t="n"/>
      <c r="R2916" s="12" t="n"/>
      <c r="S2916" s="12" t="inlineStr">
        <is>
          <t>Tray</t>
        </is>
      </c>
      <c r="T2916" s="17" t="n">
        <v>0</v>
      </c>
      <c r="U2916" s="17" t="n">
        <v>32</v>
      </c>
      <c r="V2916" s="17">
        <f>ROUNDUP((T2916+U2916+2*'Read Me'!$B$13)*(1+'Read Me'!$B$12),-1)</f>
        <v/>
      </c>
      <c r="W2916" s="17">
        <f>V2916*N2916*O2916</f>
        <v/>
      </c>
      <c r="X2916" s="12">
        <f>IF(LEFT(I2916,2)="MV",2*N2916*IF(L2916="1/C",O2916,1),0)</f>
        <v/>
      </c>
      <c r="Y2916" s="12">
        <f>IF(OR(LEFT(K2916,4)="LVAX",LEFT(K2916,6)="MV15AX",LEFT(K2916,4)="CTAX",LEFT(K2916,2)="W|"),2*N2916*O2916,0)</f>
        <v/>
      </c>
      <c r="Z2916" s="12" t="inlineStr"/>
      <c r="AA2916" s="12">
        <f>N2916*O2916</f>
        <v/>
      </c>
    </row>
    <row r="2917">
      <c r="A2917" s="12" t="inlineStr">
        <is>
          <t>F-F-0002</t>
        </is>
      </c>
      <c r="B2917" s="12" t="inlineStr">
        <is>
          <t>F</t>
        </is>
      </c>
      <c r="C2917" s="12" t="inlineStr">
        <is>
          <t>Controls / service</t>
        </is>
      </c>
      <c r="D2917" s="12" t="inlineStr">
        <is>
          <t>Plant network / DCS fibre</t>
        </is>
      </c>
      <c r="E2917" s="12" t="inlineStr">
        <is>
          <t>CR</t>
        </is>
      </c>
      <c r="F2917" s="12" t="inlineStr">
        <is>
          <t>Control / admin building (main control room)</t>
        </is>
      </c>
      <c r="G2917" s="12" t="inlineStr"/>
      <c r="H2917" s="12" t="inlineStr">
        <is>
          <t>Control / admin building wiring: power, lighting, fire alarm, data; op</t>
        </is>
      </c>
      <c r="I2917" s="12" t="inlineStr">
        <is>
          <t>Fibre / data</t>
        </is>
      </c>
      <c r="J2917" s="12" t="inlineStr">
        <is>
          <t>Fibre optic, single-mode, 12-fibre, armored, orange jacket</t>
        </is>
      </c>
      <c r="K2917" s="12" t="inlineStr">
        <is>
          <t>FO|12 SM|-</t>
        </is>
      </c>
      <c r="L2917" s="12" t="inlineStr">
        <is>
          <t>12 SM</t>
        </is>
      </c>
      <c r="M2917" s="12" t="inlineStr">
        <is>
          <t>-</t>
        </is>
      </c>
      <c r="N2917" s="12" t="n">
        <v>1</v>
      </c>
      <c r="O2917" s="12" t="n">
        <v>1</v>
      </c>
      <c r="P2917" s="12" t="n"/>
      <c r="Q2917" s="12" t="n"/>
      <c r="R2917" s="12" t="n"/>
      <c r="S2917" s="12" t="inlineStr">
        <is>
          <t>Tray</t>
        </is>
      </c>
      <c r="T2917" s="17" t="n">
        <v>0</v>
      </c>
      <c r="U2917" s="17" t="n">
        <v>32</v>
      </c>
      <c r="V2917" s="17">
        <f>ROUNDUP((T2917+U2917+2*'Read Me'!$B$13)*(1+'Read Me'!$B$12),-1)</f>
        <v/>
      </c>
      <c r="W2917" s="17">
        <f>V2917*N2917*O2917</f>
        <v/>
      </c>
      <c r="X2917" s="12">
        <f>IF(LEFT(I2917,2)="MV",2*N2917*IF(L2917="1/C",O2917,1),0)</f>
        <v/>
      </c>
      <c r="Y2917" s="12">
        <f>IF(OR(LEFT(K2917,4)="LVAX",LEFT(K2917,6)="MV15AX",LEFT(K2917,4)="CTAX",LEFT(K2917,2)="W|"),2*N2917*O2917,0)</f>
        <v/>
      </c>
      <c r="Z2917" s="12" t="inlineStr"/>
      <c r="AA2917" s="12">
        <f>N2917*O2917</f>
        <v/>
      </c>
    </row>
    <row r="2918">
      <c r="A2918" s="12" t="inlineStr">
        <is>
          <t>F-F-0003</t>
        </is>
      </c>
      <c r="B2918" s="12" t="inlineStr">
        <is>
          <t>F</t>
        </is>
      </c>
      <c r="C2918" s="12" t="inlineStr">
        <is>
          <t>Controls / service</t>
        </is>
      </c>
      <c r="D2918" s="12" t="inlineStr">
        <is>
          <t>Single-mode fibre MDF to MCR consoles / video wall</t>
        </is>
      </c>
      <c r="E2918" s="12" t="inlineStr">
        <is>
          <t>MDF</t>
        </is>
      </c>
      <c r="F2918" s="12" t="inlineStr">
        <is>
          <t>Control / admin building: MDF</t>
        </is>
      </c>
      <c r="G2918" s="12" t="inlineStr">
        <is>
          <t>MCR consoles / video wall</t>
        </is>
      </c>
      <c r="H2918" s="12" t="inlineStr">
        <is>
          <t>Control / admin building: MCR consoles / video wall</t>
        </is>
      </c>
      <c r="I2918" s="12" t="inlineStr">
        <is>
          <t>Fibre / data</t>
        </is>
      </c>
      <c r="J2918" s="12" t="inlineStr">
        <is>
          <t>Fibre optic, single-mode, 12-fibre, armored, orange jacket</t>
        </is>
      </c>
      <c r="K2918" s="12" t="inlineStr">
        <is>
          <t>FO|12 SM|-</t>
        </is>
      </c>
      <c r="L2918" s="12" t="inlineStr">
        <is>
          <t>12 SM</t>
        </is>
      </c>
      <c r="M2918" s="12" t="inlineStr">
        <is>
          <t>-</t>
        </is>
      </c>
      <c r="N2918" s="12" t="n">
        <v>1</v>
      </c>
      <c r="O2918" s="12" t="n">
        <v>1</v>
      </c>
      <c r="P2918" s="12" t="n"/>
      <c r="Q2918" s="12" t="n"/>
      <c r="R2918" s="12" t="n"/>
      <c r="S2918" s="12" t="inlineStr">
        <is>
          <t>Basket tray</t>
        </is>
      </c>
      <c r="T2918" s="17" t="n">
        <v>121</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in innerduct</t>
        </is>
      </c>
      <c r="AA2918" s="12">
        <f>N2918*O2918</f>
        <v/>
      </c>
    </row>
    <row r="2919">
      <c r="A2919" s="12" t="inlineStr">
        <is>
          <t>F-F-0004</t>
        </is>
      </c>
      <c r="B2919" s="12" t="inlineStr">
        <is>
          <t>F</t>
        </is>
      </c>
      <c r="C2919" s="12" t="inlineStr">
        <is>
          <t>Controls / service</t>
        </is>
      </c>
      <c r="D2919" s="12" t="inlineStr">
        <is>
          <t>Cat 6A data drops (116 + 48 server-room links)</t>
        </is>
      </c>
      <c r="E2919" s="12" t="inlineStr">
        <is>
          <t>MDF</t>
        </is>
      </c>
      <c r="F2919" s="12" t="inlineStr">
        <is>
          <t>Control / admin building: MDF</t>
        </is>
      </c>
      <c r="G2919" s="12" t="inlineStr">
        <is>
          <t>data drops</t>
        </is>
      </c>
      <c r="H2919" s="12" t="inlineStr">
        <is>
          <t>Control / admin building: data drops</t>
        </is>
      </c>
      <c r="I2919" s="12" t="inlineStr">
        <is>
          <t>Fibre / data</t>
        </is>
      </c>
      <c r="J2919" s="12" t="inlineStr">
        <is>
          <t>Cat 6A U/FTP 4-pair 23 AWG, plenum CMP (data drops)</t>
        </is>
      </c>
      <c r="K2919" s="12" t="inlineStr">
        <is>
          <t>CAT6|4-pr|23</t>
        </is>
      </c>
      <c r="L2919" s="12" t="inlineStr">
        <is>
          <t>4-pr</t>
        </is>
      </c>
      <c r="M2919" s="12" t="inlineStr">
        <is>
          <t>23</t>
        </is>
      </c>
      <c r="N2919" s="12" t="n">
        <v>1</v>
      </c>
      <c r="O2919" s="12" t="n">
        <v>1</v>
      </c>
      <c r="P2919" s="12" t="n"/>
      <c r="Q2919" s="12" t="n"/>
      <c r="R2919" s="12" t="n"/>
      <c r="S2919" s="12" t="inlineStr">
        <is>
          <t>Basket tray</t>
        </is>
      </c>
      <c r="T2919" s="17" t="n">
        <v>17332</v>
      </c>
      <c r="U2919" s="17" t="n">
        <v>0</v>
      </c>
      <c r="V2919" s="17">
        <f>ROUNDUP((T2919+U2919+2*'Read Me'!$B$13)*(1+'Read Me'!$B$12),-1)</f>
        <v/>
      </c>
      <c r="W2919" s="17">
        <f>V2919*N2919*O2919</f>
        <v/>
      </c>
      <c r="X2919" s="12">
        <f>IF(LEFT(I2919,2)="MV",2*N2919*IF(L2919="1/C",O2919,1),0)</f>
        <v/>
      </c>
      <c r="Y2919" s="12">
        <f>IF(OR(LEFT(K2919,4)="LVAX",LEFT(K2919,6)="MV15AX",LEFT(K2919,4)="CTAX",LEFT(K2919,2)="W|"),2*N2919*O2919,0)</f>
        <v/>
      </c>
      <c r="Z2919" s="12" t="inlineStr">
        <is>
          <t>basket tray + J-hooks, measured</t>
        </is>
      </c>
      <c r="AA2919" s="12">
        <f>N2919*O2919</f>
        <v/>
      </c>
    </row>
    <row r="2920">
      <c r="A2920" s="12" t="inlineStr">
        <is>
          <t>F-F-0005</t>
        </is>
      </c>
      <c r="B2920" s="12" t="inlineStr">
        <is>
          <t>F</t>
        </is>
      </c>
      <c r="C2920" s="12" t="inlineStr">
        <is>
          <t>Controls / service</t>
        </is>
      </c>
      <c r="D2920" s="12" t="inlineStr">
        <is>
          <t>Single-mode fibre MDF to server room</t>
        </is>
      </c>
      <c r="E2920" s="12" t="inlineStr">
        <is>
          <t>MDF</t>
        </is>
      </c>
      <c r="F2920" s="12" t="inlineStr">
        <is>
          <t>Control / admin building: MDF</t>
        </is>
      </c>
      <c r="G2920" s="12" t="inlineStr">
        <is>
          <t>server room</t>
        </is>
      </c>
      <c r="H2920" s="12" t="inlineStr">
        <is>
          <t>Control / admin building: server room</t>
        </is>
      </c>
      <c r="I2920" s="12" t="inlineStr">
        <is>
          <t>Fibre / data</t>
        </is>
      </c>
      <c r="J2920" s="12" t="inlineStr">
        <is>
          <t>Fibre optic, single-mode, 12-fibre, armored, orange jacket</t>
        </is>
      </c>
      <c r="K2920" s="12" t="inlineStr">
        <is>
          <t>FO|12 SM|-</t>
        </is>
      </c>
      <c r="L2920" s="12" t="inlineStr">
        <is>
          <t>12 SM</t>
        </is>
      </c>
      <c r="M2920" s="12" t="inlineStr">
        <is>
          <t>-</t>
        </is>
      </c>
      <c r="N2920" s="12" t="n">
        <v>1</v>
      </c>
      <c r="O2920" s="12" t="n">
        <v>1</v>
      </c>
      <c r="P2920" s="12" t="n"/>
      <c r="Q2920" s="12" t="n"/>
      <c r="R2920" s="12" t="n"/>
      <c r="S2920" s="12" t="inlineStr">
        <is>
          <t>Basket tray</t>
        </is>
      </c>
      <c r="T2920" s="17" t="n">
        <v>63</v>
      </c>
      <c r="U2920" s="17" t="n">
        <v>0</v>
      </c>
      <c r="V2920" s="17">
        <f>ROUNDUP((T2920+U2920+2*'Read Me'!$B$13)*(1+'Read Me'!$B$12),-1)</f>
        <v/>
      </c>
      <c r="W2920" s="17">
        <f>V2920*N2920*O2920</f>
        <v/>
      </c>
      <c r="X2920" s="12">
        <f>IF(LEFT(I2920,2)="MV",2*N2920*IF(L2920="1/C",O2920,1),0)</f>
        <v/>
      </c>
      <c r="Y2920" s="12">
        <f>IF(OR(LEFT(K2920,4)="LVAX",LEFT(K2920,6)="MV15AX",LEFT(K2920,4)="CTAX",LEFT(K2920,2)="W|"),2*N2920*O2920,0)</f>
        <v/>
      </c>
      <c r="Z2920" s="12" t="inlineStr">
        <is>
          <t>in innerduct</t>
        </is>
      </c>
      <c r="AA2920" s="12">
        <f>N2920*O2920</f>
        <v/>
      </c>
    </row>
    <row r="2921">
      <c r="A2921" s="12" t="inlineStr">
        <is>
          <t>F-F-0006</t>
        </is>
      </c>
      <c r="B2921" s="12" t="inlineStr">
        <is>
          <t>F</t>
        </is>
      </c>
      <c r="C2921" s="12" t="inlineStr">
        <is>
          <t>Controls / service</t>
        </is>
      </c>
      <c r="D2921" s="12" t="inlineStr">
        <is>
          <t>Plant network / DCS fibre</t>
        </is>
      </c>
      <c r="E2921" s="12" t="inlineStr">
        <is>
          <t>CR</t>
        </is>
      </c>
      <c r="F2921" s="12" t="inlineStr">
        <is>
          <t>Control / admin building (main control room)</t>
        </is>
      </c>
      <c r="G2921" s="12" t="inlineStr"/>
      <c r="H2921" s="12" t="inlineStr">
        <is>
          <t>Gatehouse</t>
        </is>
      </c>
      <c r="I2921" s="12" t="inlineStr">
        <is>
          <t>Fibre / data</t>
        </is>
      </c>
      <c r="J2921" s="12" t="inlineStr">
        <is>
          <t>Fibre optic, single-mode, 12-fibre, armored, orange jacket</t>
        </is>
      </c>
      <c r="K2921" s="12" t="inlineStr">
        <is>
          <t>FO|12 SM|-</t>
        </is>
      </c>
      <c r="L2921" s="12" t="inlineStr">
        <is>
          <t>12 SM</t>
        </is>
      </c>
      <c r="M2921" s="12" t="inlineStr">
        <is>
          <t>-</t>
        </is>
      </c>
      <c r="N2921" s="12" t="n">
        <v>1</v>
      </c>
      <c r="O2921" s="12" t="n">
        <v>1</v>
      </c>
      <c r="P2921" s="12" t="n"/>
      <c r="Q2921" s="12" t="n"/>
      <c r="R2921" s="12" t="n"/>
      <c r="S2921" s="12" t="inlineStr">
        <is>
          <t>Duct bank</t>
        </is>
      </c>
      <c r="T2921" s="17" t="n">
        <v>38</v>
      </c>
      <c r="U2921" s="17" t="n">
        <v>32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F-F-0007</t>
        </is>
      </c>
      <c r="B2922" s="12" t="inlineStr">
        <is>
          <t>F</t>
        </is>
      </c>
      <c r="C2922" s="12" t="inlineStr">
        <is>
          <t>Controls / service</t>
        </is>
      </c>
      <c r="D2922" s="12" t="inlineStr">
        <is>
          <t>Plant network / DCS fibre</t>
        </is>
      </c>
      <c r="E2922" s="12" t="inlineStr">
        <is>
          <t>CR</t>
        </is>
      </c>
      <c r="F2922" s="12" t="inlineStr">
        <is>
          <t>Control / admin building (main control room)</t>
        </is>
      </c>
      <c r="G2922" s="12" t="inlineStr"/>
      <c r="H2922" s="12" t="inlineStr">
        <is>
          <t>Maintenance building / workshop</t>
        </is>
      </c>
      <c r="I2922" s="12" t="inlineStr">
        <is>
          <t>Fibre / data</t>
        </is>
      </c>
      <c r="J2922" s="12" t="inlineStr">
        <is>
          <t>Fibre optic, single-mode, 12-fibre, armored, orange jacket</t>
        </is>
      </c>
      <c r="K2922" s="12" t="inlineStr">
        <is>
          <t>FO|12 SM|-</t>
        </is>
      </c>
      <c r="L2922" s="12" t="inlineStr">
        <is>
          <t>12 SM</t>
        </is>
      </c>
      <c r="M2922" s="12" t="inlineStr">
        <is>
          <t>-</t>
        </is>
      </c>
      <c r="N2922" s="12" t="n">
        <v>1</v>
      </c>
      <c r="O2922" s="12" t="n">
        <v>1</v>
      </c>
      <c r="P2922" s="12" t="n"/>
      <c r="Q2922" s="12" t="n"/>
      <c r="R2922" s="12" t="n"/>
      <c r="S2922" s="12" t="inlineStr">
        <is>
          <t>Duct bank</t>
        </is>
      </c>
      <c r="T2922" s="17" t="n">
        <v>356</v>
      </c>
      <c r="U2922" s="17" t="n">
        <v>32</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F-F-0008</t>
        </is>
      </c>
      <c r="B2923" s="12" t="inlineStr">
        <is>
          <t>F</t>
        </is>
      </c>
      <c r="C2923" s="12" t="inlineStr">
        <is>
          <t>Controls / service</t>
        </is>
      </c>
      <c r="D2923" s="12" t="inlineStr">
        <is>
          <t>Plant network / DCS fibre</t>
        </is>
      </c>
      <c r="E2923" s="12" t="inlineStr">
        <is>
          <t>CR</t>
        </is>
      </c>
      <c r="F2923" s="12" t="inlineStr">
        <is>
          <t>Control / admin building (main control room)</t>
        </is>
      </c>
      <c r="G2923" s="12" t="inlineStr"/>
      <c r="H2923" s="12" t="inlineStr">
        <is>
          <t>Warehouse</t>
        </is>
      </c>
      <c r="I2923" s="12" t="inlineStr">
        <is>
          <t>Fibre / data</t>
        </is>
      </c>
      <c r="J2923" s="12" t="inlineStr">
        <is>
          <t>Fibre optic, single-mode, 12-fibre, armored, orange jacket</t>
        </is>
      </c>
      <c r="K2923" s="12" t="inlineStr">
        <is>
          <t>FO|12 SM|-</t>
        </is>
      </c>
      <c r="L2923" s="12" t="inlineStr">
        <is>
          <t>12 SM</t>
        </is>
      </c>
      <c r="M2923" s="12" t="inlineStr">
        <is>
          <t>-</t>
        </is>
      </c>
      <c r="N2923" s="12" t="n">
        <v>1</v>
      </c>
      <c r="O2923" s="12" t="n">
        <v>1</v>
      </c>
      <c r="P2923" s="12" t="n"/>
      <c r="Q2923" s="12" t="n"/>
      <c r="R2923" s="12" t="n"/>
      <c r="S2923" s="12" t="inlineStr">
        <is>
          <t>Tray</t>
        </is>
      </c>
      <c r="T2923" s="17" t="n">
        <v>37</v>
      </c>
      <c r="U2923" s="17" t="n">
        <v>109</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F-FA-0001</t>
        </is>
      </c>
      <c r="B2924" s="12" t="inlineStr">
        <is>
          <t>F</t>
        </is>
      </c>
      <c r="C2924" s="12" t="inlineStr">
        <is>
          <t>Controls / service</t>
        </is>
      </c>
      <c r="D2924" s="12" t="inlineStr">
        <is>
          <t>Fire alarm / F&amp;G loop (to the local FACP / F&amp;G node)</t>
        </is>
      </c>
      <c r="E2924" s="12" t="inlineStr">
        <is>
          <t>CR</t>
        </is>
      </c>
      <c r="F2924" s="12" t="inlineStr">
        <is>
          <t>Control / admin building (main control room)</t>
        </is>
      </c>
      <c r="G2924" s="12" t="inlineStr">
        <is>
          <t>CR</t>
        </is>
      </c>
      <c r="H2924" s="12" t="inlineStr">
        <is>
          <t>Control / admin building (main control room)</t>
        </is>
      </c>
      <c r="I2924" s="12" t="inlineStr">
        <is>
          <t>Fire alarm</t>
        </is>
      </c>
      <c r="J2924" s="12" t="inlineStr">
        <is>
          <t>Fire alarm FPLR 2/C #14 shielded, red jacket (NEC 760)</t>
        </is>
      </c>
      <c r="K2924" s="12" t="inlineStr">
        <is>
          <t>FA|2/C|14</t>
        </is>
      </c>
      <c r="L2924" s="12" t="inlineStr">
        <is>
          <t>2/C</t>
        </is>
      </c>
      <c r="M2924" s="12" t="inlineStr">
        <is>
          <t>14</t>
        </is>
      </c>
      <c r="N2924" s="12" t="n">
        <v>1</v>
      </c>
      <c r="O2924" s="12" t="n">
        <v>1</v>
      </c>
      <c r="P2924" s="12" t="n"/>
      <c r="Q2924" s="12" t="n"/>
      <c r="R2924" s="12" t="n"/>
      <c r="S2924" s="12" t="inlineStr">
        <is>
          <t>Tray</t>
        </is>
      </c>
      <c r="T2924" s="17" t="n">
        <v>0</v>
      </c>
      <c r="U2924" s="17" t="n">
        <v>32</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F-FA-0002</t>
        </is>
      </c>
      <c r="B2925" s="12" t="inlineStr">
        <is>
          <t>F</t>
        </is>
      </c>
      <c r="C2925" s="12" t="inlineStr">
        <is>
          <t>Controls / service</t>
        </is>
      </c>
      <c r="D2925" s="12" t="inlineStr">
        <is>
          <t>Fire alarm / F&amp;G loop (to the local FACP / F&amp;G node)</t>
        </is>
      </c>
      <c r="E2925" s="12" t="inlineStr">
        <is>
          <t>CR</t>
        </is>
      </c>
      <c r="F2925" s="12" t="inlineStr">
        <is>
          <t>Control / admin building (main control room)</t>
        </is>
      </c>
      <c r="G2925" s="12" t="inlineStr"/>
      <c r="H2925" s="12" t="inlineStr">
        <is>
          <t>Control / admin building wiring: power, lighting, fire alarm, data; op</t>
        </is>
      </c>
      <c r="I2925" s="12" t="inlineStr">
        <is>
          <t>Fire alarm</t>
        </is>
      </c>
      <c r="J2925" s="12" t="inlineStr">
        <is>
          <t>Fire alarm FPLR 2/C #14 shielded, red jacket (NEC 760)</t>
        </is>
      </c>
      <c r="K2925" s="12" t="inlineStr">
        <is>
          <t>FA|2/C|14</t>
        </is>
      </c>
      <c r="L2925" s="12" t="inlineStr">
        <is>
          <t>2/C</t>
        </is>
      </c>
      <c r="M2925" s="12" t="inlineStr">
        <is>
          <t>14</t>
        </is>
      </c>
      <c r="N2925" s="12" t="n">
        <v>1</v>
      </c>
      <c r="O2925" s="12" t="n">
        <v>1</v>
      </c>
      <c r="P2925" s="12" t="n"/>
      <c r="Q2925" s="12" t="n"/>
      <c r="R2925" s="12" t="n"/>
      <c r="S2925" s="12" t="inlineStr">
        <is>
          <t>Tray</t>
        </is>
      </c>
      <c r="T2925" s="17" t="n">
        <v>0</v>
      </c>
      <c r="U2925" s="17" t="n">
        <v>32</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F-FA-0003</t>
        </is>
      </c>
      <c r="B2926" s="12" t="inlineStr">
        <is>
          <t>F</t>
        </is>
      </c>
      <c r="C2926" s="12" t="inlineStr">
        <is>
          <t>Controls / service</t>
        </is>
      </c>
      <c r="D2926" s="12" t="inlineStr">
        <is>
          <t>Fire-alarm SLC / NAC loop: detectors, horn / strobes, pull stations</t>
        </is>
      </c>
      <c r="E2926" s="12" t="inlineStr">
        <is>
          <t>FACP (MCR)</t>
        </is>
      </c>
      <c r="F2926" s="12" t="inlineStr">
        <is>
          <t>Control / admin building: FACP (MCR)</t>
        </is>
      </c>
      <c r="G2926" s="12" t="inlineStr">
        <is>
          <t>fire-alarm loop</t>
        </is>
      </c>
      <c r="H2926" s="12" t="inlineStr">
        <is>
          <t>Control / admin building: fire-alarm loop</t>
        </is>
      </c>
      <c r="I2926" s="12" t="inlineStr">
        <is>
          <t>Fire alarm</t>
        </is>
      </c>
      <c r="J2926" s="12" t="inlineStr">
        <is>
          <t>Fire alarm FPLR 2/C #14 shielded, red jacket (NEC 760)</t>
        </is>
      </c>
      <c r="K2926" s="12" t="inlineStr">
        <is>
          <t>FA|2/C|14</t>
        </is>
      </c>
      <c r="L2926" s="12" t="inlineStr">
        <is>
          <t>2/C</t>
        </is>
      </c>
      <c r="M2926" s="12" t="inlineStr">
        <is>
          <t>14</t>
        </is>
      </c>
      <c r="N2926" s="12" t="n">
        <v>1</v>
      </c>
      <c r="O2926" s="12" t="n">
        <v>1</v>
      </c>
      <c r="P2926" s="12" t="n">
        <v>24</v>
      </c>
      <c r="Q2926" s="12" t="n"/>
      <c r="R2926" s="12" t="n"/>
      <c r="S2926" s="12" t="inlineStr">
        <is>
          <t>J-hooks</t>
        </is>
      </c>
      <c r="T2926" s="17" t="n">
        <v>830</v>
      </c>
      <c r="U2926" s="17" t="n">
        <v>0</v>
      </c>
      <c r="V2926" s="17">
        <f>ROUNDUP((T2926+U2926+2*'Read Me'!$B$13)*(1+'Read Me'!$B$12),-1)</f>
        <v/>
      </c>
      <c r="W2926" s="17">
        <f>V2926*N2926*O2926</f>
        <v/>
      </c>
      <c r="X2926" s="12">
        <f>IF(LEFT(I2926,2)="MV",2*N2926*IF(L2926="1/C",O2926,1),0)</f>
        <v/>
      </c>
      <c r="Y2926" s="12">
        <f>IF(OR(LEFT(K2926,4)="LVAX",LEFT(K2926,6)="MV15AX",LEFT(K2926,4)="CTAX",LEFT(K2926,2)="W|"),2*N2926*O2926,0)</f>
        <v/>
      </c>
      <c r="Z2926" s="12" t="inlineStr">
        <is>
          <t>FPLR on J-hooks, measured</t>
        </is>
      </c>
      <c r="AA2926" s="12">
        <f>N2926*O2926</f>
        <v/>
      </c>
    </row>
    <row r="2927">
      <c r="A2927" s="12" t="inlineStr">
        <is>
          <t>F-FA-0004</t>
        </is>
      </c>
      <c r="B2927" s="12" t="inlineStr">
        <is>
          <t>F</t>
        </is>
      </c>
      <c r="C2927" s="12" t="inlineStr">
        <is>
          <t>Controls / service</t>
        </is>
      </c>
      <c r="D2927" s="12" t="inlineStr">
        <is>
          <t>Fire alarm / F&amp;G loop (to the local FACP / F&amp;G node)</t>
        </is>
      </c>
      <c r="E2927" s="12" t="inlineStr">
        <is>
          <t>CR</t>
        </is>
      </c>
      <c r="F2927" s="12" t="inlineStr">
        <is>
          <t>Control / admin building (main control room)</t>
        </is>
      </c>
      <c r="G2927" s="12" t="inlineStr">
        <is>
          <t>EDG-1</t>
        </is>
      </c>
      <c r="H2927" s="12" t="inlineStr">
        <is>
          <t>EDG-1: 3 MW emergency diesel generator (480 V)</t>
        </is>
      </c>
      <c r="I2927" s="12" t="inlineStr">
        <is>
          <t>Fire alarm</t>
        </is>
      </c>
      <c r="J2927" s="12" t="inlineStr">
        <is>
          <t>Fire alarm FPLR 2/C #14 shielded, red jacket (NEC 760)</t>
        </is>
      </c>
      <c r="K2927" s="12" t="inlineStr">
        <is>
          <t>FA|2/C|14</t>
        </is>
      </c>
      <c r="L2927" s="12" t="inlineStr">
        <is>
          <t>2/C</t>
        </is>
      </c>
      <c r="M2927" s="12" t="inlineStr">
        <is>
          <t>14</t>
        </is>
      </c>
      <c r="N2927" s="12" t="n">
        <v>1</v>
      </c>
      <c r="O2927" s="12" t="n">
        <v>1</v>
      </c>
      <c r="P2927" s="12" t="n"/>
      <c r="Q2927" s="12" t="n"/>
      <c r="R2927" s="12" t="n"/>
      <c r="S2927" s="12" t="inlineStr">
        <is>
          <t>Duct bank</t>
        </is>
      </c>
      <c r="T2927" s="17" t="n">
        <v>626</v>
      </c>
      <c r="U2927" s="17" t="n">
        <v>62</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F-FA-0005</t>
        </is>
      </c>
      <c r="B2928" s="12" t="inlineStr">
        <is>
          <t>F</t>
        </is>
      </c>
      <c r="C2928" s="12" t="inlineStr">
        <is>
          <t>Controls / service</t>
        </is>
      </c>
      <c r="D2928" s="12" t="inlineStr">
        <is>
          <t>Fire alarm / F&amp;G loop (to the local FACP / F&amp;G node)</t>
        </is>
      </c>
      <c r="E2928" s="12" t="inlineStr">
        <is>
          <t>CR</t>
        </is>
      </c>
      <c r="F2928" s="12" t="inlineStr">
        <is>
          <t>Control / admin building (main control room)</t>
        </is>
      </c>
      <c r="G2928" s="12" t="inlineStr">
        <is>
          <t>EDG-2</t>
        </is>
      </c>
      <c r="H2928" s="12" t="inlineStr">
        <is>
          <t>EDG-2: 3 MW emergency diesel generator (480 V)</t>
        </is>
      </c>
      <c r="I2928" s="12" t="inlineStr">
        <is>
          <t>Fire alarm</t>
        </is>
      </c>
      <c r="J2928" s="12" t="inlineStr">
        <is>
          <t>Fire alarm FPLR 2/C #14 shielded, red jacket (NEC 760)</t>
        </is>
      </c>
      <c r="K2928" s="12" t="inlineStr">
        <is>
          <t>FA|2/C|14</t>
        </is>
      </c>
      <c r="L2928" s="12" t="inlineStr">
        <is>
          <t>2/C</t>
        </is>
      </c>
      <c r="M2928" s="12" t="inlineStr">
        <is>
          <t>14</t>
        </is>
      </c>
      <c r="N2928" s="12" t="n">
        <v>1</v>
      </c>
      <c r="O2928" s="12" t="n">
        <v>1</v>
      </c>
      <c r="P2928" s="12" t="n"/>
      <c r="Q2928" s="12" t="n"/>
      <c r="R2928" s="12" t="n"/>
      <c r="S2928" s="12" t="inlineStr">
        <is>
          <t>Duct bank</t>
        </is>
      </c>
      <c r="T2928" s="17" t="n">
        <v>661</v>
      </c>
      <c r="U2928" s="17" t="n">
        <v>65</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F-FA-0006</t>
        </is>
      </c>
      <c r="B2929" s="12" t="inlineStr">
        <is>
          <t>F</t>
        </is>
      </c>
      <c r="C2929" s="12" t="inlineStr">
        <is>
          <t>Controls / service</t>
        </is>
      </c>
      <c r="D2929" s="12" t="inlineStr">
        <is>
          <t>Fire alarm / F&amp;G loop (to the local FACP / F&amp;G node)</t>
        </is>
      </c>
      <c r="E2929" s="12" t="inlineStr">
        <is>
          <t>CR</t>
        </is>
      </c>
      <c r="F2929" s="12" t="inlineStr">
        <is>
          <t>Control / admin building (main control room)</t>
        </is>
      </c>
      <c r="G2929" s="12" t="inlineStr"/>
      <c r="H2929" s="12" t="inlineStr">
        <is>
          <t>Gatehouse</t>
        </is>
      </c>
      <c r="I2929" s="12" t="inlineStr">
        <is>
          <t>Fire alarm</t>
        </is>
      </c>
      <c r="J2929" s="12" t="inlineStr">
        <is>
          <t>Fire alarm FPLR 2/C #14 shielded, red jacket (NEC 760)</t>
        </is>
      </c>
      <c r="K2929" s="12" t="inlineStr">
        <is>
          <t>FA|2/C|14</t>
        </is>
      </c>
      <c r="L2929" s="12" t="inlineStr">
        <is>
          <t>2/C</t>
        </is>
      </c>
      <c r="M2929" s="12" t="inlineStr">
        <is>
          <t>14</t>
        </is>
      </c>
      <c r="N2929" s="12" t="n">
        <v>1</v>
      </c>
      <c r="O2929" s="12" t="n">
        <v>1</v>
      </c>
      <c r="P2929" s="12" t="n"/>
      <c r="Q2929" s="12" t="n"/>
      <c r="R2929" s="12" t="n"/>
      <c r="S2929" s="12" t="inlineStr">
        <is>
          <t>Duct bank</t>
        </is>
      </c>
      <c r="T2929" s="17" t="n">
        <v>38</v>
      </c>
      <c r="U2929" s="17" t="n">
        <v>32</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F-FA-0007</t>
        </is>
      </c>
      <c r="B2930" s="12" t="inlineStr">
        <is>
          <t>F</t>
        </is>
      </c>
      <c r="C2930" s="12" t="inlineStr">
        <is>
          <t>Controls / service</t>
        </is>
      </c>
      <c r="D2930" s="12" t="inlineStr">
        <is>
          <t>Fire alarm / F&amp;G loop (to the local FACP / F&amp;G node)</t>
        </is>
      </c>
      <c r="E2930" s="12" t="inlineStr">
        <is>
          <t>CR</t>
        </is>
      </c>
      <c r="F2930" s="12" t="inlineStr">
        <is>
          <t>Control / admin building (main control room)</t>
        </is>
      </c>
      <c r="G2930" s="12" t="inlineStr"/>
      <c r="H2930" s="12" t="inlineStr">
        <is>
          <t>Maintenance building / workshop</t>
        </is>
      </c>
      <c r="I2930" s="12" t="inlineStr">
        <is>
          <t>Fire alarm</t>
        </is>
      </c>
      <c r="J2930" s="12" t="inlineStr">
        <is>
          <t>Fire alarm FPLR 2/C #14 shielded, red jacket (NEC 760)</t>
        </is>
      </c>
      <c r="K2930" s="12" t="inlineStr">
        <is>
          <t>FA|2/C|14</t>
        </is>
      </c>
      <c r="L2930" s="12" t="inlineStr">
        <is>
          <t>2/C</t>
        </is>
      </c>
      <c r="M2930" s="12" t="inlineStr">
        <is>
          <t>14</t>
        </is>
      </c>
      <c r="N2930" s="12" t="n">
        <v>1</v>
      </c>
      <c r="O2930" s="12" t="n">
        <v>1</v>
      </c>
      <c r="P2930" s="12" t="n"/>
      <c r="Q2930" s="12" t="n"/>
      <c r="R2930" s="12" t="n"/>
      <c r="S2930" s="12" t="inlineStr">
        <is>
          <t>Duct bank</t>
        </is>
      </c>
      <c r="T2930" s="17" t="n">
        <v>356</v>
      </c>
      <c r="U2930" s="17" t="n">
        <v>32</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F-FA-0008</t>
        </is>
      </c>
      <c r="B2931" s="12" t="inlineStr">
        <is>
          <t>F</t>
        </is>
      </c>
      <c r="C2931" s="12" t="inlineStr">
        <is>
          <t>Controls / service</t>
        </is>
      </c>
      <c r="D2931" s="12" t="inlineStr">
        <is>
          <t>Fire alarm / F&amp;G loop (to the local FACP / F&amp;G node)</t>
        </is>
      </c>
      <c r="E2931" s="12" t="inlineStr">
        <is>
          <t>CR</t>
        </is>
      </c>
      <c r="F2931" s="12" t="inlineStr">
        <is>
          <t>Control / admin building (main control room)</t>
        </is>
      </c>
      <c r="G2931" s="12" t="inlineStr"/>
      <c r="H2931" s="12" t="inlineStr">
        <is>
          <t>Warehouse</t>
        </is>
      </c>
      <c r="I2931" s="12" t="inlineStr">
        <is>
          <t>Fire alarm</t>
        </is>
      </c>
      <c r="J2931" s="12" t="inlineStr">
        <is>
          <t>Fire alarm FPLR 2/C #14 shielded, red jacket (NEC 760)</t>
        </is>
      </c>
      <c r="K2931" s="12" t="inlineStr">
        <is>
          <t>FA|2/C|14</t>
        </is>
      </c>
      <c r="L2931" s="12" t="inlineStr">
        <is>
          <t>2/C</t>
        </is>
      </c>
      <c r="M2931" s="12" t="inlineStr">
        <is>
          <t>14</t>
        </is>
      </c>
      <c r="N2931" s="12" t="n">
        <v>1</v>
      </c>
      <c r="O2931" s="12" t="n">
        <v>1</v>
      </c>
      <c r="P2931" s="12" t="n"/>
      <c r="Q2931" s="12" t="n"/>
      <c r="R2931" s="12" t="n"/>
      <c r="S2931" s="12" t="inlineStr">
        <is>
          <t>Tray</t>
        </is>
      </c>
      <c r="T2931" s="17" t="n">
        <v>37</v>
      </c>
      <c r="U2931" s="17" t="n">
        <v>109</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F-I-0001</t>
        </is>
      </c>
      <c r="B2932" s="12" t="inlineStr">
        <is>
          <t>F</t>
        </is>
      </c>
      <c r="C2932" s="12" t="inlineStr">
        <is>
          <t>Controls / service</t>
        </is>
      </c>
      <c r="D2932" s="12" t="inlineStr">
        <is>
          <t>Instrumentation</t>
        </is>
      </c>
      <c r="E2932" s="12" t="inlineStr">
        <is>
          <t>CR</t>
        </is>
      </c>
      <c r="F2932" s="12" t="inlineStr">
        <is>
          <t>Control / admin building (main control room)</t>
        </is>
      </c>
      <c r="G2932" s="12" t="inlineStr">
        <is>
          <t>EDG-1</t>
        </is>
      </c>
      <c r="H2932" s="12" t="inlineStr">
        <is>
          <t>EDG-1: 3 MW emergency diesel generator (480 V)</t>
        </is>
      </c>
      <c r="I2932" s="12" t="inlineStr">
        <is>
          <t>Instrumentation</t>
        </is>
      </c>
      <c r="J2932" s="12" t="inlineStr">
        <is>
          <t>Instrumentation PLTC / TC-ER 300 V, #18 twisted shielded pairs, overall shield</t>
        </is>
      </c>
      <c r="K2932" s="12" t="inlineStr">
        <is>
          <t>PLTC|4 pr|18</t>
        </is>
      </c>
      <c r="L2932" s="12" t="inlineStr">
        <is>
          <t>4 pr</t>
        </is>
      </c>
      <c r="M2932" s="12" t="inlineStr">
        <is>
          <t>18</t>
        </is>
      </c>
      <c r="N2932" s="12" t="n">
        <v>1</v>
      </c>
      <c r="O2932" s="12" t="n">
        <v>1</v>
      </c>
      <c r="P2932" s="12" t="n"/>
      <c r="Q2932" s="12" t="n"/>
      <c r="R2932" s="12" t="n"/>
      <c r="S2932" s="12" t="inlineStr">
        <is>
          <t>Duct bank</t>
        </is>
      </c>
      <c r="T2932" s="17" t="n">
        <v>626</v>
      </c>
      <c r="U2932" s="17" t="n">
        <v>62</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F-I-0002</t>
        </is>
      </c>
      <c r="B2933" s="12" t="inlineStr">
        <is>
          <t>F</t>
        </is>
      </c>
      <c r="C2933" s="12" t="inlineStr">
        <is>
          <t>Controls / service</t>
        </is>
      </c>
      <c r="D2933" s="12" t="inlineStr">
        <is>
          <t>Thermocouples</t>
        </is>
      </c>
      <c r="E2933" s="12" t="inlineStr">
        <is>
          <t>CR</t>
        </is>
      </c>
      <c r="F2933" s="12" t="inlineStr">
        <is>
          <t>Control / admin building (main control room)</t>
        </is>
      </c>
      <c r="G2933" s="12" t="inlineStr">
        <is>
          <t>EDG-1</t>
        </is>
      </c>
      <c r="H2933" s="12" t="inlineStr">
        <is>
          <t>EDG-1: 3 MW emergency diesel generator (480 V)</t>
        </is>
      </c>
      <c r="I2933" s="12" t="inlineStr">
        <is>
          <t>Instrumentation</t>
        </is>
      </c>
      <c r="J2933" s="12" t="inlineStr">
        <is>
          <t>Thermocouple extension KX, #16 shielded pairs, PLTC</t>
        </is>
      </c>
      <c r="K2933" s="12" t="inlineStr">
        <is>
          <t>TCX|12 pr|16</t>
        </is>
      </c>
      <c r="L2933" s="12" t="inlineStr">
        <is>
          <t>12 pr</t>
        </is>
      </c>
      <c r="M2933" s="12" t="inlineStr">
        <is>
          <t>16</t>
        </is>
      </c>
      <c r="N2933" s="12" t="n">
        <v>1</v>
      </c>
      <c r="O2933" s="12" t="n">
        <v>1</v>
      </c>
      <c r="P2933" s="12" t="n"/>
      <c r="Q2933" s="12" t="n"/>
      <c r="R2933" s="12" t="n"/>
      <c r="S2933" s="12" t="inlineStr">
        <is>
          <t>Duct bank</t>
        </is>
      </c>
      <c r="T2933" s="17" t="n">
        <v>626</v>
      </c>
      <c r="U2933" s="17" t="n">
        <v>62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F-I-0003</t>
        </is>
      </c>
      <c r="B2934" s="12" t="inlineStr">
        <is>
          <t>F</t>
        </is>
      </c>
      <c r="C2934" s="12" t="inlineStr">
        <is>
          <t>Controls / service</t>
        </is>
      </c>
      <c r="D2934" s="12" t="inlineStr">
        <is>
          <t>Thermocouples</t>
        </is>
      </c>
      <c r="E2934" s="12" t="inlineStr">
        <is>
          <t>CR</t>
        </is>
      </c>
      <c r="F2934" s="12" t="inlineStr">
        <is>
          <t>Control / admin building (main control room)</t>
        </is>
      </c>
      <c r="G2934" s="12" t="inlineStr">
        <is>
          <t>EDG-1</t>
        </is>
      </c>
      <c r="H2934" s="12" t="inlineStr">
        <is>
          <t>EDG-1: 3 MW emergency diesel generator (480 V)</t>
        </is>
      </c>
      <c r="I2934" s="12" t="inlineStr">
        <is>
          <t>Instrumentation</t>
        </is>
      </c>
      <c r="J2934" s="12" t="inlineStr">
        <is>
          <t>Thermocouple extension KX, #16 shielded pairs, PLTC</t>
        </is>
      </c>
      <c r="K2934" s="12" t="inlineStr">
        <is>
          <t>TCX|12 pr|16</t>
        </is>
      </c>
      <c r="L2934" s="12" t="inlineStr">
        <is>
          <t>12 pr</t>
        </is>
      </c>
      <c r="M2934" s="12" t="inlineStr">
        <is>
          <t>16</t>
        </is>
      </c>
      <c r="N2934" s="12" t="n">
        <v>1</v>
      </c>
      <c r="O2934" s="12" t="n">
        <v>1</v>
      </c>
      <c r="P2934" s="12" t="n"/>
      <c r="Q2934" s="12" t="n"/>
      <c r="R2934" s="12" t="n"/>
      <c r="S2934" s="12" t="inlineStr">
        <is>
          <t>Duct bank</t>
        </is>
      </c>
      <c r="T2934" s="17" t="n">
        <v>626</v>
      </c>
      <c r="U2934" s="17" t="n">
        <v>62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F-I-0004</t>
        </is>
      </c>
      <c r="B2935" s="12" t="inlineStr">
        <is>
          <t>F</t>
        </is>
      </c>
      <c r="C2935" s="12" t="inlineStr">
        <is>
          <t>Controls / service</t>
        </is>
      </c>
      <c r="D2935" s="12" t="inlineStr">
        <is>
          <t>Instrumentation</t>
        </is>
      </c>
      <c r="E2935" s="12" t="inlineStr">
        <is>
          <t>CR</t>
        </is>
      </c>
      <c r="F2935" s="12" t="inlineStr">
        <is>
          <t>Control / admin building (main control room)</t>
        </is>
      </c>
      <c r="G2935" s="12" t="inlineStr">
        <is>
          <t>EDG-2</t>
        </is>
      </c>
      <c r="H2935" s="12" t="inlineStr">
        <is>
          <t>EDG-2: 3 MW emergency diesel generator (480 V)</t>
        </is>
      </c>
      <c r="I2935" s="12" t="inlineStr">
        <is>
          <t>Instrumentation</t>
        </is>
      </c>
      <c r="J2935" s="12" t="inlineStr">
        <is>
          <t>Instrumentation PLTC / TC-ER 300 V, #18 twisted shielded pairs, overall shield</t>
        </is>
      </c>
      <c r="K2935" s="12" t="inlineStr">
        <is>
          <t>PLTC|4 pr|18</t>
        </is>
      </c>
      <c r="L2935" s="12" t="inlineStr">
        <is>
          <t>4 pr</t>
        </is>
      </c>
      <c r="M2935" s="12" t="inlineStr">
        <is>
          <t>18</t>
        </is>
      </c>
      <c r="N2935" s="12" t="n">
        <v>1</v>
      </c>
      <c r="O2935" s="12" t="n">
        <v>1</v>
      </c>
      <c r="P2935" s="12" t="n"/>
      <c r="Q2935" s="12" t="n"/>
      <c r="R2935" s="12" t="n"/>
      <c r="S2935" s="12" t="inlineStr">
        <is>
          <t>Duct bank</t>
        </is>
      </c>
      <c r="T2935" s="17" t="n">
        <v>661</v>
      </c>
      <c r="U2935" s="17" t="n">
        <v>65</v>
      </c>
      <c r="V2935" s="17">
        <f>ROUNDUP((T2935+U2935+2*'Read Me'!$B$13)*(1+'Read Me'!$B$12),-1)</f>
        <v/>
      </c>
      <c r="W2935" s="17">
        <f>V2935*N2935*O2935</f>
        <v/>
      </c>
      <c r="X2935" s="12">
        <f>IF(LEFT(I2935,2)="MV",2*N2935*IF(L2935="1/C",O2935,1),0)</f>
        <v/>
      </c>
      <c r="Y2935" s="12">
        <f>IF(OR(LEFT(K2935,4)="LVAX",LEFT(K2935,6)="MV15AX",LEFT(K2935,4)="CTAX",LEFT(K2935,2)="W|"),2*N2935*O2935,0)</f>
        <v/>
      </c>
      <c r="Z2935" s="12" t="inlineStr"/>
      <c r="AA2935" s="12">
        <f>N2935*O2935</f>
        <v/>
      </c>
    </row>
    <row r="2936">
      <c r="A2936" s="12" t="inlineStr">
        <is>
          <t>F-I-0005</t>
        </is>
      </c>
      <c r="B2936" s="12" t="inlineStr">
        <is>
          <t>F</t>
        </is>
      </c>
      <c r="C2936" s="12" t="inlineStr">
        <is>
          <t>Controls / service</t>
        </is>
      </c>
      <c r="D2936" s="12" t="inlineStr">
        <is>
          <t>Thermocouples</t>
        </is>
      </c>
      <c r="E2936" s="12" t="inlineStr">
        <is>
          <t>CR</t>
        </is>
      </c>
      <c r="F2936" s="12" t="inlineStr">
        <is>
          <t>Control / admin building (main control room)</t>
        </is>
      </c>
      <c r="G2936" s="12" t="inlineStr">
        <is>
          <t>EDG-2</t>
        </is>
      </c>
      <c r="H2936" s="12" t="inlineStr">
        <is>
          <t>EDG-2: 3 MW emergency diesel generator (480 V)</t>
        </is>
      </c>
      <c r="I2936" s="12" t="inlineStr">
        <is>
          <t>Instrumentation</t>
        </is>
      </c>
      <c r="J2936" s="12" t="inlineStr">
        <is>
          <t>Thermocouple extension KX, #16 shielded pairs, PLTC</t>
        </is>
      </c>
      <c r="K2936" s="12" t="inlineStr">
        <is>
          <t>TCX|12 pr|16</t>
        </is>
      </c>
      <c r="L2936" s="12" t="inlineStr">
        <is>
          <t>12 pr</t>
        </is>
      </c>
      <c r="M2936" s="12" t="inlineStr">
        <is>
          <t>16</t>
        </is>
      </c>
      <c r="N2936" s="12" t="n">
        <v>1</v>
      </c>
      <c r="O2936" s="12" t="n">
        <v>1</v>
      </c>
      <c r="P2936" s="12" t="n"/>
      <c r="Q2936" s="12" t="n"/>
      <c r="R2936" s="12" t="n"/>
      <c r="S2936" s="12" t="inlineStr">
        <is>
          <t>Duct bank</t>
        </is>
      </c>
      <c r="T2936" s="17" t="n">
        <v>661</v>
      </c>
      <c r="U2936" s="17" t="n">
        <v>65</v>
      </c>
      <c r="V2936" s="17">
        <f>ROUNDUP((T2936+U2936+2*'Read Me'!$B$13)*(1+'Read Me'!$B$12),-1)</f>
        <v/>
      </c>
      <c r="W2936" s="17">
        <f>V2936*N2936*O2936</f>
        <v/>
      </c>
      <c r="X2936" s="12">
        <f>IF(LEFT(I2936,2)="MV",2*N2936*IF(L2936="1/C",O2936,1),0)</f>
        <v/>
      </c>
      <c r="Y2936" s="12">
        <f>IF(OR(LEFT(K2936,4)="LVAX",LEFT(K2936,6)="MV15AX",LEFT(K2936,4)="CTAX",LEFT(K2936,2)="W|"),2*N2936*O2936,0)</f>
        <v/>
      </c>
      <c r="Z2936" s="12" t="inlineStr"/>
      <c r="AA2936" s="12">
        <f>N2936*O2936</f>
        <v/>
      </c>
    </row>
    <row r="2937">
      <c r="A2937" s="12" t="inlineStr">
        <is>
          <t>F-I-0006</t>
        </is>
      </c>
      <c r="B2937" s="12" t="inlineStr">
        <is>
          <t>F</t>
        </is>
      </c>
      <c r="C2937" s="12" t="inlineStr">
        <is>
          <t>Controls / service</t>
        </is>
      </c>
      <c r="D2937" s="12" t="inlineStr">
        <is>
          <t>Thermocouples</t>
        </is>
      </c>
      <c r="E2937" s="12" t="inlineStr">
        <is>
          <t>CR</t>
        </is>
      </c>
      <c r="F2937" s="12" t="inlineStr">
        <is>
          <t>Control / admin building (main control room)</t>
        </is>
      </c>
      <c r="G2937" s="12" t="inlineStr">
        <is>
          <t>EDG-2</t>
        </is>
      </c>
      <c r="H2937" s="12" t="inlineStr">
        <is>
          <t>EDG-2: 3 MW emergency diesel generator (480 V)</t>
        </is>
      </c>
      <c r="I2937" s="12" t="inlineStr">
        <is>
          <t>Instrumentation</t>
        </is>
      </c>
      <c r="J2937" s="12" t="inlineStr">
        <is>
          <t>Thermocouple extension KX, #16 shielded pairs, PLTC</t>
        </is>
      </c>
      <c r="K2937" s="12" t="inlineStr">
        <is>
          <t>TCX|12 pr|16</t>
        </is>
      </c>
      <c r="L2937" s="12" t="inlineStr">
        <is>
          <t>12 pr</t>
        </is>
      </c>
      <c r="M2937" s="12" t="inlineStr">
        <is>
          <t>16</t>
        </is>
      </c>
      <c r="N2937" s="12" t="n">
        <v>1</v>
      </c>
      <c r="O2937" s="12" t="n">
        <v>1</v>
      </c>
      <c r="P2937" s="12" t="n"/>
      <c r="Q2937" s="12" t="n"/>
      <c r="R2937" s="12" t="n"/>
      <c r="S2937" s="12" t="inlineStr">
        <is>
          <t>Duct bank</t>
        </is>
      </c>
      <c r="T2937" s="17" t="n">
        <v>661</v>
      </c>
      <c r="U2937" s="17" t="n">
        <v>65</v>
      </c>
      <c r="V2937" s="17">
        <f>ROUNDUP((T2937+U2937+2*'Read Me'!$B$13)*(1+'Read Me'!$B$12),-1)</f>
        <v/>
      </c>
      <c r="W2937" s="17">
        <f>V2937*N2937*O2937</f>
        <v/>
      </c>
      <c r="X2937" s="12">
        <f>IF(LEFT(I2937,2)="MV",2*N2937*IF(L2937="1/C",O2937,1),0)</f>
        <v/>
      </c>
      <c r="Y2937" s="12">
        <f>IF(OR(LEFT(K2937,4)="LVAX",LEFT(K2937,6)="MV15AX",LEFT(K2937,4)="CTAX",LEFT(K2937,2)="W|"),2*N2937*O2937,0)</f>
        <v/>
      </c>
      <c r="Z2937" s="12" t="inlineStr"/>
      <c r="AA2937" s="12">
        <f>N2937*O2937</f>
        <v/>
      </c>
    </row>
    <row r="2938">
      <c r="A2938" s="12" t="inlineStr">
        <is>
          <t>F-I-0007</t>
        </is>
      </c>
      <c r="B2938" s="12" t="inlineStr">
        <is>
          <t>F</t>
        </is>
      </c>
      <c r="C2938" s="12" t="inlineStr">
        <is>
          <t>Controls / service</t>
        </is>
      </c>
      <c r="D2938" s="12" t="inlineStr">
        <is>
          <t>Analog instrument to JB JB-LS-1-AI01: 2 x 1 pr (field cables)</t>
        </is>
      </c>
      <c r="E2938" s="12" t="inlineStr">
        <is>
          <t>LS-1</t>
        </is>
      </c>
      <c r="F2938" s="12" t="inlineStr">
        <is>
          <t>LS-1: sanitary lift station (packaged duplex)</t>
        </is>
      </c>
      <c r="G2938" s="12" t="inlineStr">
        <is>
          <t>JB-LS-1-AI01</t>
        </is>
      </c>
      <c r="H2938" s="12" t="inlineStr">
        <is>
          <t>LS-1: sanitary lift station (packaged duplex)</t>
        </is>
      </c>
      <c r="I2938" s="12" t="inlineStr">
        <is>
          <t>Instrumentation</t>
        </is>
      </c>
      <c r="J2938" s="12" t="inlineStr">
        <is>
          <t>Instrumentation PLTC / TC-ER 300 V, #18 twisted shielded pairs, overall shield</t>
        </is>
      </c>
      <c r="K2938" s="12" t="inlineStr">
        <is>
          <t>PLTC|1 pr|16</t>
        </is>
      </c>
      <c r="L2938" s="12" t="inlineStr">
        <is>
          <t>1 pr</t>
        </is>
      </c>
      <c r="M2938" s="12" t="inlineStr">
        <is>
          <t>16</t>
        </is>
      </c>
      <c r="N2938" s="12" t="n">
        <v>2</v>
      </c>
      <c r="O2938" s="12" t="n">
        <v>1</v>
      </c>
      <c r="P2938" s="12" t="n"/>
      <c r="Q2938" s="12" t="n"/>
      <c r="R2938" s="12" t="n"/>
      <c r="S2938" s="12" t="inlineStr">
        <is>
          <t>Tray / conduit</t>
        </is>
      </c>
      <c r="T2938" s="17" t="n">
        <v>40</v>
      </c>
      <c r="U2938" s="17" t="n">
        <v>10</v>
      </c>
      <c r="V2938" s="17">
        <f>ROUNDUP((T2938+U2938+2*'Read Me'!$B$13)*(1+'Read Me'!$B$12),-1)</f>
        <v/>
      </c>
      <c r="W2938" s="17">
        <f>V2938*N2938*O2938</f>
        <v/>
      </c>
      <c r="X2938" s="12">
        <f>IF(LEFT(I2938,2)="MV",2*N2938*IF(L2938="1/C",O2938,1),0)</f>
        <v/>
      </c>
      <c r="Y2938" s="12">
        <f>IF(OR(LEFT(K2938,4)="LVAX",LEFT(K2938,6)="MV15AX",LEFT(K2938,4)="CTAX",LEFT(K2938,2)="W|"),2*N2938*O2938,0)</f>
        <v/>
      </c>
      <c r="Z2938" s="12" t="inlineStr">
        <is>
          <t>device-to-JB field wiring, one cable per device</t>
        </is>
      </c>
      <c r="AA2938" s="12">
        <f>N2938*O2938</f>
        <v/>
      </c>
    </row>
    <row r="2939">
      <c r="A2939" s="12" t="inlineStr">
        <is>
          <t>F-I-0008</t>
        </is>
      </c>
      <c r="B2939" s="12" t="inlineStr">
        <is>
          <t>F</t>
        </is>
      </c>
      <c r="C2939" s="12" t="inlineStr">
        <is>
          <t>Controls / service</t>
        </is>
      </c>
      <c r="D2939" s="12" t="inlineStr">
        <is>
          <t>Home run JB-LS-1-AI01 to the control / marshalling room</t>
        </is>
      </c>
      <c r="E2939" s="12" t="inlineStr">
        <is>
          <t>CR</t>
        </is>
      </c>
      <c r="F2939" s="12" t="inlineStr">
        <is>
          <t>Control / admin building (main control room)</t>
        </is>
      </c>
      <c r="G2939" s="12" t="inlineStr">
        <is>
          <t>JB-LS-1-AI01</t>
        </is>
      </c>
      <c r="H2939" s="12" t="inlineStr">
        <is>
          <t>LS-1: sanitary lift station (packaged duplex)</t>
        </is>
      </c>
      <c r="I2939" s="12" t="inlineStr">
        <is>
          <t>Instrumentation</t>
        </is>
      </c>
      <c r="J2939" s="12" t="inlineStr">
        <is>
          <t>Instrumentation PLTC / TC-ER 300 V, #18 twisted shielded pairs, overall shield</t>
        </is>
      </c>
      <c r="K2939" s="12" t="inlineStr">
        <is>
          <t>PLTC|24 pr|18</t>
        </is>
      </c>
      <c r="L2939" s="12" t="inlineStr">
        <is>
          <t>24 pr</t>
        </is>
      </c>
      <c r="M2939" s="12" t="inlineStr">
        <is>
          <t>18</t>
        </is>
      </c>
      <c r="N2939" s="12" t="n">
        <v>1</v>
      </c>
      <c r="O2939" s="12" t="n">
        <v>1</v>
      </c>
      <c r="P2939" s="12" t="n"/>
      <c r="Q2939" s="12" t="n"/>
      <c r="R2939" s="12" t="n"/>
      <c r="S2939" s="12" t="inlineStr">
        <is>
          <t>Duct bank</t>
        </is>
      </c>
      <c r="T2939" s="17" t="n">
        <v>366</v>
      </c>
      <c r="U2939" s="17" t="n">
        <v>60</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F-I-0009</t>
        </is>
      </c>
      <c r="B2940" s="12" t="inlineStr">
        <is>
          <t>F</t>
        </is>
      </c>
      <c r="C2940" s="12" t="inlineStr">
        <is>
          <t>Controls / service</t>
        </is>
      </c>
      <c r="D2940" s="12" t="inlineStr">
        <is>
          <t>Discrete device to JB JB-LS-1-DI01: 4 x 1 pr (field cables)</t>
        </is>
      </c>
      <c r="E2940" s="12" t="inlineStr">
        <is>
          <t>LS-1</t>
        </is>
      </c>
      <c r="F2940" s="12" t="inlineStr">
        <is>
          <t>LS-1: sanitary lift station (packaged duplex)</t>
        </is>
      </c>
      <c r="G2940" s="12" t="inlineStr">
        <is>
          <t>JB-LS-1-DI01</t>
        </is>
      </c>
      <c r="H2940" s="12" t="inlineStr">
        <is>
          <t>LS-1: sanitary lift station (packaged duplex)</t>
        </is>
      </c>
      <c r="I2940" s="12" t="inlineStr">
        <is>
          <t>Instrumentation</t>
        </is>
      </c>
      <c r="J2940" s="12" t="inlineStr">
        <is>
          <t>Instrumentation PLTC / TC-ER 300 V, #18 twisted shielded pairs, overall shield</t>
        </is>
      </c>
      <c r="K2940" s="12" t="inlineStr">
        <is>
          <t>PLTC|1 pr|16</t>
        </is>
      </c>
      <c r="L2940" s="12" t="inlineStr">
        <is>
          <t>1 pr</t>
        </is>
      </c>
      <c r="M2940" s="12" t="inlineStr">
        <is>
          <t>16</t>
        </is>
      </c>
      <c r="N2940" s="12" t="n">
        <v>4</v>
      </c>
      <c r="O2940" s="12" t="n">
        <v>1</v>
      </c>
      <c r="P2940" s="12" t="n"/>
      <c r="Q2940" s="12" t="n"/>
      <c r="R2940" s="12" t="n"/>
      <c r="S2940" s="12" t="inlineStr">
        <is>
          <t>Tray / conduit</t>
        </is>
      </c>
      <c r="T2940" s="17" t="n">
        <v>40</v>
      </c>
      <c r="U2940" s="17" t="n">
        <v>10</v>
      </c>
      <c r="V2940" s="17">
        <f>ROUNDUP((T2940+U2940+2*'Read Me'!$B$13)*(1+'Read Me'!$B$12),-1)</f>
        <v/>
      </c>
      <c r="W2940" s="17">
        <f>V2940*N2940*O2940</f>
        <v/>
      </c>
      <c r="X2940" s="12">
        <f>IF(LEFT(I2940,2)="MV",2*N2940*IF(L2940="1/C",O2940,1),0)</f>
        <v/>
      </c>
      <c r="Y2940" s="12">
        <f>IF(OR(LEFT(K2940,4)="LVAX",LEFT(K2940,6)="MV15AX",LEFT(K2940,4)="CTAX",LEFT(K2940,2)="W|"),2*N2940*O2940,0)</f>
        <v/>
      </c>
      <c r="Z2940" s="12" t="inlineStr">
        <is>
          <t>device-to-JB field wiring, one cable per device</t>
        </is>
      </c>
      <c r="AA2940" s="12">
        <f>N2940*O2940</f>
        <v/>
      </c>
    </row>
    <row r="2941">
      <c r="A2941" s="12" t="inlineStr">
        <is>
          <t>F-I-0010</t>
        </is>
      </c>
      <c r="B2941" s="12" t="inlineStr">
        <is>
          <t>F</t>
        </is>
      </c>
      <c r="C2941" s="12" t="inlineStr">
        <is>
          <t>Controls / service</t>
        </is>
      </c>
      <c r="D2941" s="12" t="inlineStr">
        <is>
          <t>Home run JB-LS-1-DI01 to the control / marshalling room</t>
        </is>
      </c>
      <c r="E2941" s="12" t="inlineStr">
        <is>
          <t>CR</t>
        </is>
      </c>
      <c r="F2941" s="12" t="inlineStr">
        <is>
          <t>Control / admin building (main control room)</t>
        </is>
      </c>
      <c r="G2941" s="12" t="inlineStr">
        <is>
          <t>JB-LS-1-DI01</t>
        </is>
      </c>
      <c r="H2941" s="12" t="inlineStr">
        <is>
          <t>LS-1: sanitary lift station (packaged duplex)</t>
        </is>
      </c>
      <c r="I2941" s="12" t="inlineStr">
        <is>
          <t>Instrumentation</t>
        </is>
      </c>
      <c r="J2941" s="12" t="inlineStr">
        <is>
          <t>Instrumentation PLTC / TC-ER 300 V, #18 twisted shielded pairs, overall shield</t>
        </is>
      </c>
      <c r="K2941" s="12" t="inlineStr">
        <is>
          <t>PLTC|24 pr|18</t>
        </is>
      </c>
      <c r="L2941" s="12" t="inlineStr">
        <is>
          <t>24 pr</t>
        </is>
      </c>
      <c r="M2941" s="12" t="inlineStr">
        <is>
          <t>18</t>
        </is>
      </c>
      <c r="N2941" s="12" t="n">
        <v>1</v>
      </c>
      <c r="O2941" s="12" t="n">
        <v>1</v>
      </c>
      <c r="P2941" s="12" t="n"/>
      <c r="Q2941" s="12" t="n"/>
      <c r="R2941" s="12" t="n"/>
      <c r="S2941" s="12" t="inlineStr">
        <is>
          <t>Duct bank</t>
        </is>
      </c>
      <c r="T2941" s="17" t="n">
        <v>366</v>
      </c>
      <c r="U2941" s="17" t="n">
        <v>60</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F-I-0011</t>
        </is>
      </c>
      <c r="B2942" s="12" t="inlineStr">
        <is>
          <t>F</t>
        </is>
      </c>
      <c r="C2942" s="12" t="inlineStr">
        <is>
          <t>Controls / service</t>
        </is>
      </c>
      <c r="D2942" s="12" t="inlineStr">
        <is>
          <t>Analog instrument to JB JB-Stormwater pump st-AI01: 4 x 1 pr (field cables)</t>
        </is>
      </c>
      <c r="E2942" s="12" t="inlineStr"/>
      <c r="F2942" s="12" t="inlineStr">
        <is>
          <t>Stormwater pump station (2 x 100% submersible pumps)</t>
        </is>
      </c>
      <c r="G2942" s="12" t="inlineStr">
        <is>
          <t>JB-Stormwater pump st-AI01</t>
        </is>
      </c>
      <c r="H2942" s="12" t="inlineStr">
        <is>
          <t>Stormwater pump station (2 x 100% submersible pumps)</t>
        </is>
      </c>
      <c r="I2942" s="12" t="inlineStr">
        <is>
          <t>Instrumentation</t>
        </is>
      </c>
      <c r="J2942" s="12" t="inlineStr">
        <is>
          <t>Instrumentation PLTC / TC-ER 300 V, #18 twisted shielded pairs, overall shield</t>
        </is>
      </c>
      <c r="K2942" s="12" t="inlineStr">
        <is>
          <t>PLTC|1 pr|16</t>
        </is>
      </c>
      <c r="L2942" s="12" t="inlineStr">
        <is>
          <t>1 pr</t>
        </is>
      </c>
      <c r="M2942" s="12" t="inlineStr">
        <is>
          <t>16</t>
        </is>
      </c>
      <c r="N2942" s="12" t="n">
        <v>4</v>
      </c>
      <c r="O2942" s="12" t="n">
        <v>1</v>
      </c>
      <c r="P2942" s="12" t="n"/>
      <c r="Q2942" s="12" t="n"/>
      <c r="R2942" s="12" t="n"/>
      <c r="S2942" s="12" t="inlineStr">
        <is>
          <t>Tray / conduit</t>
        </is>
      </c>
      <c r="T2942" s="17" t="n">
        <v>72</v>
      </c>
      <c r="U2942" s="17" t="n">
        <v>10</v>
      </c>
      <c r="V2942" s="17">
        <f>ROUNDUP((T2942+U2942+2*'Read Me'!$B$13)*(1+'Read Me'!$B$12),-1)</f>
        <v/>
      </c>
      <c r="W2942" s="17">
        <f>V2942*N2942*O2942</f>
        <v/>
      </c>
      <c r="X2942" s="12">
        <f>IF(LEFT(I2942,2)="MV",2*N2942*IF(L2942="1/C",O2942,1),0)</f>
        <v/>
      </c>
      <c r="Y2942" s="12">
        <f>IF(OR(LEFT(K2942,4)="LVAX",LEFT(K2942,6)="MV15AX",LEFT(K2942,4)="CTAX",LEFT(K2942,2)="W|"),2*N2942*O2942,0)</f>
        <v/>
      </c>
      <c r="Z2942" s="12" t="inlineStr">
        <is>
          <t>device-to-JB field wiring, one cable per device</t>
        </is>
      </c>
      <c r="AA2942" s="12">
        <f>N2942*O2942</f>
        <v/>
      </c>
    </row>
    <row r="2943">
      <c r="A2943" s="12" t="inlineStr">
        <is>
          <t>F-I-0012</t>
        </is>
      </c>
      <c r="B2943" s="12" t="inlineStr">
        <is>
          <t>F</t>
        </is>
      </c>
      <c r="C2943" s="12" t="inlineStr">
        <is>
          <t>Controls / service</t>
        </is>
      </c>
      <c r="D2943" s="12" t="inlineStr">
        <is>
          <t>Home run JB-Stormwater pump st-AI01 to the control / marshalling room</t>
        </is>
      </c>
      <c r="E2943" s="12" t="inlineStr">
        <is>
          <t>CR</t>
        </is>
      </c>
      <c r="F2943" s="12" t="inlineStr">
        <is>
          <t>Control / admin building (main control room)</t>
        </is>
      </c>
      <c r="G2943" s="12" t="inlineStr">
        <is>
          <t>JB-Stormwater pump st-AI01</t>
        </is>
      </c>
      <c r="H2943" s="12" t="inlineStr">
        <is>
          <t>Stormwater pump station (2 x 100% submersible pumps)</t>
        </is>
      </c>
      <c r="I2943" s="12" t="inlineStr">
        <is>
          <t>Instrumentation</t>
        </is>
      </c>
      <c r="J2943" s="12" t="inlineStr">
        <is>
          <t>Instrumentation PLTC / TC-ER 300 V, #18 twisted shielded pairs, overall shield</t>
        </is>
      </c>
      <c r="K2943" s="12" t="inlineStr">
        <is>
          <t>PLTC|24 pr|18</t>
        </is>
      </c>
      <c r="L2943" s="12" t="inlineStr">
        <is>
          <t>24 pr</t>
        </is>
      </c>
      <c r="M2943" s="12" t="inlineStr">
        <is>
          <t>18</t>
        </is>
      </c>
      <c r="N2943" s="12" t="n">
        <v>1</v>
      </c>
      <c r="O2943" s="12" t="n">
        <v>1</v>
      </c>
      <c r="P2943" s="12" t="n"/>
      <c r="Q2943" s="12" t="n"/>
      <c r="R2943" s="12" t="n"/>
      <c r="S2943" s="12" t="inlineStr">
        <is>
          <t>Duct bank</t>
        </is>
      </c>
      <c r="T2943" s="17" t="n">
        <v>1454</v>
      </c>
      <c r="U2943" s="17" t="n">
        <v>32</v>
      </c>
      <c r="V2943" s="17">
        <f>ROUNDUP((T2943+U2943+2*'Read Me'!$B$13)*(1+'Read Me'!$B$12),-1)</f>
        <v/>
      </c>
      <c r="W2943" s="17">
        <f>V2943*N2943*O2943</f>
        <v/>
      </c>
      <c r="X2943" s="12">
        <f>IF(LEFT(I2943,2)="MV",2*N2943*IF(L2943="1/C",O2943,1),0)</f>
        <v/>
      </c>
      <c r="Y2943" s="12">
        <f>IF(OR(LEFT(K2943,4)="LVAX",LEFT(K2943,6)="MV15AX",LEFT(K2943,4)="CTAX",LEFT(K2943,2)="W|"),2*N2943*O2943,0)</f>
        <v/>
      </c>
      <c r="Z2943" s="12" t="inlineStr"/>
      <c r="AA2943" s="12">
        <f>N2943*O2943</f>
        <v/>
      </c>
    </row>
    <row r="2944">
      <c r="A2944" s="12" t="inlineStr">
        <is>
          <t>F-I-0013</t>
        </is>
      </c>
      <c r="B2944" s="12" t="inlineStr">
        <is>
          <t>F</t>
        </is>
      </c>
      <c r="C2944" s="12" t="inlineStr">
        <is>
          <t>Controls / service</t>
        </is>
      </c>
      <c r="D2944" s="12" t="inlineStr">
        <is>
          <t>Discrete device to JB JB-Stormwater pump st-DI01: 6 x 1 pr (field cables)</t>
        </is>
      </c>
      <c r="E2944" s="12" t="inlineStr"/>
      <c r="F2944" s="12" t="inlineStr">
        <is>
          <t>Stormwater pump station (2 x 100% submersible pumps)</t>
        </is>
      </c>
      <c r="G2944" s="12" t="inlineStr">
        <is>
          <t>JB-Stormwater pump st-DI01</t>
        </is>
      </c>
      <c r="H2944" s="12" t="inlineStr">
        <is>
          <t>Stormwater pump station (2 x 100% submersible pumps)</t>
        </is>
      </c>
      <c r="I2944" s="12" t="inlineStr">
        <is>
          <t>Instrumentation</t>
        </is>
      </c>
      <c r="J2944" s="12" t="inlineStr">
        <is>
          <t>Instrumentation PLTC / TC-ER 300 V, #18 twisted shielded pairs, overall shield</t>
        </is>
      </c>
      <c r="K2944" s="12" t="inlineStr">
        <is>
          <t>PLTC|1 pr|16</t>
        </is>
      </c>
      <c r="L2944" s="12" t="inlineStr">
        <is>
          <t>1 pr</t>
        </is>
      </c>
      <c r="M2944" s="12" t="inlineStr">
        <is>
          <t>16</t>
        </is>
      </c>
      <c r="N2944" s="12" t="n">
        <v>6</v>
      </c>
      <c r="O2944" s="12" t="n">
        <v>1</v>
      </c>
      <c r="P2944" s="12" t="n"/>
      <c r="Q2944" s="12" t="n"/>
      <c r="R2944" s="12" t="n"/>
      <c r="S2944" s="12" t="inlineStr">
        <is>
          <t>Tray / conduit</t>
        </is>
      </c>
      <c r="T2944" s="17" t="n">
        <v>72</v>
      </c>
      <c r="U2944" s="17" t="n">
        <v>10</v>
      </c>
      <c r="V2944" s="17">
        <f>ROUNDUP((T2944+U2944+2*'Read Me'!$B$13)*(1+'Read Me'!$B$12),-1)</f>
        <v/>
      </c>
      <c r="W2944" s="17">
        <f>V2944*N2944*O2944</f>
        <v/>
      </c>
      <c r="X2944" s="12">
        <f>IF(LEFT(I2944,2)="MV",2*N2944*IF(L2944="1/C",O2944,1),0)</f>
        <v/>
      </c>
      <c r="Y2944" s="12">
        <f>IF(OR(LEFT(K2944,4)="LVAX",LEFT(K2944,6)="MV15AX",LEFT(K2944,4)="CTAX",LEFT(K2944,2)="W|"),2*N2944*O2944,0)</f>
        <v/>
      </c>
      <c r="Z2944" s="12" t="inlineStr">
        <is>
          <t>device-to-JB field wiring, one cable per device</t>
        </is>
      </c>
      <c r="AA2944" s="12">
        <f>N2944*O2944</f>
        <v/>
      </c>
    </row>
    <row r="2945">
      <c r="A2945" s="12" t="inlineStr">
        <is>
          <t>F-I-0014</t>
        </is>
      </c>
      <c r="B2945" s="12" t="inlineStr">
        <is>
          <t>F</t>
        </is>
      </c>
      <c r="C2945" s="12" t="inlineStr">
        <is>
          <t>Controls / service</t>
        </is>
      </c>
      <c r="D2945" s="12" t="inlineStr">
        <is>
          <t>Home run JB-Stormwater pump st-DI01 to the control / marshalling room</t>
        </is>
      </c>
      <c r="E2945" s="12" t="inlineStr">
        <is>
          <t>CR</t>
        </is>
      </c>
      <c r="F2945" s="12" t="inlineStr">
        <is>
          <t>Control / admin building (main control room)</t>
        </is>
      </c>
      <c r="G2945" s="12" t="inlineStr">
        <is>
          <t>JB-Stormwater pump st-DI01</t>
        </is>
      </c>
      <c r="H2945" s="12" t="inlineStr">
        <is>
          <t>Stormwater pump station (2 x 100% submersible pumps)</t>
        </is>
      </c>
      <c r="I2945" s="12" t="inlineStr">
        <is>
          <t>Instrumentation</t>
        </is>
      </c>
      <c r="J2945" s="12" t="inlineStr">
        <is>
          <t>Instrumentation PLTC / TC-ER 300 V, #18 twisted shielded pairs, overall shield</t>
        </is>
      </c>
      <c r="K2945" s="12" t="inlineStr">
        <is>
          <t>PLTC|24 pr|18</t>
        </is>
      </c>
      <c r="L2945" s="12" t="inlineStr">
        <is>
          <t>24 pr</t>
        </is>
      </c>
      <c r="M2945" s="12" t="inlineStr">
        <is>
          <t>18</t>
        </is>
      </c>
      <c r="N2945" s="12" t="n">
        <v>1</v>
      </c>
      <c r="O2945" s="12" t="n">
        <v>1</v>
      </c>
      <c r="P2945" s="12" t="n"/>
      <c r="Q2945" s="12" t="n"/>
      <c r="R2945" s="12" t="n"/>
      <c r="S2945" s="12" t="inlineStr">
        <is>
          <t>Duct bank</t>
        </is>
      </c>
      <c r="T2945" s="17" t="n">
        <v>1454</v>
      </c>
      <c r="U2945" s="17" t="n">
        <v>32</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F-P-0001</t>
        </is>
      </c>
      <c r="B2946" s="12" t="inlineStr">
        <is>
          <t>F</t>
        </is>
      </c>
      <c r="C2946" s="12" t="inlineStr">
        <is>
          <t>Controls / service</t>
        </is>
      </c>
      <c r="D2946" s="12" t="inlineStr">
        <is>
          <t>LV panel / distribution feeder</t>
        </is>
      </c>
      <c r="E2946" s="12" t="inlineStr">
        <is>
          <t>MCC-C2</t>
        </is>
      </c>
      <c r="F2946" s="12" t="inlineStr">
        <is>
          <t>R1 MCC-C2</t>
        </is>
      </c>
      <c r="G2946" s="12" t="inlineStr">
        <is>
          <t>CR</t>
        </is>
      </c>
      <c r="H2946" s="12" t="inlineStr">
        <is>
          <t>Control / admin building (main control room)</t>
        </is>
      </c>
      <c r="I2946" s="12" t="inlineStr">
        <is>
          <t>LV 600 V</t>
        </is>
      </c>
      <c r="J2946" s="12" t="inlineStr">
        <is>
          <t>Type TC-ER 600 V 3/C Cu XHHW-2 + ground, PVC jacket</t>
        </is>
      </c>
      <c r="K2946" s="12" t="inlineStr">
        <is>
          <t>LV|3/C+G|500</t>
        </is>
      </c>
      <c r="L2946" s="12" t="inlineStr">
        <is>
          <t>3/C+G</t>
        </is>
      </c>
      <c r="M2946" s="12" t="inlineStr">
        <is>
          <t>500 kcmil</t>
        </is>
      </c>
      <c r="N2946" s="12" t="n">
        <v>1</v>
      </c>
      <c r="O2946" s="12" t="n">
        <v>1</v>
      </c>
      <c r="P2946" s="12" t="n">
        <v>480</v>
      </c>
      <c r="Q2946" s="12" t="n">
        <v>145</v>
      </c>
      <c r="R2946" s="12" t="n">
        <v>205.2</v>
      </c>
      <c r="S2946" s="12" t="inlineStr">
        <is>
          <t>Tray</t>
        </is>
      </c>
      <c r="T2946" s="17" t="n">
        <v>1020</v>
      </c>
      <c r="U2946" s="17" t="n">
        <v>145</v>
      </c>
      <c r="V2946" s="17">
        <f>ROUNDUP((T2946+U2946+2*'Read Me'!$B$13)*(1+'Read Me'!$B$12),-1)</f>
        <v/>
      </c>
      <c r="W2946" s="17">
        <f>V2946*N2946*O2946</f>
        <v/>
      </c>
      <c r="X2946" s="12">
        <f>IF(LEFT(I2946,2)="MV",2*N2946*IF(L2946="1/C",O2946,1),0)</f>
        <v/>
      </c>
      <c r="Y2946" s="12">
        <f>IF(OR(LEFT(K2946,4)="LVAX",LEFT(K2946,6)="MV15AX",LEFT(K2946,4)="CTAX",LEFT(K2946,2)="W|"),2*N2946*O2946,0)</f>
        <v/>
      </c>
      <c r="Z2946" s="12" t="inlineStr">
        <is>
          <t>VD 2.4 %</t>
        </is>
      </c>
      <c r="AA2946" s="12">
        <f>N2946*O2946</f>
        <v/>
      </c>
    </row>
    <row r="2947">
      <c r="A2947" s="12" t="inlineStr">
        <is>
          <t>F-P-0002</t>
        </is>
      </c>
      <c r="B2947" s="12" t="inlineStr">
        <is>
          <t>F</t>
        </is>
      </c>
      <c r="C2947" s="12" t="inlineStr">
        <is>
          <t>Controls / service</t>
        </is>
      </c>
      <c r="D2947" s="12" t="inlineStr">
        <is>
          <t>Building service 480 V, 800 A: 2 sets in 4 in PVC</t>
        </is>
      </c>
      <c r="E2947" s="12" t="inlineStr">
        <is>
          <t>service duct bank, north wall x 262</t>
        </is>
      </c>
      <c r="F2947" s="12" t="inlineStr">
        <is>
          <t>Control / admin building: service duct bank, north wall x 262</t>
        </is>
      </c>
      <c r="G2947" s="12" t="inlineStr">
        <is>
          <t>MDP 480 V</t>
        </is>
      </c>
      <c r="H2947" s="12" t="inlineStr">
        <is>
          <t>Control / admin building: MDP 480 V</t>
        </is>
      </c>
      <c r="I2947" s="12" t="inlineStr">
        <is>
          <t>LV 600 V</t>
        </is>
      </c>
      <c r="J2947" s="12" t="inlineStr">
        <is>
          <t>XHHW-2 600 V 1/C Cu (feeder sets in tray / duct)</t>
        </is>
      </c>
      <c r="K2947" s="12" t="inlineStr">
        <is>
          <t>LV1C|1/C|500</t>
        </is>
      </c>
      <c r="L2947" s="12" t="inlineStr">
        <is>
          <t>1/C</t>
        </is>
      </c>
      <c r="M2947" s="12" t="inlineStr">
        <is>
          <t>500 kcmil</t>
        </is>
      </c>
      <c r="N2947" s="12" t="n">
        <v>2</v>
      </c>
      <c r="O2947" s="12" t="n">
        <v>4</v>
      </c>
      <c r="P2947" s="12" t="n">
        <v>480</v>
      </c>
      <c r="Q2947" s="12" t="n">
        <v>480</v>
      </c>
      <c r="R2947" s="12" t="n">
        <v>800</v>
      </c>
      <c r="S2947" s="12" t="inlineStr">
        <is>
          <t>Conduit</t>
        </is>
      </c>
      <c r="T2947" s="17" t="n">
        <v>30</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is>
          <t>from the north-wall duct bank</t>
        </is>
      </c>
      <c r="AA2947" s="12">
        <f>N2947*O2947</f>
        <v/>
      </c>
    </row>
    <row r="2948">
      <c r="A2948" s="12" t="inlineStr">
        <is>
          <t>F-P-0003</t>
        </is>
      </c>
      <c r="B2948" s="12" t="inlineStr">
        <is>
          <t>F</t>
        </is>
      </c>
      <c r="C2948" s="12" t="inlineStr">
        <is>
          <t>Controls / service</t>
        </is>
      </c>
      <c r="D2948" s="12" t="inlineStr">
        <is>
          <t>LV power feeder</t>
        </is>
      </c>
      <c r="E2948" s="12" t="inlineStr">
        <is>
          <t>MCC-C2</t>
        </is>
      </c>
      <c r="F2948" s="12" t="inlineStr">
        <is>
          <t>R1 MCC-C2</t>
        </is>
      </c>
      <c r="G2948" s="12" t="inlineStr">
        <is>
          <t>EDG-1</t>
        </is>
      </c>
      <c r="H2948" s="12" t="inlineStr">
        <is>
          <t>EDG-1: 3 MW emergency diesel generator (480 V)</t>
        </is>
      </c>
      <c r="I2948" s="12" t="inlineStr">
        <is>
          <t>LV 600 V</t>
        </is>
      </c>
      <c r="J2948" s="12" t="inlineStr">
        <is>
          <t>Type TC-ER 600 V 3/C Cu XHHW-2 + ground, PVC jacket</t>
        </is>
      </c>
      <c r="K2948" s="12" t="inlineStr">
        <is>
          <t>LV|3/C+G|4</t>
        </is>
      </c>
      <c r="L2948" s="12" t="inlineStr">
        <is>
          <t>3/C+G</t>
        </is>
      </c>
      <c r="M2948" s="12" t="inlineStr">
        <is>
          <t>4</t>
        </is>
      </c>
      <c r="N2948" s="12" t="n">
        <v>1</v>
      </c>
      <c r="O2948" s="12" t="n">
        <v>1</v>
      </c>
      <c r="P2948" s="12" t="n">
        <v>480</v>
      </c>
      <c r="Q2948" s="12" t="n">
        <v>15</v>
      </c>
      <c r="R2948" s="12" t="n">
        <v>21.2</v>
      </c>
      <c r="S2948" s="12" t="inlineStr">
        <is>
          <t>Tray</t>
        </is>
      </c>
      <c r="T2948" s="17" t="n">
        <v>875</v>
      </c>
      <c r="U2948" s="17" t="n">
        <v>219</v>
      </c>
      <c r="V2948" s="17">
        <f>ROUNDUP((T2948+U2948+2*'Read Me'!$B$13)*(1+'Read Me'!$B$12),-1)</f>
        <v/>
      </c>
      <c r="W2948" s="17">
        <f>V2948*N2948*O2948</f>
        <v/>
      </c>
      <c r="X2948" s="12">
        <f>IF(LEFT(I2948,2)="MV",2*N2948*IF(L2948="1/C",O2948,1),0)</f>
        <v/>
      </c>
      <c r="Y2948" s="12">
        <f>IF(OR(LEFT(K2948,4)="LVAX",LEFT(K2948,6)="MV15AX",LEFT(K2948,4)="CTAX",LEFT(K2948,2)="W|"),2*N2948*O2948,0)</f>
        <v/>
      </c>
      <c r="Z2948" s="12" t="inlineStr">
        <is>
          <t>VD 2.8 %</t>
        </is>
      </c>
      <c r="AA2948" s="12">
        <f>N2948*O2948</f>
        <v/>
      </c>
    </row>
    <row r="2949">
      <c r="A2949" s="12" t="inlineStr">
        <is>
          <t>F-P-0004</t>
        </is>
      </c>
      <c r="B2949" s="12" t="inlineStr">
        <is>
          <t>F</t>
        </is>
      </c>
      <c r="C2949" s="12" t="inlineStr">
        <is>
          <t>Controls / service</t>
        </is>
      </c>
      <c r="D2949" s="12" t="inlineStr">
        <is>
          <t>LV power feeder</t>
        </is>
      </c>
      <c r="E2949" s="12" t="inlineStr">
        <is>
          <t>MCC-C2</t>
        </is>
      </c>
      <c r="F2949" s="12" t="inlineStr">
        <is>
          <t>R1 MCC-C2</t>
        </is>
      </c>
      <c r="G2949" s="12" t="inlineStr">
        <is>
          <t>EDG-2</t>
        </is>
      </c>
      <c r="H2949" s="12" t="inlineStr">
        <is>
          <t>EDG-2: 3 MW emergency diesel generator (480 V)</t>
        </is>
      </c>
      <c r="I2949" s="12" t="inlineStr">
        <is>
          <t>LV 600 V</t>
        </is>
      </c>
      <c r="J2949" s="12" t="inlineStr">
        <is>
          <t>Type TC-ER 600 V 3/C Cu XHHW-2 + ground, PVC jacket</t>
        </is>
      </c>
      <c r="K2949" s="12" t="inlineStr">
        <is>
          <t>LV|3/C+G|2</t>
        </is>
      </c>
      <c r="L2949" s="12" t="inlineStr">
        <is>
          <t>3/C+G</t>
        </is>
      </c>
      <c r="M2949" s="12" t="inlineStr">
        <is>
          <t>2</t>
        </is>
      </c>
      <c r="N2949" s="12" t="n">
        <v>1</v>
      </c>
      <c r="O2949" s="12" t="n">
        <v>1</v>
      </c>
      <c r="P2949" s="12" t="n">
        <v>480</v>
      </c>
      <c r="Q2949" s="12" t="n">
        <v>15</v>
      </c>
      <c r="R2949" s="12" t="n">
        <v>21.2</v>
      </c>
      <c r="S2949" s="12" t="inlineStr">
        <is>
          <t>Tray</t>
        </is>
      </c>
      <c r="T2949" s="17" t="n">
        <v>981</v>
      </c>
      <c r="U2949" s="17" t="n">
        <v>193</v>
      </c>
      <c r="V2949" s="17">
        <f>ROUNDUP((T2949+U2949+2*'Read Me'!$B$13)*(1+'Read Me'!$B$12),-1)</f>
        <v/>
      </c>
      <c r="W2949" s="17">
        <f>V2949*N2949*O2949</f>
        <v/>
      </c>
      <c r="X2949" s="12">
        <f>IF(LEFT(I2949,2)="MV",2*N2949*IF(L2949="1/C",O2949,1),0)</f>
        <v/>
      </c>
      <c r="Y2949" s="12">
        <f>IF(OR(LEFT(K2949,4)="LVAX",LEFT(K2949,6)="MV15AX",LEFT(K2949,4)="CTAX",LEFT(K2949,2)="W|"),2*N2949*O2949,0)</f>
        <v/>
      </c>
      <c r="Z2949" s="12" t="inlineStr">
        <is>
          <t>VD 1.9 %</t>
        </is>
      </c>
      <c r="AA2949" s="12">
        <f>N2949*O2949</f>
        <v/>
      </c>
    </row>
    <row r="2950">
      <c r="A2950" s="12" t="inlineStr">
        <is>
          <t>F-P-0005</t>
        </is>
      </c>
      <c r="B2950" s="12" t="inlineStr">
        <is>
          <t>F</t>
        </is>
      </c>
      <c r="C2950" s="12" t="inlineStr">
        <is>
          <t>Controls / service</t>
        </is>
      </c>
      <c r="D2950" s="12" t="inlineStr">
        <is>
          <t>LV panel / distribution feeder</t>
        </is>
      </c>
      <c r="E2950" s="12" t="inlineStr">
        <is>
          <t>MCC-C2</t>
        </is>
      </c>
      <c r="F2950" s="12" t="inlineStr">
        <is>
          <t>R1 MCC-C2</t>
        </is>
      </c>
      <c r="G2950" s="12" t="inlineStr"/>
      <c r="H2950" s="12" t="inlineStr">
        <is>
          <t>Gatehouse</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30</v>
      </c>
      <c r="R2950" s="12" t="n">
        <v>42.5</v>
      </c>
      <c r="S2950" s="12" t="inlineStr">
        <is>
          <t>Tray</t>
        </is>
      </c>
      <c r="T2950" s="17" t="n">
        <v>1049</v>
      </c>
      <c r="U2950" s="17" t="n">
        <v>145</v>
      </c>
      <c r="V2950" s="17">
        <f>ROUNDUP((T2950+U2950+2*'Read Me'!$B$13)*(1+'Read Me'!$B$12),-1)</f>
        <v/>
      </c>
      <c r="W2950" s="17">
        <f>V2950*N2950*O2950</f>
        <v/>
      </c>
      <c r="X2950" s="12">
        <f>IF(LEFT(I2950,2)="MV",2*N2950*IF(L2950="1/C",O2950,1),0)</f>
        <v/>
      </c>
      <c r="Y2950" s="12">
        <f>IF(OR(LEFT(K2950,4)="LVAX",LEFT(K2950,6)="MV15AX",LEFT(K2950,4)="CTAX",LEFT(K2950,2)="W|"),2*N2950*O2950,0)</f>
        <v/>
      </c>
      <c r="Z2950" s="12" t="inlineStr">
        <is>
          <t>VD 2.5 %</t>
        </is>
      </c>
      <c r="AA2950" s="12">
        <f>N2950*O2950</f>
        <v/>
      </c>
    </row>
    <row r="2951">
      <c r="A2951" s="12" t="inlineStr">
        <is>
          <t>F-P-0006</t>
        </is>
      </c>
      <c r="B2951" s="12" t="inlineStr">
        <is>
          <t>F</t>
        </is>
      </c>
      <c r="C2951" s="12" t="inlineStr">
        <is>
          <t>Controls / service</t>
        </is>
      </c>
      <c r="D2951" s="12" t="inlineStr">
        <is>
          <t>Motor 1 of 2, 7 kW</t>
        </is>
      </c>
      <c r="E2951" s="12" t="inlineStr">
        <is>
          <t>MCC-C2</t>
        </is>
      </c>
      <c r="F2951" s="12" t="inlineStr">
        <is>
          <t>R1 MCC-C2</t>
        </is>
      </c>
      <c r="G2951" s="12" t="inlineStr">
        <is>
          <t>LS-1</t>
        </is>
      </c>
      <c r="H2951" s="12" t="inlineStr">
        <is>
          <t>LS-1: sanitary lift station (packaged duplex)</t>
        </is>
      </c>
      <c r="I2951" s="12" t="inlineStr">
        <is>
          <t>LV 600 V</t>
        </is>
      </c>
      <c r="J2951" s="12" t="inlineStr">
        <is>
          <t>Type TC-ER 600 V 3/C Cu XHHW-2 + ground, PVC jacket</t>
        </is>
      </c>
      <c r="K2951" s="12" t="inlineStr">
        <is>
          <t>LV|3/C+G|8</t>
        </is>
      </c>
      <c r="L2951" s="12" t="inlineStr">
        <is>
          <t>3/C+G</t>
        </is>
      </c>
      <c r="M2951" s="12" t="inlineStr">
        <is>
          <t>8</t>
        </is>
      </c>
      <c r="N2951" s="12" t="n">
        <v>1</v>
      </c>
      <c r="O2951" s="12" t="n">
        <v>1</v>
      </c>
      <c r="P2951" s="12" t="n">
        <v>480</v>
      </c>
      <c r="Q2951" s="12" t="n">
        <v>7</v>
      </c>
      <c r="R2951" s="12" t="n">
        <v>9.9</v>
      </c>
      <c r="S2951" s="12" t="inlineStr">
        <is>
          <t>Tray</t>
        </is>
      </c>
      <c r="T2951" s="17" t="n">
        <v>744</v>
      </c>
      <c r="U2951" s="17" t="n">
        <v>173</v>
      </c>
      <c r="V2951" s="17">
        <f>ROUNDUP((T2951+U2951+2*'Read Me'!$B$13)*(1+'Read Me'!$B$12),-1)</f>
        <v/>
      </c>
      <c r="W2951" s="17">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F-P-0007</t>
        </is>
      </c>
      <c r="B2952" s="12" t="inlineStr">
        <is>
          <t>F</t>
        </is>
      </c>
      <c r="C2952" s="12" t="inlineStr">
        <is>
          <t>Controls / service</t>
        </is>
      </c>
      <c r="D2952" s="12" t="inlineStr">
        <is>
          <t>Motor 2 of 2, 7 kW</t>
        </is>
      </c>
      <c r="E2952" s="12" t="inlineStr">
        <is>
          <t>MCC-C2</t>
        </is>
      </c>
      <c r="F2952" s="12" t="inlineStr">
        <is>
          <t>R1 MCC-C2</t>
        </is>
      </c>
      <c r="G2952" s="12" t="inlineStr">
        <is>
          <t>LS-1</t>
        </is>
      </c>
      <c r="H2952" s="12" t="inlineStr">
        <is>
          <t>LS-1: sanitary lift station (packaged duplex)</t>
        </is>
      </c>
      <c r="I2952" s="12" t="inlineStr">
        <is>
          <t>LV 600 V</t>
        </is>
      </c>
      <c r="J2952" s="12" t="inlineStr">
        <is>
          <t>Type TC-ER 600 V 3/C Cu XHHW-2 + ground, PVC jacket</t>
        </is>
      </c>
      <c r="K2952" s="12" t="inlineStr">
        <is>
          <t>LV|3/C+G|8</t>
        </is>
      </c>
      <c r="L2952" s="12" t="inlineStr">
        <is>
          <t>3/C+G</t>
        </is>
      </c>
      <c r="M2952" s="12" t="inlineStr">
        <is>
          <t>8</t>
        </is>
      </c>
      <c r="N2952" s="12" t="n">
        <v>1</v>
      </c>
      <c r="O2952" s="12" t="n">
        <v>1</v>
      </c>
      <c r="P2952" s="12" t="n">
        <v>480</v>
      </c>
      <c r="Q2952" s="12" t="n">
        <v>7</v>
      </c>
      <c r="R2952" s="12" t="n">
        <v>9.9</v>
      </c>
      <c r="S2952" s="12" t="inlineStr">
        <is>
          <t>Tray</t>
        </is>
      </c>
      <c r="T2952" s="17" t="n">
        <v>744</v>
      </c>
      <c r="U2952" s="17" t="n">
        <v>173</v>
      </c>
      <c r="V2952" s="17">
        <f>ROUNDUP((T2952+U2952+2*'Read Me'!$B$13)*(1+'Read Me'!$B$12),-1)</f>
        <v/>
      </c>
      <c r="W2952" s="17">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F-P-0008</t>
        </is>
      </c>
      <c r="B2953" s="12" t="inlineStr">
        <is>
          <t>F</t>
        </is>
      </c>
      <c r="C2953" s="12" t="inlineStr">
        <is>
          <t>Controls / service</t>
        </is>
      </c>
      <c r="D2953" s="12" t="inlineStr">
        <is>
          <t>LV panel / distribution feeder</t>
        </is>
      </c>
      <c r="E2953" s="12" t="inlineStr">
        <is>
          <t>MCC-C2</t>
        </is>
      </c>
      <c r="F2953" s="12" t="inlineStr">
        <is>
          <t>R1 MCC-C2</t>
        </is>
      </c>
      <c r="G2953" s="12" t="inlineStr"/>
      <c r="H2953" s="12" t="inlineStr">
        <is>
          <t>Maintenance building / workshop</t>
        </is>
      </c>
      <c r="I2953" s="12" t="inlineStr">
        <is>
          <t>LV 600 V</t>
        </is>
      </c>
      <c r="J2953" s="12" t="inlineStr">
        <is>
          <t>Type TC-ER 600 V 3/C Cu XHHW-2 + ground, PVC jacket</t>
        </is>
      </c>
      <c r="K2953" s="12" t="inlineStr">
        <is>
          <t>LV|3/C+G|2/0</t>
        </is>
      </c>
      <c r="L2953" s="12" t="inlineStr">
        <is>
          <t>3/C+G</t>
        </is>
      </c>
      <c r="M2953" s="12" t="inlineStr">
        <is>
          <t>2/0</t>
        </is>
      </c>
      <c r="N2953" s="12" t="n">
        <v>1</v>
      </c>
      <c r="O2953" s="12" t="n">
        <v>1</v>
      </c>
      <c r="P2953" s="12" t="n">
        <v>480</v>
      </c>
      <c r="Q2953" s="12" t="n">
        <v>60</v>
      </c>
      <c r="R2953" s="12" t="n">
        <v>84.90000000000001</v>
      </c>
      <c r="S2953" s="12" t="inlineStr">
        <is>
          <t>Tray</t>
        </is>
      </c>
      <c r="T2953" s="17" t="n">
        <v>734</v>
      </c>
      <c r="U2953" s="17" t="n">
        <v>145</v>
      </c>
      <c r="V2953" s="17">
        <f>ROUNDUP((T2953+U2953+2*'Read Me'!$B$13)*(1+'Read Me'!$B$12),-1)</f>
        <v/>
      </c>
      <c r="W2953" s="17">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F-P-0009</t>
        </is>
      </c>
      <c r="B2954" s="12" t="inlineStr">
        <is>
          <t>F</t>
        </is>
      </c>
      <c r="C2954" s="12" t="inlineStr">
        <is>
          <t>Controls / service</t>
        </is>
      </c>
      <c r="D2954" s="12" t="inlineStr">
        <is>
          <t>Site / road lighting: 120 poles, buried circuits pole to pole</t>
        </is>
      </c>
      <c r="E2954" s="12" t="inlineStr"/>
      <c r="F2954" s="12" t="inlineStr">
        <is>
          <t>Site lighting: pole handholes and photocells</t>
        </is>
      </c>
      <c r="G2954" s="12" t="inlineStr"/>
      <c r="H2954" s="12" t="inlineStr">
        <is>
          <t>Site lighting: pole handholes and photocells</t>
        </is>
      </c>
      <c r="I2954" s="12" t="inlineStr">
        <is>
          <t>LV 600 V</t>
        </is>
      </c>
      <c r="J2954" s="12" t="inlineStr">
        <is>
          <t>Type TC-ER 600 V 3/C Cu XHHW-2 + ground, PVC jacket</t>
        </is>
      </c>
      <c r="K2954" s="12" t="inlineStr">
        <is>
          <t>LV|3/C+G|8</t>
        </is>
      </c>
      <c r="L2954" s="12" t="inlineStr">
        <is>
          <t>3/C+G</t>
        </is>
      </c>
      <c r="M2954" s="12" t="inlineStr">
        <is>
          <t>8</t>
        </is>
      </c>
      <c r="N2954" s="12" t="n">
        <v>120</v>
      </c>
      <c r="O2954" s="12" t="n">
        <v>1</v>
      </c>
      <c r="P2954" s="12" t="n">
        <v>480</v>
      </c>
      <c r="Q2954" s="12" t="n"/>
      <c r="R2954" s="12" t="n"/>
      <c r="S2954" s="12" t="inlineStr">
        <is>
          <t>Buried</t>
        </is>
      </c>
      <c r="T2954" s="17" t="n">
        <v>120</v>
      </c>
      <c r="U2954" s="17" t="n">
        <v>30</v>
      </c>
      <c r="V2954" s="17">
        <f>ROUNDUP((T2954+U2954+2*'Read Me'!$B$13)*(1+'Read Me'!$B$12),-1)</f>
        <v/>
      </c>
      <c r="W2954" s="17">
        <f>V2954*N2954*O2954</f>
        <v/>
      </c>
      <c r="X2954" s="12">
        <f>IF(LEFT(I2954,2)="MV",2*N2954*IF(L2954="1/C",O2954,1),0)</f>
        <v/>
      </c>
      <c r="Y2954" s="12">
        <f>IF(OR(LEFT(K2954,4)="LVAX",LEFT(K2954,6)="MV15AX",LEFT(K2954,4)="CTAX",LEFT(K2954,2)="W|"),2*N2954*O2954,0)</f>
        <v/>
      </c>
      <c r="Z2954" s="12" t="inlineStr">
        <is>
          <t>~120 ft between poles + riser</t>
        </is>
      </c>
      <c r="AA2954" s="12">
        <f>N2954*O2954</f>
        <v/>
      </c>
    </row>
    <row r="2955">
      <c r="A2955" s="12" t="inlineStr">
        <is>
          <t>F-P-0010</t>
        </is>
      </c>
      <c r="B2955" s="12" t="inlineStr">
        <is>
          <t>F</t>
        </is>
      </c>
      <c r="C2955" s="12" t="inlineStr">
        <is>
          <t>Controls / service</t>
        </is>
      </c>
      <c r="D2955" s="12" t="inlineStr">
        <is>
          <t>Motor 1 of 2, 75 kW</t>
        </is>
      </c>
      <c r="E2955" s="12" t="inlineStr">
        <is>
          <t>MCC-C2</t>
        </is>
      </c>
      <c r="F2955" s="12" t="inlineStr">
        <is>
          <t>R1 MCC-C2</t>
        </is>
      </c>
      <c r="G2955" s="12" t="inlineStr"/>
      <c r="H2955" s="12" t="inlineStr">
        <is>
          <t>Stormwater pump station (2 x 100% submersible pumps)</t>
        </is>
      </c>
      <c r="I2955" s="12" t="inlineStr">
        <is>
          <t>LV 600 V</t>
        </is>
      </c>
      <c r="J2955" s="12" t="inlineStr">
        <is>
          <t>Type TC-ER 600 V 3/C Cu XHHW-2 + ground, PVC jacket</t>
        </is>
      </c>
      <c r="K2955" s="12" t="inlineStr">
        <is>
          <t>LV|3/C+G|500</t>
        </is>
      </c>
      <c r="L2955" s="12" t="inlineStr">
        <is>
          <t>3/C+G</t>
        </is>
      </c>
      <c r="M2955" s="12" t="inlineStr">
        <is>
          <t>500 kcmil</t>
        </is>
      </c>
      <c r="N2955" s="12" t="n">
        <v>1</v>
      </c>
      <c r="O2955" s="12" t="n">
        <v>1</v>
      </c>
      <c r="P2955" s="12" t="n">
        <v>480</v>
      </c>
      <c r="Q2955" s="12" t="n">
        <v>75</v>
      </c>
      <c r="R2955" s="12" t="n">
        <v>106.1</v>
      </c>
      <c r="S2955" s="12" t="inlineStr">
        <is>
          <t>Duct bank</t>
        </is>
      </c>
      <c r="T2955" s="17" t="n">
        <v>1832</v>
      </c>
      <c r="U2955" s="17" t="n">
        <v>145</v>
      </c>
      <c r="V2955" s="17">
        <f>ROUNDUP((T2955+U2955+2*'Read Me'!$B$13)*(1+'Read Me'!$B$12),-1)</f>
        <v/>
      </c>
      <c r="W2955" s="17">
        <f>V2955*N2955*O2955</f>
        <v/>
      </c>
      <c r="X2955" s="12">
        <f>IF(LEFT(I2955,2)="MV",2*N2955*IF(L2955="1/C",O2955,1),0)</f>
        <v/>
      </c>
      <c r="Y2955" s="12">
        <f>IF(OR(LEFT(K2955,4)="LVAX",LEFT(K2955,6)="MV15AX",LEFT(K2955,4)="CTAX",LEFT(K2955,2)="W|"),2*N2955*O2955,0)</f>
        <v/>
      </c>
      <c r="Z2955" s="12" t="inlineStr">
        <is>
          <t>VD 2.1 %</t>
        </is>
      </c>
      <c r="AA2955" s="12">
        <f>N2955*O2955</f>
        <v/>
      </c>
    </row>
    <row r="2956">
      <c r="A2956" s="12" t="inlineStr">
        <is>
          <t>F-P-0011</t>
        </is>
      </c>
      <c r="B2956" s="12" t="inlineStr">
        <is>
          <t>F</t>
        </is>
      </c>
      <c r="C2956" s="12" t="inlineStr">
        <is>
          <t>Controls / service</t>
        </is>
      </c>
      <c r="D2956" s="12" t="inlineStr">
        <is>
          <t>Motor 2 of 2, 75 kW</t>
        </is>
      </c>
      <c r="E2956" s="12" t="inlineStr">
        <is>
          <t>MCC-C2</t>
        </is>
      </c>
      <c r="F2956" s="12" t="inlineStr">
        <is>
          <t>R1 MCC-C2</t>
        </is>
      </c>
      <c r="G2956" s="12" t="inlineStr"/>
      <c r="H2956" s="12" t="inlineStr">
        <is>
          <t>Stormwater pump station (2 x 100% submersible pumps)</t>
        </is>
      </c>
      <c r="I2956" s="12" t="inlineStr">
        <is>
          <t>LV 600 V</t>
        </is>
      </c>
      <c r="J2956" s="12" t="inlineStr">
        <is>
          <t>Type TC-ER 600 V 3/C Cu XHHW-2 + ground, PVC jacket</t>
        </is>
      </c>
      <c r="K2956" s="12" t="inlineStr">
        <is>
          <t>LV|3/C+G|500</t>
        </is>
      </c>
      <c r="L2956" s="12" t="inlineStr">
        <is>
          <t>3/C+G</t>
        </is>
      </c>
      <c r="M2956" s="12" t="inlineStr">
        <is>
          <t>500 kcmil</t>
        </is>
      </c>
      <c r="N2956" s="12" t="n">
        <v>1</v>
      </c>
      <c r="O2956" s="12" t="n">
        <v>1</v>
      </c>
      <c r="P2956" s="12" t="n">
        <v>480</v>
      </c>
      <c r="Q2956" s="12" t="n">
        <v>75</v>
      </c>
      <c r="R2956" s="12" t="n">
        <v>106.1</v>
      </c>
      <c r="S2956" s="12" t="inlineStr">
        <is>
          <t>Duct bank</t>
        </is>
      </c>
      <c r="T2956" s="17" t="n">
        <v>1832</v>
      </c>
      <c r="U2956" s="17" t="n">
        <v>145</v>
      </c>
      <c r="V2956" s="17">
        <f>ROUNDUP((T2956+U2956+2*'Read Me'!$B$13)*(1+'Read Me'!$B$12),-1)</f>
        <v/>
      </c>
      <c r="W2956" s="17">
        <f>V2956*N2956*O2956</f>
        <v/>
      </c>
      <c r="X2956" s="12">
        <f>IF(LEFT(I2956,2)="MV",2*N2956*IF(L2956="1/C",O2956,1),0)</f>
        <v/>
      </c>
      <c r="Y2956" s="12">
        <f>IF(OR(LEFT(K2956,4)="LVAX",LEFT(K2956,6)="MV15AX",LEFT(K2956,4)="CTAX",LEFT(K2956,2)="W|"),2*N2956*O2956,0)</f>
        <v/>
      </c>
      <c r="Z2956" s="12" t="inlineStr">
        <is>
          <t>VD 2.1 %</t>
        </is>
      </c>
      <c r="AA2956" s="12">
        <f>N2956*O2956</f>
        <v/>
      </c>
    </row>
    <row r="2957">
      <c r="A2957" s="12" t="inlineStr">
        <is>
          <t>F-P-0012</t>
        </is>
      </c>
      <c r="B2957" s="12" t="inlineStr">
        <is>
          <t>F</t>
        </is>
      </c>
      <c r="C2957" s="12" t="inlineStr">
        <is>
          <t>Controls / service</t>
        </is>
      </c>
      <c r="D2957" s="12" t="inlineStr">
        <is>
          <t>LV panel / distribution feeder</t>
        </is>
      </c>
      <c r="E2957" s="12" t="inlineStr">
        <is>
          <t>MCC-C2</t>
        </is>
      </c>
      <c r="F2957" s="12" t="inlineStr">
        <is>
          <t>R1 MCC-C2</t>
        </is>
      </c>
      <c r="G2957" s="12" t="inlineStr"/>
      <c r="H2957" s="12" t="inlineStr">
        <is>
          <t>Warehouse</t>
        </is>
      </c>
      <c r="I2957" s="12" t="inlineStr">
        <is>
          <t>LV 600 V</t>
        </is>
      </c>
      <c r="J2957" s="12" t="inlineStr">
        <is>
          <t>Type TC-ER 600 V 3/C Cu XHHW-2 + ground, PVC jacket</t>
        </is>
      </c>
      <c r="K2957" s="12" t="inlineStr">
        <is>
          <t>LV|3/C+G|500</t>
        </is>
      </c>
      <c r="L2957" s="12" t="inlineStr">
        <is>
          <t>3/C+G</t>
        </is>
      </c>
      <c r="M2957" s="12" t="inlineStr">
        <is>
          <t>500 kcmil</t>
        </is>
      </c>
      <c r="N2957" s="12" t="n">
        <v>1</v>
      </c>
      <c r="O2957" s="12" t="n">
        <v>1</v>
      </c>
      <c r="P2957" s="12" t="n">
        <v>480</v>
      </c>
      <c r="Q2957" s="12" t="n">
        <v>204</v>
      </c>
      <c r="R2957" s="12" t="n">
        <v>288.7</v>
      </c>
      <c r="S2957" s="12" t="inlineStr">
        <is>
          <t>Tray</t>
        </is>
      </c>
      <c r="T2957" s="17" t="n">
        <v>734</v>
      </c>
      <c r="U2957" s="17" t="n">
        <v>204</v>
      </c>
      <c r="V2957" s="17">
        <f>ROUNDUP((T2957+U2957+2*'Read Me'!$B$13)*(1+'Read Me'!$B$12),-1)</f>
        <v/>
      </c>
      <c r="W2957" s="17">
        <f>V2957*N2957*O2957</f>
        <v/>
      </c>
      <c r="X2957" s="12">
        <f>IF(LEFT(I2957,2)="MV",2*N2957*IF(L2957="1/C",O2957,1),0)</f>
        <v/>
      </c>
      <c r="Y2957" s="12">
        <f>IF(OR(LEFT(K2957,4)="LVAX",LEFT(K2957,6)="MV15AX",LEFT(K2957,4)="CTAX",LEFT(K2957,2)="W|"),2*N2957*O2957,0)</f>
        <v/>
      </c>
      <c r="Z2957" s="12" t="inlineStr">
        <is>
          <t>VD 2.8 %</t>
        </is>
      </c>
      <c r="AA2957" s="12">
        <f>N2957*O2957</f>
        <v/>
      </c>
    </row>
    <row r="2958">
      <c r="A2958" s="12" t="inlineStr">
        <is>
          <t>G-L-0001</t>
        </is>
      </c>
      <c r="B2958" s="12" t="inlineStr">
        <is>
          <t>G</t>
        </is>
      </c>
      <c r="C2958" s="12" t="inlineStr">
        <is>
          <t>Carbon capture</t>
        </is>
      </c>
      <c r="D2958" s="12" t="inlineStr">
        <is>
          <t>Lighting, receptacles and small power branch circuits (allowance)</t>
        </is>
      </c>
      <c r="E2958" s="12" t="inlineStr"/>
      <c r="F2958" s="12" t="inlineStr">
        <is>
          <t>CCS F&amp;G / control</t>
        </is>
      </c>
      <c r="G2958" s="12" t="inlineStr"/>
      <c r="H2958" s="12" t="inlineStr">
        <is>
          <t>CCS F&amp;G / control</t>
        </is>
      </c>
      <c r="I2958" s="12" t="inlineStr">
        <is>
          <t>Building wire</t>
        </is>
      </c>
      <c r="J2958" s="12" t="inlineStr">
        <is>
          <t>SIMpull THHN/THWN-2 600 V 1/C Cu (lighting, receptacles, small power)</t>
        </is>
      </c>
      <c r="K2958" s="12" t="inlineStr">
        <is>
          <t>THHN|1/C|12</t>
        </is>
      </c>
      <c r="L2958" s="12" t="inlineStr">
        <is>
          <t>1/C</t>
        </is>
      </c>
      <c r="M2958" s="12" t="inlineStr">
        <is>
          <t>12</t>
        </is>
      </c>
      <c r="N2958" s="12" t="n">
        <v>1</v>
      </c>
      <c r="O2958" s="12" t="n">
        <v>1</v>
      </c>
      <c r="P2958" s="12" t="n">
        <v>277</v>
      </c>
      <c r="Q2958" s="12" t="n"/>
      <c r="R2958" s="12" t="n"/>
      <c r="S2958" s="12" t="inlineStr">
        <is>
          <t>Conduit</t>
        </is>
      </c>
      <c r="T2958" s="17" t="n">
        <v>5400</v>
      </c>
      <c r="U2958" s="17" t="n">
        <v>0</v>
      </c>
      <c r="V2958" s="17">
        <f>ROUNDUP((T2958+U2958+2*'Read Me'!$B$13)*(1+'Read Me'!$B$12),-1)</f>
        <v/>
      </c>
      <c r="W2958" s="17">
        <f>V2958*N2958*O2958</f>
        <v/>
      </c>
      <c r="X2958" s="12">
        <f>IF(LEFT(I2958,2)="MV",2*N2958*IF(L2958="1/C",O2958,1),0)</f>
        <v/>
      </c>
      <c r="Y2958" s="12">
        <f>IF(OR(LEFT(K2958,4)="LVAX",LEFT(K2958,6)="MV15AX",LEFT(K2958,4)="CTAX",LEFT(K2958,2)="W|"),2*N2958*O2958,0)</f>
        <v/>
      </c>
      <c r="Z2958" s="12" t="inlineStr">
        <is>
          <t>allowance: 1.6 ft of conductor per ft2 of floor</t>
        </is>
      </c>
      <c r="AA2958" s="12">
        <f>N2958*O2958</f>
        <v/>
      </c>
    </row>
    <row r="2959">
      <c r="A2959" s="12" t="inlineStr">
        <is>
          <t>G-L-0002</t>
        </is>
      </c>
      <c r="B2959" s="12" t="inlineStr">
        <is>
          <t>G</t>
        </is>
      </c>
      <c r="C2959" s="12" t="inlineStr">
        <is>
          <t>Carbon capture</t>
        </is>
      </c>
      <c r="D2959" s="12" t="inlineStr">
        <is>
          <t>Lighting, receptacles and small power branch circuits (allowance)</t>
        </is>
      </c>
      <c r="E2959" s="12" t="inlineStr"/>
      <c r="F2959" s="12" t="inlineStr">
        <is>
          <t>CCS MV switchgear building (VFDs)</t>
        </is>
      </c>
      <c r="G2959" s="12" t="inlineStr"/>
      <c r="H2959" s="12" t="inlineStr">
        <is>
          <t>CCS MV switchgear building (VFDs)</t>
        </is>
      </c>
      <c r="I2959" s="12" t="inlineStr">
        <is>
          <t>Building wire</t>
        </is>
      </c>
      <c r="J2959" s="12" t="inlineStr">
        <is>
          <t>SIMpull THHN/THWN-2 600 V 1/C Cu (lighting, receptacles, small power)</t>
        </is>
      </c>
      <c r="K2959" s="12" t="inlineStr">
        <is>
          <t>THHN|1/C|12</t>
        </is>
      </c>
      <c r="L2959" s="12" t="inlineStr">
        <is>
          <t>1/C</t>
        </is>
      </c>
      <c r="M2959" s="12" t="inlineStr">
        <is>
          <t>12</t>
        </is>
      </c>
      <c r="N2959" s="12" t="n">
        <v>1</v>
      </c>
      <c r="O2959" s="12" t="n">
        <v>1</v>
      </c>
      <c r="P2959" s="12" t="n">
        <v>277</v>
      </c>
      <c r="Q2959" s="12" t="n"/>
      <c r="R2959" s="12" t="n"/>
      <c r="S2959" s="12" t="inlineStr">
        <is>
          <t>Conduit</t>
        </is>
      </c>
      <c r="T2959" s="17" t="n">
        <v>14560</v>
      </c>
      <c r="U2959" s="17" t="n">
        <v>0</v>
      </c>
      <c r="V2959" s="17">
        <f>ROUNDUP((T2959+U2959+2*'Read Me'!$B$13)*(1+'Read Me'!$B$12),-1)</f>
        <v/>
      </c>
      <c r="W2959" s="17">
        <f>V2959*N2959*O2959</f>
        <v/>
      </c>
      <c r="X2959" s="12">
        <f>IF(LEFT(I2959,2)="MV",2*N2959*IF(L2959="1/C",O2959,1),0)</f>
        <v/>
      </c>
      <c r="Y2959" s="12">
        <f>IF(OR(LEFT(K2959,4)="LVAX",LEFT(K2959,6)="MV15AX",LEFT(K2959,4)="CTAX",LEFT(K2959,2)="W|"),2*N2959*O2959,0)</f>
        <v/>
      </c>
      <c r="Z2959" s="12" t="inlineStr">
        <is>
          <t>allowance: 1.6 ft of conductor per ft2 of floor</t>
        </is>
      </c>
      <c r="AA2959" s="12">
        <f>N2959*O2959</f>
        <v/>
      </c>
    </row>
    <row r="2960">
      <c r="A2960" s="12" t="inlineStr">
        <is>
          <t>G-L-0003</t>
        </is>
      </c>
      <c r="B2960" s="12" t="inlineStr">
        <is>
          <t>G</t>
        </is>
      </c>
      <c r="C2960" s="12" t="inlineStr">
        <is>
          <t>Carbon capture</t>
        </is>
      </c>
      <c r="D2960" s="12" t="inlineStr">
        <is>
          <t>Lighting, receptacles and small power branch circuits (allowance)</t>
        </is>
      </c>
      <c r="E2960" s="12" t="inlineStr"/>
      <c r="F2960" s="12" t="inlineStr">
        <is>
          <t>CT MCC / VFD e-house</t>
        </is>
      </c>
      <c r="G2960" s="12" t="inlineStr"/>
      <c r="H2960" s="12" t="inlineStr">
        <is>
          <t>CT MCC / VFD e-house</t>
        </is>
      </c>
      <c r="I2960" s="12" t="inlineStr">
        <is>
          <t>Building wire</t>
        </is>
      </c>
      <c r="J2960" s="12" t="inlineStr">
        <is>
          <t>SIMpull THHN/THWN-2 600 V 1/C Cu (lighting, receptacles, small power)</t>
        </is>
      </c>
      <c r="K2960" s="12" t="inlineStr">
        <is>
          <t>THHN|1/C|12</t>
        </is>
      </c>
      <c r="L2960" s="12" t="inlineStr">
        <is>
          <t>1/C</t>
        </is>
      </c>
      <c r="M2960" s="12" t="inlineStr">
        <is>
          <t>12</t>
        </is>
      </c>
      <c r="N2960" s="12" t="n">
        <v>1</v>
      </c>
      <c r="O2960" s="12" t="n">
        <v>1</v>
      </c>
      <c r="P2960" s="12" t="n">
        <v>277</v>
      </c>
      <c r="Q2960" s="12" t="n"/>
      <c r="R2960" s="12" t="n"/>
      <c r="S2960" s="12" t="inlineStr">
        <is>
          <t>Conduit</t>
        </is>
      </c>
      <c r="T2960" s="17" t="n">
        <v>7920</v>
      </c>
      <c r="U2960" s="17" t="n">
        <v>0</v>
      </c>
      <c r="V2960" s="17">
        <f>ROUNDUP((T2960+U2960+2*'Read Me'!$B$13)*(1+'Read Me'!$B$12),-1)</f>
        <v/>
      </c>
      <c r="W2960" s="17">
        <f>V2960*N2960*O2960</f>
        <v/>
      </c>
      <c r="X2960" s="12">
        <f>IF(LEFT(I2960,2)="MV",2*N2960*IF(L2960="1/C",O2960,1),0)</f>
        <v/>
      </c>
      <c r="Y2960" s="12">
        <f>IF(OR(LEFT(K2960,4)="LVAX",LEFT(K2960,6)="MV15AX",LEFT(K2960,4)="CTAX",LEFT(K2960,2)="W|"),2*N2960*O2960,0)</f>
        <v/>
      </c>
      <c r="Z2960" s="12" t="inlineStr">
        <is>
          <t>allowance: 1.6 ft of conductor per ft2 of floor</t>
        </is>
      </c>
      <c r="AA2960" s="12">
        <f>N2960*O2960</f>
        <v/>
      </c>
    </row>
    <row r="2961">
      <c r="A2961" s="12" t="inlineStr">
        <is>
          <t>G-C-0001</t>
        </is>
      </c>
      <c r="B2961" s="12" t="inlineStr">
        <is>
          <t>G</t>
        </is>
      </c>
      <c r="C2961" s="12" t="inlineStr">
        <is>
          <t>Carbon capture</t>
        </is>
      </c>
      <c r="D2961" s="12" t="inlineStr">
        <is>
          <t>MOV 1: control</t>
        </is>
      </c>
      <c r="E2961" s="12" t="inlineStr"/>
      <c r="F2961" s="12" t="inlineStr">
        <is>
          <t>CCS MV switchgear building (VFDs)</t>
        </is>
      </c>
      <c r="G2961" s="12" t="inlineStr">
        <is>
          <t>ABS-A</t>
        </is>
      </c>
      <c r="H2961" s="12" t="inlineStr">
        <is>
          <t>Absorber A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7" t="n">
        <v>570</v>
      </c>
      <c r="U2961" s="17" t="n">
        <v>80</v>
      </c>
      <c r="V2961" s="17">
        <f>ROUNDUP((T2961+U2961+2*'Read Me'!$B$13)*(1+'Read Me'!$B$12),-1)</f>
        <v/>
      </c>
      <c r="W2961" s="17">
        <f>V2961*N2961*O2961</f>
        <v/>
      </c>
      <c r="X2961" s="12">
        <f>IF(LEFT(I2961,2)="MV",2*N2961*IF(L2961="1/C",O2961,1),0)</f>
        <v/>
      </c>
      <c r="Y2961" s="12">
        <f>IF(OR(LEFT(K2961,4)="LVAX",LEFT(K2961,6)="MV15AX",LEFT(K2961,4)="CTAX",LEFT(K2961,2)="W|"),2*N2961*O2961,0)</f>
        <v/>
      </c>
      <c r="Z2961" s="12" t="inlineStr"/>
      <c r="AA2961" s="12">
        <f>N2961*O2961</f>
        <v/>
      </c>
    </row>
    <row r="2962">
      <c r="A2962" s="12" t="inlineStr">
        <is>
          <t>G-C-0002</t>
        </is>
      </c>
      <c r="B2962" s="12" t="inlineStr">
        <is>
          <t>G</t>
        </is>
      </c>
      <c r="C2962" s="12" t="inlineStr">
        <is>
          <t>Carbon capture</t>
        </is>
      </c>
      <c r="D2962" s="12" t="inlineStr">
        <is>
          <t>MOV 2: control</t>
        </is>
      </c>
      <c r="E2962" s="12" t="inlineStr"/>
      <c r="F2962" s="12" t="inlineStr">
        <is>
          <t>CCS MV switchgear building (VFDs)</t>
        </is>
      </c>
      <c r="G2962" s="12" t="inlineStr">
        <is>
          <t>ABS-A</t>
        </is>
      </c>
      <c r="H2962" s="12" t="inlineStr">
        <is>
          <t>Absorber A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7" t="n">
        <v>570</v>
      </c>
      <c r="U2962" s="17" t="n">
        <v>80</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G-C-0003</t>
        </is>
      </c>
      <c r="B2963" s="12" t="inlineStr">
        <is>
          <t>G</t>
        </is>
      </c>
      <c r="C2963" s="12" t="inlineStr">
        <is>
          <t>Carbon capture</t>
        </is>
      </c>
      <c r="D2963" s="12" t="inlineStr">
        <is>
          <t>MOV 3: control</t>
        </is>
      </c>
      <c r="E2963" s="12" t="inlineStr"/>
      <c r="F2963" s="12" t="inlineStr">
        <is>
          <t>CCS MV switchgear building (VFDs)</t>
        </is>
      </c>
      <c r="G2963" s="12" t="inlineStr">
        <is>
          <t>ABS-A</t>
        </is>
      </c>
      <c r="H2963" s="12" t="inlineStr">
        <is>
          <t>Absorber A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7" t="n">
        <v>570</v>
      </c>
      <c r="U2963" s="17" t="n">
        <v>80</v>
      </c>
      <c r="V2963" s="17">
        <f>ROUNDUP((T2963+U2963+2*'Read Me'!$B$13)*(1+'Read Me'!$B$12),-1)</f>
        <v/>
      </c>
      <c r="W2963" s="17">
        <f>V2963*N2963*O2963</f>
        <v/>
      </c>
      <c r="X2963" s="12">
        <f>IF(LEFT(I2963,2)="MV",2*N2963*IF(L2963="1/C",O2963,1),0)</f>
        <v/>
      </c>
      <c r="Y2963" s="12">
        <f>IF(OR(LEFT(K2963,4)="LVAX",LEFT(K2963,6)="MV15AX",LEFT(K2963,4)="CTAX",LEFT(K2963,2)="W|"),2*N2963*O2963,0)</f>
        <v/>
      </c>
      <c r="Z2963" s="12" t="inlineStr"/>
      <c r="AA2963" s="12">
        <f>N2963*O2963</f>
        <v/>
      </c>
    </row>
    <row r="2964">
      <c r="A2964" s="12" t="inlineStr">
        <is>
          <t>G-C-0004</t>
        </is>
      </c>
      <c r="B2964" s="12" t="inlineStr">
        <is>
          <t>G</t>
        </is>
      </c>
      <c r="C2964" s="12" t="inlineStr">
        <is>
          <t>Carbon capture</t>
        </is>
      </c>
      <c r="D2964" s="12" t="inlineStr">
        <is>
          <t>MOV 4: control</t>
        </is>
      </c>
      <c r="E2964" s="12" t="inlineStr"/>
      <c r="F2964" s="12" t="inlineStr">
        <is>
          <t>CCS MV switchgear building (VFDs)</t>
        </is>
      </c>
      <c r="G2964" s="12" t="inlineStr">
        <is>
          <t>ABS-A</t>
        </is>
      </c>
      <c r="H2964" s="12" t="inlineStr">
        <is>
          <t>Absorber A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7" t="n">
        <v>570</v>
      </c>
      <c r="U2964" s="17" t="n">
        <v>80</v>
      </c>
      <c r="V2964" s="17">
        <f>ROUNDUP((T2964+U2964+2*'Read Me'!$B$13)*(1+'Read Me'!$B$12),-1)</f>
        <v/>
      </c>
      <c r="W2964" s="17">
        <f>V2964*N2964*O2964</f>
        <v/>
      </c>
      <c r="X2964" s="12">
        <f>IF(LEFT(I2964,2)="MV",2*N2964*IF(L2964="1/C",O2964,1),0)</f>
        <v/>
      </c>
      <c r="Y2964" s="12">
        <f>IF(OR(LEFT(K2964,4)="LVAX",LEFT(K2964,6)="MV15AX",LEFT(K2964,4)="CTAX",LEFT(K2964,2)="W|"),2*N2964*O2964,0)</f>
        <v/>
      </c>
      <c r="Z2964" s="12" t="inlineStr"/>
      <c r="AA2964" s="12">
        <f>N2964*O2964</f>
        <v/>
      </c>
    </row>
    <row r="2965">
      <c r="A2965" s="12" t="inlineStr">
        <is>
          <t>G-C-0005</t>
        </is>
      </c>
      <c r="B2965" s="12" t="inlineStr">
        <is>
          <t>G</t>
        </is>
      </c>
      <c r="C2965" s="12" t="inlineStr">
        <is>
          <t>Carbon capture</t>
        </is>
      </c>
      <c r="D2965" s="12" t="inlineStr">
        <is>
          <t>MOV 5: control</t>
        </is>
      </c>
      <c r="E2965" s="12" t="inlineStr"/>
      <c r="F2965" s="12" t="inlineStr">
        <is>
          <t>CCS MV switchgear building (VFDs)</t>
        </is>
      </c>
      <c r="G2965" s="12" t="inlineStr">
        <is>
          <t>ABS-A</t>
        </is>
      </c>
      <c r="H2965" s="12" t="inlineStr">
        <is>
          <t>Absorber A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7" t="n">
        <v>570</v>
      </c>
      <c r="U2965" s="17" t="n">
        <v>80</v>
      </c>
      <c r="V2965" s="17">
        <f>ROUNDUP((T2965+U2965+2*'Read Me'!$B$13)*(1+'Read Me'!$B$12),-1)</f>
        <v/>
      </c>
      <c r="W2965" s="17">
        <f>V2965*N2965*O2965</f>
        <v/>
      </c>
      <c r="X2965" s="12">
        <f>IF(LEFT(I2965,2)="MV",2*N2965*IF(L2965="1/C",O2965,1),0)</f>
        <v/>
      </c>
      <c r="Y2965" s="12">
        <f>IF(OR(LEFT(K2965,4)="LVAX",LEFT(K2965,6)="MV15AX",LEFT(K2965,4)="CTAX",LEFT(K2965,2)="W|"),2*N2965*O2965,0)</f>
        <v/>
      </c>
      <c r="Z2965" s="12" t="inlineStr"/>
      <c r="AA2965" s="12">
        <f>N2965*O2965</f>
        <v/>
      </c>
    </row>
    <row r="2966">
      <c r="A2966" s="12" t="inlineStr">
        <is>
          <t>G-C-0006</t>
        </is>
      </c>
      <c r="B2966" s="12" t="inlineStr">
        <is>
          <t>G</t>
        </is>
      </c>
      <c r="C2966" s="12" t="inlineStr">
        <is>
          <t>Carbon capture</t>
        </is>
      </c>
      <c r="D2966" s="12" t="inlineStr">
        <is>
          <t>MOV 6: control</t>
        </is>
      </c>
      <c r="E2966" s="12" t="inlineStr"/>
      <c r="F2966" s="12" t="inlineStr">
        <is>
          <t>CCS MV switchgear building (VFDs)</t>
        </is>
      </c>
      <c r="G2966" s="12" t="inlineStr">
        <is>
          <t>ABS-A</t>
        </is>
      </c>
      <c r="H2966" s="12" t="inlineStr">
        <is>
          <t>Absorber A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7" t="n">
        <v>570</v>
      </c>
      <c r="U2966" s="17" t="n">
        <v>80</v>
      </c>
      <c r="V2966" s="17">
        <f>ROUNDUP((T2966+U2966+2*'Read Me'!$B$13)*(1+'Read Me'!$B$12),-1)</f>
        <v/>
      </c>
      <c r="W2966" s="17">
        <f>V2966*N2966*O2966</f>
        <v/>
      </c>
      <c r="X2966" s="12">
        <f>IF(LEFT(I2966,2)="MV",2*N2966*IF(L2966="1/C",O2966,1),0)</f>
        <v/>
      </c>
      <c r="Y2966" s="12">
        <f>IF(OR(LEFT(K2966,4)="LVAX",LEFT(K2966,6)="MV15AX",LEFT(K2966,4)="CTAX",LEFT(K2966,2)="W|"),2*N2966*O2966,0)</f>
        <v/>
      </c>
      <c r="Z2966" s="12" t="inlineStr"/>
      <c r="AA2966" s="12">
        <f>N2966*O2966</f>
        <v/>
      </c>
    </row>
    <row r="2967">
      <c r="A2967" s="12" t="inlineStr">
        <is>
          <t>G-C-0007</t>
        </is>
      </c>
      <c r="B2967" s="12" t="inlineStr">
        <is>
          <t>G</t>
        </is>
      </c>
      <c r="C2967" s="12" t="inlineStr">
        <is>
          <t>Carbon capture</t>
        </is>
      </c>
      <c r="D2967" s="12" t="inlineStr">
        <is>
          <t>MOV 7: control</t>
        </is>
      </c>
      <c r="E2967" s="12" t="inlineStr"/>
      <c r="F2967" s="12" t="inlineStr">
        <is>
          <t>CCS MV switchgear building (VFDs)</t>
        </is>
      </c>
      <c r="G2967" s="12" t="inlineStr">
        <is>
          <t>ABS-A</t>
        </is>
      </c>
      <c r="H2967" s="12" t="inlineStr">
        <is>
          <t>Absorber A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7" t="n">
        <v>570</v>
      </c>
      <c r="U2967" s="17" t="n">
        <v>80</v>
      </c>
      <c r="V2967" s="17">
        <f>ROUNDUP((T2967+U2967+2*'Read Me'!$B$13)*(1+'Read Me'!$B$12),-1)</f>
        <v/>
      </c>
      <c r="W2967" s="17">
        <f>V2967*N2967*O2967</f>
        <v/>
      </c>
      <c r="X2967" s="12">
        <f>IF(LEFT(I2967,2)="MV",2*N2967*IF(L2967="1/C",O2967,1),0)</f>
        <v/>
      </c>
      <c r="Y2967" s="12">
        <f>IF(OR(LEFT(K2967,4)="LVAX",LEFT(K2967,6)="MV15AX",LEFT(K2967,4)="CTAX",LEFT(K2967,2)="W|"),2*N2967*O2967,0)</f>
        <v/>
      </c>
      <c r="Z2967" s="12" t="inlineStr"/>
      <c r="AA2967" s="12">
        <f>N2967*O2967</f>
        <v/>
      </c>
    </row>
    <row r="2968">
      <c r="A2968" s="12" t="inlineStr">
        <is>
          <t>G-C-0008</t>
        </is>
      </c>
      <c r="B2968" s="12" t="inlineStr">
        <is>
          <t>G</t>
        </is>
      </c>
      <c r="C2968" s="12" t="inlineStr">
        <is>
          <t>Carbon capture</t>
        </is>
      </c>
      <c r="D2968" s="12" t="inlineStr">
        <is>
          <t>MOV 8: control</t>
        </is>
      </c>
      <c r="E2968" s="12" t="inlineStr"/>
      <c r="F2968" s="12" t="inlineStr">
        <is>
          <t>CCS MV switchgear building (VFDs)</t>
        </is>
      </c>
      <c r="G2968" s="12" t="inlineStr">
        <is>
          <t>ABS-A</t>
        </is>
      </c>
      <c r="H2968" s="12" t="inlineStr">
        <is>
          <t>Absorber A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7" t="n">
        <v>570</v>
      </c>
      <c r="U2968" s="17" t="n">
        <v>80</v>
      </c>
      <c r="V2968" s="17">
        <f>ROUNDUP((T2968+U2968+2*'Read Me'!$B$13)*(1+'Read Me'!$B$12),-1)</f>
        <v/>
      </c>
      <c r="W2968" s="17">
        <f>V2968*N2968*O2968</f>
        <v/>
      </c>
      <c r="X2968" s="12">
        <f>IF(LEFT(I2968,2)="MV",2*N2968*IF(L2968="1/C",O2968,1),0)</f>
        <v/>
      </c>
      <c r="Y2968" s="12">
        <f>IF(OR(LEFT(K2968,4)="LVAX",LEFT(K2968,6)="MV15AX",LEFT(K2968,4)="CTAX",LEFT(K2968,2)="W|"),2*N2968*O2968,0)</f>
        <v/>
      </c>
      <c r="Z2968" s="12" t="inlineStr"/>
      <c r="AA2968" s="12">
        <f>N2968*O2968</f>
        <v/>
      </c>
    </row>
    <row r="2969">
      <c r="A2969" s="12" t="inlineStr">
        <is>
          <t>G-C-0009</t>
        </is>
      </c>
      <c r="B2969" s="12" t="inlineStr">
        <is>
          <t>G</t>
        </is>
      </c>
      <c r="C2969" s="12" t="inlineStr">
        <is>
          <t>Carbon capture</t>
        </is>
      </c>
      <c r="D2969" s="12" t="inlineStr">
        <is>
          <t>MOV 9: control</t>
        </is>
      </c>
      <c r="E2969" s="12" t="inlineStr"/>
      <c r="F2969" s="12" t="inlineStr">
        <is>
          <t>CCS MV switchgear building (VFDs)</t>
        </is>
      </c>
      <c r="G2969" s="12" t="inlineStr">
        <is>
          <t>ABS-A</t>
        </is>
      </c>
      <c r="H2969" s="12" t="inlineStr">
        <is>
          <t>Absorber A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7" t="n">
        <v>570</v>
      </c>
      <c r="U2969" s="17" t="n">
        <v>80</v>
      </c>
      <c r="V2969" s="17">
        <f>ROUNDUP((T2969+U2969+2*'Read Me'!$B$13)*(1+'Read Me'!$B$12),-1)</f>
        <v/>
      </c>
      <c r="W2969" s="17">
        <f>V2969*N2969*O2969</f>
        <v/>
      </c>
      <c r="X2969" s="12">
        <f>IF(LEFT(I2969,2)="MV",2*N2969*IF(L2969="1/C",O2969,1),0)</f>
        <v/>
      </c>
      <c r="Y2969" s="12">
        <f>IF(OR(LEFT(K2969,4)="LVAX",LEFT(K2969,6)="MV15AX",LEFT(K2969,4)="CTAX",LEFT(K2969,2)="W|"),2*N2969*O2969,0)</f>
        <v/>
      </c>
      <c r="Z2969" s="12" t="inlineStr"/>
      <c r="AA2969" s="12">
        <f>N2969*O2969</f>
        <v/>
      </c>
    </row>
    <row r="2970">
      <c r="A2970" s="12" t="inlineStr">
        <is>
          <t>G-C-0010</t>
        </is>
      </c>
      <c r="B2970" s="12" t="inlineStr">
        <is>
          <t>G</t>
        </is>
      </c>
      <c r="C2970" s="12" t="inlineStr">
        <is>
          <t>Carbon capture</t>
        </is>
      </c>
      <c r="D2970" s="12" t="inlineStr">
        <is>
          <t>MOV 10: control</t>
        </is>
      </c>
      <c r="E2970" s="12" t="inlineStr"/>
      <c r="F2970" s="12" t="inlineStr">
        <is>
          <t>CCS MV switchgear building (VFDs)</t>
        </is>
      </c>
      <c r="G2970" s="12" t="inlineStr">
        <is>
          <t>ABS-A</t>
        </is>
      </c>
      <c r="H2970" s="12" t="inlineStr">
        <is>
          <t>Absorber A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7" t="n">
        <v>570</v>
      </c>
      <c r="U2970" s="17" t="n">
        <v>80</v>
      </c>
      <c r="V2970" s="17">
        <f>ROUNDUP((T2970+U2970+2*'Read Me'!$B$13)*(1+'Read Me'!$B$12),-1)</f>
        <v/>
      </c>
      <c r="W2970" s="17">
        <f>V2970*N2970*O2970</f>
        <v/>
      </c>
      <c r="X2970" s="12">
        <f>IF(LEFT(I2970,2)="MV",2*N2970*IF(L2970="1/C",O2970,1),0)</f>
        <v/>
      </c>
      <c r="Y2970" s="12">
        <f>IF(OR(LEFT(K2970,4)="LVAX",LEFT(K2970,6)="MV15AX",LEFT(K2970,4)="CTAX",LEFT(K2970,2)="W|"),2*N2970*O2970,0)</f>
        <v/>
      </c>
      <c r="Z2970" s="12" t="inlineStr"/>
      <c r="AA2970" s="12">
        <f>N2970*O2970</f>
        <v/>
      </c>
    </row>
    <row r="2971">
      <c r="A2971" s="12" t="inlineStr">
        <is>
          <t>G-C-0011</t>
        </is>
      </c>
      <c r="B2971" s="12" t="inlineStr">
        <is>
          <t>G</t>
        </is>
      </c>
      <c r="C2971" s="12" t="inlineStr">
        <is>
          <t>Carbon capture</t>
        </is>
      </c>
      <c r="D2971" s="12" t="inlineStr">
        <is>
          <t>Motor 1 of 2: control / local station</t>
        </is>
      </c>
      <c r="E2971" s="12" t="inlineStr"/>
      <c r="F2971" s="12" t="inlineStr">
        <is>
          <t>CCS MV switchgear building (VFDs)</t>
        </is>
      </c>
      <c r="G2971" s="12" t="inlineStr"/>
      <c r="H2971" s="12" t="inlineStr">
        <is>
          <t>Absorber A intercooler (pumps + plate exchanger)</t>
        </is>
      </c>
      <c r="I2971" s="12" t="inlineStr">
        <is>
          <t>Control</t>
        </is>
      </c>
      <c r="J2971" s="12" t="inlineStr">
        <is>
          <t>Control cable 600 V Type TC-ER, Cu #14 AWG, PVC jacket</t>
        </is>
      </c>
      <c r="K2971" s="12" t="inlineStr">
        <is>
          <t>CT|7/C|14</t>
        </is>
      </c>
      <c r="L2971" s="12" t="inlineStr">
        <is>
          <t>7/C</t>
        </is>
      </c>
      <c r="M2971" s="12" t="inlineStr">
        <is>
          <t>14</t>
        </is>
      </c>
      <c r="N2971" s="12" t="n">
        <v>1</v>
      </c>
      <c r="O2971" s="12" t="n">
        <v>1</v>
      </c>
      <c r="P2971" s="12" t="n"/>
      <c r="Q2971" s="12" t="n"/>
      <c r="R2971" s="12" t="n"/>
      <c r="S2971" s="12" t="inlineStr">
        <is>
          <t>Tray</t>
        </is>
      </c>
      <c r="T2971" s="17" t="n">
        <v>552</v>
      </c>
      <c r="U2971" s="17" t="n">
        <v>81</v>
      </c>
      <c r="V2971" s="17">
        <f>ROUNDUP((T2971+U2971+2*'Read Me'!$B$13)*(1+'Read Me'!$B$12),-1)</f>
        <v/>
      </c>
      <c r="W2971" s="17">
        <f>V2971*N2971*O2971</f>
        <v/>
      </c>
      <c r="X2971" s="12">
        <f>IF(LEFT(I2971,2)="MV",2*N2971*IF(L2971="1/C",O2971,1),0)</f>
        <v/>
      </c>
      <c r="Y2971" s="12">
        <f>IF(OR(LEFT(K2971,4)="LVAX",LEFT(K2971,6)="MV15AX",LEFT(K2971,4)="CTAX",LEFT(K2971,2)="W|"),2*N2971*O2971,0)</f>
        <v/>
      </c>
      <c r="Z2971" s="12" t="inlineStr"/>
      <c r="AA2971" s="12">
        <f>N2971*O2971</f>
        <v/>
      </c>
    </row>
    <row r="2972">
      <c r="A2972" s="12" t="inlineStr">
        <is>
          <t>G-C-0012</t>
        </is>
      </c>
      <c r="B2972" s="12" t="inlineStr">
        <is>
          <t>G</t>
        </is>
      </c>
      <c r="C2972" s="12" t="inlineStr">
        <is>
          <t>Carbon capture</t>
        </is>
      </c>
      <c r="D2972" s="12" t="inlineStr">
        <is>
          <t>Motor 2 of 2: control / local station</t>
        </is>
      </c>
      <c r="E2972" s="12" t="inlineStr"/>
      <c r="F2972" s="12" t="inlineStr">
        <is>
          <t>CCS MV switchgear building (VFDs)</t>
        </is>
      </c>
      <c r="G2972" s="12" t="inlineStr"/>
      <c r="H2972" s="12" t="inlineStr">
        <is>
          <t>Absorber A intercooler (pumps + plate exchanger)</t>
        </is>
      </c>
      <c r="I2972" s="12" t="inlineStr">
        <is>
          <t>Control</t>
        </is>
      </c>
      <c r="J2972" s="12" t="inlineStr">
        <is>
          <t>Control cable 600 V Type TC-ER, Cu #14 AWG, PVC jacket</t>
        </is>
      </c>
      <c r="K2972" s="12" t="inlineStr">
        <is>
          <t>CT|7/C|14</t>
        </is>
      </c>
      <c r="L2972" s="12" t="inlineStr">
        <is>
          <t>7/C</t>
        </is>
      </c>
      <c r="M2972" s="12" t="inlineStr">
        <is>
          <t>14</t>
        </is>
      </c>
      <c r="N2972" s="12" t="n">
        <v>1</v>
      </c>
      <c r="O2972" s="12" t="n">
        <v>1</v>
      </c>
      <c r="P2972" s="12" t="n"/>
      <c r="Q2972" s="12" t="n"/>
      <c r="R2972" s="12" t="n"/>
      <c r="S2972" s="12" t="inlineStr">
        <is>
          <t>Tray</t>
        </is>
      </c>
      <c r="T2972" s="17" t="n">
        <v>552</v>
      </c>
      <c r="U2972" s="17" t="n">
        <v>81</v>
      </c>
      <c r="V2972" s="17">
        <f>ROUNDUP((T2972+U2972+2*'Read Me'!$B$13)*(1+'Read Me'!$B$12),-1)</f>
        <v/>
      </c>
      <c r="W2972" s="17">
        <f>V2972*N2972*O2972</f>
        <v/>
      </c>
      <c r="X2972" s="12">
        <f>IF(LEFT(I2972,2)="MV",2*N2972*IF(L2972="1/C",O2972,1),0)</f>
        <v/>
      </c>
      <c r="Y2972" s="12">
        <f>IF(OR(LEFT(K2972,4)="LVAX",LEFT(K2972,6)="MV15AX",LEFT(K2972,4)="CTAX",LEFT(K2972,2)="W|"),2*N2972*O2972,0)</f>
        <v/>
      </c>
      <c r="Z2972" s="12" t="inlineStr"/>
      <c r="AA2972" s="12">
        <f>N2972*O2972</f>
        <v/>
      </c>
    </row>
    <row r="2973">
      <c r="A2973" s="12" t="inlineStr">
        <is>
          <t>G-C-0013</t>
        </is>
      </c>
      <c r="B2973" s="12" t="inlineStr">
        <is>
          <t>G</t>
        </is>
      </c>
      <c r="C2973" s="12" t="inlineStr">
        <is>
          <t>Carbon capture</t>
        </is>
      </c>
      <c r="D2973" s="12" t="inlineStr">
        <is>
          <t>MOV 1: control</t>
        </is>
      </c>
      <c r="E2973" s="12" t="inlineStr"/>
      <c r="F2973" s="12" t="inlineStr">
        <is>
          <t>CCS MV switchgear building (VFDs)</t>
        </is>
      </c>
      <c r="G2973" s="12" t="inlineStr">
        <is>
          <t>ABS-B</t>
        </is>
      </c>
      <c r="H2973" s="12" t="inlineStr">
        <is>
          <t>Absorber B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7" t="n">
        <v>410</v>
      </c>
      <c r="U2973" s="17" t="n">
        <v>80</v>
      </c>
      <c r="V2973" s="17">
        <f>ROUNDUP((T2973+U2973+2*'Read Me'!$B$13)*(1+'Read Me'!$B$12),-1)</f>
        <v/>
      </c>
      <c r="W2973" s="17">
        <f>V2973*N2973*O2973</f>
        <v/>
      </c>
      <c r="X2973" s="12">
        <f>IF(LEFT(I2973,2)="MV",2*N2973*IF(L2973="1/C",O2973,1),0)</f>
        <v/>
      </c>
      <c r="Y2973" s="12">
        <f>IF(OR(LEFT(K2973,4)="LVAX",LEFT(K2973,6)="MV15AX",LEFT(K2973,4)="CTAX",LEFT(K2973,2)="W|"),2*N2973*O2973,0)</f>
        <v/>
      </c>
      <c r="Z2973" s="12" t="inlineStr"/>
      <c r="AA2973" s="12">
        <f>N2973*O2973</f>
        <v/>
      </c>
    </row>
    <row r="2974">
      <c r="A2974" s="12" t="inlineStr">
        <is>
          <t>G-C-0014</t>
        </is>
      </c>
      <c r="B2974" s="12" t="inlineStr">
        <is>
          <t>G</t>
        </is>
      </c>
      <c r="C2974" s="12" t="inlineStr">
        <is>
          <t>Carbon capture</t>
        </is>
      </c>
      <c r="D2974" s="12" t="inlineStr">
        <is>
          <t>MOV 2: control</t>
        </is>
      </c>
      <c r="E2974" s="12" t="inlineStr"/>
      <c r="F2974" s="12" t="inlineStr">
        <is>
          <t>CCS MV switchgear building (VFDs)</t>
        </is>
      </c>
      <c r="G2974" s="12" t="inlineStr">
        <is>
          <t>ABS-B</t>
        </is>
      </c>
      <c r="H2974" s="12" t="inlineStr">
        <is>
          <t>Absorber B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7" t="n">
        <v>410</v>
      </c>
      <c r="U2974" s="17" t="n">
        <v>80</v>
      </c>
      <c r="V2974" s="17">
        <f>ROUNDUP((T2974+U2974+2*'Read Me'!$B$13)*(1+'Read Me'!$B$12),-1)</f>
        <v/>
      </c>
      <c r="W2974" s="17">
        <f>V2974*N2974*O2974</f>
        <v/>
      </c>
      <c r="X2974" s="12">
        <f>IF(LEFT(I2974,2)="MV",2*N2974*IF(L2974="1/C",O2974,1),0)</f>
        <v/>
      </c>
      <c r="Y2974" s="12">
        <f>IF(OR(LEFT(K2974,4)="LVAX",LEFT(K2974,6)="MV15AX",LEFT(K2974,4)="CTAX",LEFT(K2974,2)="W|"),2*N2974*O2974,0)</f>
        <v/>
      </c>
      <c r="Z2974" s="12" t="inlineStr"/>
      <c r="AA2974" s="12">
        <f>N2974*O2974</f>
        <v/>
      </c>
    </row>
    <row r="2975">
      <c r="A2975" s="12" t="inlineStr">
        <is>
          <t>G-C-0015</t>
        </is>
      </c>
      <c r="B2975" s="12" t="inlineStr">
        <is>
          <t>G</t>
        </is>
      </c>
      <c r="C2975" s="12" t="inlineStr">
        <is>
          <t>Carbon capture</t>
        </is>
      </c>
      <c r="D2975" s="12" t="inlineStr">
        <is>
          <t>MOV 3: control</t>
        </is>
      </c>
      <c r="E2975" s="12" t="inlineStr"/>
      <c r="F2975" s="12" t="inlineStr">
        <is>
          <t>CCS MV switchgear building (VFDs)</t>
        </is>
      </c>
      <c r="G2975" s="12" t="inlineStr">
        <is>
          <t>ABS-B</t>
        </is>
      </c>
      <c r="H2975" s="12" t="inlineStr">
        <is>
          <t>Absorber B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7" t="n">
        <v>410</v>
      </c>
      <c r="U2975" s="17" t="n">
        <v>80</v>
      </c>
      <c r="V2975" s="17">
        <f>ROUNDUP((T2975+U2975+2*'Read Me'!$B$13)*(1+'Read Me'!$B$12),-1)</f>
        <v/>
      </c>
      <c r="W2975" s="17">
        <f>V2975*N2975*O2975</f>
        <v/>
      </c>
      <c r="X2975" s="12">
        <f>IF(LEFT(I2975,2)="MV",2*N2975*IF(L2975="1/C",O2975,1),0)</f>
        <v/>
      </c>
      <c r="Y2975" s="12">
        <f>IF(OR(LEFT(K2975,4)="LVAX",LEFT(K2975,6)="MV15AX",LEFT(K2975,4)="CTAX",LEFT(K2975,2)="W|"),2*N2975*O2975,0)</f>
        <v/>
      </c>
      <c r="Z2975" s="12" t="inlineStr"/>
      <c r="AA2975" s="12">
        <f>N2975*O2975</f>
        <v/>
      </c>
    </row>
    <row r="2976">
      <c r="A2976" s="12" t="inlineStr">
        <is>
          <t>G-C-0016</t>
        </is>
      </c>
      <c r="B2976" s="12" t="inlineStr">
        <is>
          <t>G</t>
        </is>
      </c>
      <c r="C2976" s="12" t="inlineStr">
        <is>
          <t>Carbon capture</t>
        </is>
      </c>
      <c r="D2976" s="12" t="inlineStr">
        <is>
          <t>MOV 4: control</t>
        </is>
      </c>
      <c r="E2976" s="12" t="inlineStr"/>
      <c r="F2976" s="12" t="inlineStr">
        <is>
          <t>CCS MV switchgear building (VFDs)</t>
        </is>
      </c>
      <c r="G2976" s="12" t="inlineStr">
        <is>
          <t>ABS-B</t>
        </is>
      </c>
      <c r="H2976" s="12" t="inlineStr">
        <is>
          <t>Absorber B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7" t="n">
        <v>410</v>
      </c>
      <c r="U2976" s="17" t="n">
        <v>80</v>
      </c>
      <c r="V2976" s="17">
        <f>ROUNDUP((T2976+U2976+2*'Read Me'!$B$13)*(1+'Read Me'!$B$12),-1)</f>
        <v/>
      </c>
      <c r="W2976" s="17">
        <f>V2976*N2976*O2976</f>
        <v/>
      </c>
      <c r="X2976" s="12">
        <f>IF(LEFT(I2976,2)="MV",2*N2976*IF(L2976="1/C",O2976,1),0)</f>
        <v/>
      </c>
      <c r="Y2976" s="12">
        <f>IF(OR(LEFT(K2976,4)="LVAX",LEFT(K2976,6)="MV15AX",LEFT(K2976,4)="CTAX",LEFT(K2976,2)="W|"),2*N2976*O2976,0)</f>
        <v/>
      </c>
      <c r="Z2976" s="12" t="inlineStr"/>
      <c r="AA2976" s="12">
        <f>N2976*O2976</f>
        <v/>
      </c>
    </row>
    <row r="2977">
      <c r="A2977" s="12" t="inlineStr">
        <is>
          <t>G-C-0017</t>
        </is>
      </c>
      <c r="B2977" s="12" t="inlineStr">
        <is>
          <t>G</t>
        </is>
      </c>
      <c r="C2977" s="12" t="inlineStr">
        <is>
          <t>Carbon capture</t>
        </is>
      </c>
      <c r="D2977" s="12" t="inlineStr">
        <is>
          <t>MOV 5: control</t>
        </is>
      </c>
      <c r="E2977" s="12" t="inlineStr"/>
      <c r="F2977" s="12" t="inlineStr">
        <is>
          <t>CCS MV switchgear building (VFDs)</t>
        </is>
      </c>
      <c r="G2977" s="12" t="inlineStr">
        <is>
          <t>ABS-B</t>
        </is>
      </c>
      <c r="H2977" s="12" t="inlineStr">
        <is>
          <t>Absorber B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7" t="n">
        <v>410</v>
      </c>
      <c r="U2977" s="17" t="n">
        <v>80</v>
      </c>
      <c r="V2977" s="17">
        <f>ROUNDUP((T2977+U2977+2*'Read Me'!$B$13)*(1+'Read Me'!$B$12),-1)</f>
        <v/>
      </c>
      <c r="W2977" s="17">
        <f>V2977*N2977*O2977</f>
        <v/>
      </c>
      <c r="X2977" s="12">
        <f>IF(LEFT(I2977,2)="MV",2*N2977*IF(L2977="1/C",O2977,1),0)</f>
        <v/>
      </c>
      <c r="Y2977" s="12">
        <f>IF(OR(LEFT(K2977,4)="LVAX",LEFT(K2977,6)="MV15AX",LEFT(K2977,4)="CTAX",LEFT(K2977,2)="W|"),2*N2977*O2977,0)</f>
        <v/>
      </c>
      <c r="Z2977" s="12" t="inlineStr"/>
      <c r="AA2977" s="12">
        <f>N2977*O2977</f>
        <v/>
      </c>
    </row>
    <row r="2978">
      <c r="A2978" s="12" t="inlineStr">
        <is>
          <t>G-C-0018</t>
        </is>
      </c>
      <c r="B2978" s="12" t="inlineStr">
        <is>
          <t>G</t>
        </is>
      </c>
      <c r="C2978" s="12" t="inlineStr">
        <is>
          <t>Carbon capture</t>
        </is>
      </c>
      <c r="D2978" s="12" t="inlineStr">
        <is>
          <t>MOV 6: control</t>
        </is>
      </c>
      <c r="E2978" s="12" t="inlineStr"/>
      <c r="F2978" s="12" t="inlineStr">
        <is>
          <t>CCS MV switchgear building (VFDs)</t>
        </is>
      </c>
      <c r="G2978" s="12" t="inlineStr">
        <is>
          <t>ABS-B</t>
        </is>
      </c>
      <c r="H2978" s="12" t="inlineStr">
        <is>
          <t>Absorber B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410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G-C-0019</t>
        </is>
      </c>
      <c r="B2979" s="12" t="inlineStr">
        <is>
          <t>G</t>
        </is>
      </c>
      <c r="C2979" s="12" t="inlineStr">
        <is>
          <t>Carbon capture</t>
        </is>
      </c>
      <c r="D2979" s="12" t="inlineStr">
        <is>
          <t>MOV 7: control</t>
        </is>
      </c>
      <c r="E2979" s="12" t="inlineStr"/>
      <c r="F2979" s="12" t="inlineStr">
        <is>
          <t>CCS MV switchgear building (VFDs)</t>
        </is>
      </c>
      <c r="G2979" s="12" t="inlineStr">
        <is>
          <t>ABS-B</t>
        </is>
      </c>
      <c r="H2979" s="12" t="inlineStr">
        <is>
          <t>Absorber B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410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G-C-0020</t>
        </is>
      </c>
      <c r="B2980" s="12" t="inlineStr">
        <is>
          <t>G</t>
        </is>
      </c>
      <c r="C2980" s="12" t="inlineStr">
        <is>
          <t>Carbon capture</t>
        </is>
      </c>
      <c r="D2980" s="12" t="inlineStr">
        <is>
          <t>MOV 8: control</t>
        </is>
      </c>
      <c r="E2980" s="12" t="inlineStr"/>
      <c r="F2980" s="12" t="inlineStr">
        <is>
          <t>CCS MV switchgear building (VFDs)</t>
        </is>
      </c>
      <c r="G2980" s="12" t="inlineStr">
        <is>
          <t>ABS-B</t>
        </is>
      </c>
      <c r="H2980" s="12" t="inlineStr">
        <is>
          <t>Absorber B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410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G-C-0021</t>
        </is>
      </c>
      <c r="B2981" s="12" t="inlineStr">
        <is>
          <t>G</t>
        </is>
      </c>
      <c r="C2981" s="12" t="inlineStr">
        <is>
          <t>Carbon capture</t>
        </is>
      </c>
      <c r="D2981" s="12" t="inlineStr">
        <is>
          <t>MOV 9: control</t>
        </is>
      </c>
      <c r="E2981" s="12" t="inlineStr"/>
      <c r="F2981" s="12" t="inlineStr">
        <is>
          <t>CCS MV switchgear building (VFDs)</t>
        </is>
      </c>
      <c r="G2981" s="12" t="inlineStr">
        <is>
          <t>ABS-B</t>
        </is>
      </c>
      <c r="H2981" s="12" t="inlineStr">
        <is>
          <t>Absorber B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410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G-C-0022</t>
        </is>
      </c>
      <c r="B2982" s="12" t="inlineStr">
        <is>
          <t>G</t>
        </is>
      </c>
      <c r="C2982" s="12" t="inlineStr">
        <is>
          <t>Carbon capture</t>
        </is>
      </c>
      <c r="D2982" s="12" t="inlineStr">
        <is>
          <t>MOV 10: control</t>
        </is>
      </c>
      <c r="E2982" s="12" t="inlineStr"/>
      <c r="F2982" s="12" t="inlineStr">
        <is>
          <t>CCS MV switchgear building (VFDs)</t>
        </is>
      </c>
      <c r="G2982" s="12" t="inlineStr">
        <is>
          <t>ABS-B</t>
        </is>
      </c>
      <c r="H2982" s="12" t="inlineStr">
        <is>
          <t>Absorber B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410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G-C-0023</t>
        </is>
      </c>
      <c r="B2983" s="12" t="inlineStr">
        <is>
          <t>G</t>
        </is>
      </c>
      <c r="C2983" s="12" t="inlineStr">
        <is>
          <t>Carbon capture</t>
        </is>
      </c>
      <c r="D2983" s="12" t="inlineStr">
        <is>
          <t>Motor 1 of 2: control / local station</t>
        </is>
      </c>
      <c r="E2983" s="12" t="inlineStr"/>
      <c r="F2983" s="12" t="inlineStr">
        <is>
          <t>CCS MV switchgear building (VFDs)</t>
        </is>
      </c>
      <c r="G2983" s="12" t="inlineStr"/>
      <c r="H2983" s="12" t="inlineStr">
        <is>
          <t>Absorber B intercooler (pumps + plate exchanger)</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7" t="n">
        <v>392</v>
      </c>
      <c r="U2983" s="17" t="n">
        <v>81</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G-C-0024</t>
        </is>
      </c>
      <c r="B2984" s="12" t="inlineStr">
        <is>
          <t>G</t>
        </is>
      </c>
      <c r="C2984" s="12" t="inlineStr">
        <is>
          <t>Carbon capture</t>
        </is>
      </c>
      <c r="D2984" s="12" t="inlineStr">
        <is>
          <t>Motor 2 of 2: control / local station</t>
        </is>
      </c>
      <c r="E2984" s="12" t="inlineStr"/>
      <c r="F2984" s="12" t="inlineStr">
        <is>
          <t>CCS MV switchgear building (VFDs)</t>
        </is>
      </c>
      <c r="G2984" s="12" t="inlineStr"/>
      <c r="H2984" s="12" t="inlineStr">
        <is>
          <t>Absorber B intercooler (pumps + plate exchanger)</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Tray</t>
        </is>
      </c>
      <c r="T2984" s="17" t="n">
        <v>392</v>
      </c>
      <c r="U2984" s="17" t="n">
        <v>81</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G-C-0025</t>
        </is>
      </c>
      <c r="B2985" s="12" t="inlineStr">
        <is>
          <t>G</t>
        </is>
      </c>
      <c r="C2985" s="12" t="inlineStr">
        <is>
          <t>Carbon capture</t>
        </is>
      </c>
      <c r="D2985" s="12" t="inlineStr">
        <is>
          <t>MOV 1: control</t>
        </is>
      </c>
      <c r="E2985" s="12" t="inlineStr"/>
      <c r="F2985" s="12" t="inlineStr">
        <is>
          <t>CCS MV switchgear building (VFDs)</t>
        </is>
      </c>
      <c r="G2985" s="12" t="inlineStr">
        <is>
          <t>ABS-C</t>
        </is>
      </c>
      <c r="H2985" s="12" t="inlineStr">
        <is>
          <t>Absorber C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250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G-C-0026</t>
        </is>
      </c>
      <c r="B2986" s="12" t="inlineStr">
        <is>
          <t>G</t>
        </is>
      </c>
      <c r="C2986" s="12" t="inlineStr">
        <is>
          <t>Carbon capture</t>
        </is>
      </c>
      <c r="D2986" s="12" t="inlineStr">
        <is>
          <t>MOV 2: control</t>
        </is>
      </c>
      <c r="E2986" s="12" t="inlineStr"/>
      <c r="F2986" s="12" t="inlineStr">
        <is>
          <t>CCS MV switchgear building (VFDs)</t>
        </is>
      </c>
      <c r="G2986" s="12" t="inlineStr">
        <is>
          <t>ABS-C</t>
        </is>
      </c>
      <c r="H2986" s="12" t="inlineStr">
        <is>
          <t>Absorber C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250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G-C-0027</t>
        </is>
      </c>
      <c r="B2987" s="12" t="inlineStr">
        <is>
          <t>G</t>
        </is>
      </c>
      <c r="C2987" s="12" t="inlineStr">
        <is>
          <t>Carbon capture</t>
        </is>
      </c>
      <c r="D2987" s="12" t="inlineStr">
        <is>
          <t>MOV 3: control</t>
        </is>
      </c>
      <c r="E2987" s="12" t="inlineStr"/>
      <c r="F2987" s="12" t="inlineStr">
        <is>
          <t>CCS MV switchgear building (VFDs)</t>
        </is>
      </c>
      <c r="G2987" s="12" t="inlineStr">
        <is>
          <t>ABS-C</t>
        </is>
      </c>
      <c r="H2987" s="12" t="inlineStr">
        <is>
          <t>Absorber C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250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G-C-0028</t>
        </is>
      </c>
      <c r="B2988" s="12" t="inlineStr">
        <is>
          <t>G</t>
        </is>
      </c>
      <c r="C2988" s="12" t="inlineStr">
        <is>
          <t>Carbon capture</t>
        </is>
      </c>
      <c r="D2988" s="12" t="inlineStr">
        <is>
          <t>MOV 4: control</t>
        </is>
      </c>
      <c r="E2988" s="12" t="inlineStr"/>
      <c r="F2988" s="12" t="inlineStr">
        <is>
          <t>CCS MV switchgear building (VFDs)</t>
        </is>
      </c>
      <c r="G2988" s="12" t="inlineStr">
        <is>
          <t>ABS-C</t>
        </is>
      </c>
      <c r="H2988" s="12" t="inlineStr">
        <is>
          <t>Absorber C (62 ft dia x 262 ft, stack to 313 ft)</t>
        </is>
      </c>
      <c r="I2988" s="12" t="inlineStr">
        <is>
          <t>Control</t>
        </is>
      </c>
      <c r="J2988" s="12" t="inlineStr">
        <is>
          <t>Control cable 600 V Type TC-ER, Cu #14 AWG, PVC jacket</t>
        </is>
      </c>
      <c r="K2988" s="12" t="inlineStr">
        <is>
          <t>CT|12/C|14</t>
        </is>
      </c>
      <c r="L2988" s="12" t="inlineStr">
        <is>
          <t>12/C</t>
        </is>
      </c>
      <c r="M2988" s="12" t="inlineStr">
        <is>
          <t>14</t>
        </is>
      </c>
      <c r="N2988" s="12" t="n">
        <v>1</v>
      </c>
      <c r="O2988" s="12" t="n">
        <v>1</v>
      </c>
      <c r="P2988" s="12" t="n"/>
      <c r="Q2988" s="12" t="n"/>
      <c r="R2988" s="12" t="n"/>
      <c r="S2988" s="12" t="inlineStr">
        <is>
          <t>Tray</t>
        </is>
      </c>
      <c r="T2988" s="17" t="n">
        <v>250</v>
      </c>
      <c r="U2988" s="17" t="n">
        <v>80</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G-C-0029</t>
        </is>
      </c>
      <c r="B2989" s="12" t="inlineStr">
        <is>
          <t>G</t>
        </is>
      </c>
      <c r="C2989" s="12" t="inlineStr">
        <is>
          <t>Carbon capture</t>
        </is>
      </c>
      <c r="D2989" s="12" t="inlineStr">
        <is>
          <t>MOV 5: control</t>
        </is>
      </c>
      <c r="E2989" s="12" t="inlineStr"/>
      <c r="F2989" s="12" t="inlineStr">
        <is>
          <t>CCS MV switchgear building (VFDs)</t>
        </is>
      </c>
      <c r="G2989" s="12" t="inlineStr">
        <is>
          <t>ABS-C</t>
        </is>
      </c>
      <c r="H2989" s="12" t="inlineStr">
        <is>
          <t>Absorber C (62 ft dia x 262 ft, stack to 313 ft)</t>
        </is>
      </c>
      <c r="I2989" s="12" t="inlineStr">
        <is>
          <t>Control</t>
        </is>
      </c>
      <c r="J2989" s="12" t="inlineStr">
        <is>
          <t>Control cable 600 V Type TC-ER, Cu #14 AWG, PVC jacket</t>
        </is>
      </c>
      <c r="K2989" s="12" t="inlineStr">
        <is>
          <t>CT|12/C|14</t>
        </is>
      </c>
      <c r="L2989" s="12" t="inlineStr">
        <is>
          <t>12/C</t>
        </is>
      </c>
      <c r="M2989" s="12" t="inlineStr">
        <is>
          <t>14</t>
        </is>
      </c>
      <c r="N2989" s="12" t="n">
        <v>1</v>
      </c>
      <c r="O2989" s="12" t="n">
        <v>1</v>
      </c>
      <c r="P2989" s="12" t="n"/>
      <c r="Q2989" s="12" t="n"/>
      <c r="R2989" s="12" t="n"/>
      <c r="S2989" s="12" t="inlineStr">
        <is>
          <t>Tray</t>
        </is>
      </c>
      <c r="T2989" s="17" t="n">
        <v>250</v>
      </c>
      <c r="U2989" s="17" t="n">
        <v>80</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G-C-0030</t>
        </is>
      </c>
      <c r="B2990" s="12" t="inlineStr">
        <is>
          <t>G</t>
        </is>
      </c>
      <c r="C2990" s="12" t="inlineStr">
        <is>
          <t>Carbon capture</t>
        </is>
      </c>
      <c r="D2990" s="12" t="inlineStr">
        <is>
          <t>MOV 6: control</t>
        </is>
      </c>
      <c r="E2990" s="12" t="inlineStr"/>
      <c r="F2990" s="12" t="inlineStr">
        <is>
          <t>CCS MV switchgear building (VFDs)</t>
        </is>
      </c>
      <c r="G2990" s="12" t="inlineStr">
        <is>
          <t>ABS-C</t>
        </is>
      </c>
      <c r="H2990" s="12" t="inlineStr">
        <is>
          <t>Absorber C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250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G-C-0031</t>
        </is>
      </c>
      <c r="B2991" s="12" t="inlineStr">
        <is>
          <t>G</t>
        </is>
      </c>
      <c r="C2991" s="12" t="inlineStr">
        <is>
          <t>Carbon capture</t>
        </is>
      </c>
      <c r="D2991" s="12" t="inlineStr">
        <is>
          <t>MOV 7: control</t>
        </is>
      </c>
      <c r="E2991" s="12" t="inlineStr"/>
      <c r="F2991" s="12" t="inlineStr">
        <is>
          <t>CCS MV switchgear building (VFDs)</t>
        </is>
      </c>
      <c r="G2991" s="12" t="inlineStr">
        <is>
          <t>ABS-C</t>
        </is>
      </c>
      <c r="H2991" s="12" t="inlineStr">
        <is>
          <t>Absorber C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250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G-C-0032</t>
        </is>
      </c>
      <c r="B2992" s="12" t="inlineStr">
        <is>
          <t>G</t>
        </is>
      </c>
      <c r="C2992" s="12" t="inlineStr">
        <is>
          <t>Carbon capture</t>
        </is>
      </c>
      <c r="D2992" s="12" t="inlineStr">
        <is>
          <t>MOV 8: control</t>
        </is>
      </c>
      <c r="E2992" s="12" t="inlineStr"/>
      <c r="F2992" s="12" t="inlineStr">
        <is>
          <t>CCS MV switchgear building (VFDs)</t>
        </is>
      </c>
      <c r="G2992" s="12" t="inlineStr">
        <is>
          <t>ABS-C</t>
        </is>
      </c>
      <c r="H2992" s="12" t="inlineStr">
        <is>
          <t>Absorber C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250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G-C-0033</t>
        </is>
      </c>
      <c r="B2993" s="12" t="inlineStr">
        <is>
          <t>G</t>
        </is>
      </c>
      <c r="C2993" s="12" t="inlineStr">
        <is>
          <t>Carbon capture</t>
        </is>
      </c>
      <c r="D2993" s="12" t="inlineStr">
        <is>
          <t>MOV 9: control</t>
        </is>
      </c>
      <c r="E2993" s="12" t="inlineStr"/>
      <c r="F2993" s="12" t="inlineStr">
        <is>
          <t>CCS MV switchgear building (VFDs)</t>
        </is>
      </c>
      <c r="G2993" s="12" t="inlineStr">
        <is>
          <t>ABS-C</t>
        </is>
      </c>
      <c r="H2993" s="12" t="inlineStr">
        <is>
          <t>Absorber C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250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G-C-0034</t>
        </is>
      </c>
      <c r="B2994" s="12" t="inlineStr">
        <is>
          <t>G</t>
        </is>
      </c>
      <c r="C2994" s="12" t="inlineStr">
        <is>
          <t>Carbon capture</t>
        </is>
      </c>
      <c r="D2994" s="12" t="inlineStr">
        <is>
          <t>MOV 10: control</t>
        </is>
      </c>
      <c r="E2994" s="12" t="inlineStr"/>
      <c r="F2994" s="12" t="inlineStr">
        <is>
          <t>CCS MV switchgear building (VFDs)</t>
        </is>
      </c>
      <c r="G2994" s="12" t="inlineStr">
        <is>
          <t>ABS-C</t>
        </is>
      </c>
      <c r="H2994" s="12" t="inlineStr">
        <is>
          <t>Absorber C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250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G-C-0035</t>
        </is>
      </c>
      <c r="B2995" s="12" t="inlineStr">
        <is>
          <t>G</t>
        </is>
      </c>
      <c r="C2995" s="12" t="inlineStr">
        <is>
          <t>Carbon capture</t>
        </is>
      </c>
      <c r="D2995" s="12" t="inlineStr">
        <is>
          <t>Motor 1 of 2: control / local station</t>
        </is>
      </c>
      <c r="E2995" s="12" t="inlineStr"/>
      <c r="F2995" s="12" t="inlineStr">
        <is>
          <t>CCS MV switchgear building (VFDs)</t>
        </is>
      </c>
      <c r="G2995" s="12" t="inlineStr"/>
      <c r="H2995" s="12" t="inlineStr">
        <is>
          <t>Absorber C intercooler (pumps + plate exchanger)</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7" t="n">
        <v>232</v>
      </c>
      <c r="U2995" s="17" t="n">
        <v>81</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G-C-0036</t>
        </is>
      </c>
      <c r="B2996" s="12" t="inlineStr">
        <is>
          <t>G</t>
        </is>
      </c>
      <c r="C2996" s="12" t="inlineStr">
        <is>
          <t>Carbon capture</t>
        </is>
      </c>
      <c r="D2996" s="12" t="inlineStr">
        <is>
          <t>Motor 2 of 2: control / local station</t>
        </is>
      </c>
      <c r="E2996" s="12" t="inlineStr"/>
      <c r="F2996" s="12" t="inlineStr">
        <is>
          <t>CCS MV switchgear building (VFDs)</t>
        </is>
      </c>
      <c r="G2996" s="12" t="inlineStr"/>
      <c r="H2996" s="12" t="inlineStr">
        <is>
          <t>Absorber C intercooler (pumps + plate exchanger)</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Tray</t>
        </is>
      </c>
      <c r="T2996" s="17" t="n">
        <v>232</v>
      </c>
      <c r="U2996" s="17" t="n">
        <v>81</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G-C-0037</t>
        </is>
      </c>
      <c r="B2997" s="12" t="inlineStr">
        <is>
          <t>G</t>
        </is>
      </c>
      <c r="C2997" s="12" t="inlineStr">
        <is>
          <t>Carbon capture</t>
        </is>
      </c>
      <c r="D2997" s="12" t="inlineStr">
        <is>
          <t>Motor 1 of 4: control / local station</t>
        </is>
      </c>
      <c r="E2997" s="12" t="inlineStr"/>
      <c r="F2997" s="12" t="inlineStr">
        <is>
          <t>CCS MV switchgear building (VFDs)</t>
        </is>
      </c>
      <c r="G2997" s="12" t="inlineStr">
        <is>
          <t>BF-A</t>
        </is>
      </c>
      <c r="H2997" s="12" t="inlineStr">
        <is>
          <t>BF-A: booster fan (~16 MW)</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7" t="n">
        <v>460</v>
      </c>
      <c r="U2997" s="17" t="n">
        <v>32</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G-C-0038</t>
        </is>
      </c>
      <c r="B2998" s="12" t="inlineStr">
        <is>
          <t>G</t>
        </is>
      </c>
      <c r="C2998" s="12" t="inlineStr">
        <is>
          <t>Carbon capture</t>
        </is>
      </c>
      <c r="D2998" s="12" t="inlineStr">
        <is>
          <t>Motor 2 of 4: control / local station</t>
        </is>
      </c>
      <c r="E2998" s="12" t="inlineStr"/>
      <c r="F2998" s="12" t="inlineStr">
        <is>
          <t>CCS MV switchgear building (VFDs)</t>
        </is>
      </c>
      <c r="G2998" s="12" t="inlineStr">
        <is>
          <t>BF-A</t>
        </is>
      </c>
      <c r="H2998" s="12" t="inlineStr">
        <is>
          <t>BF-A: booster fan (~16 MW)</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7" t="n">
        <v>460</v>
      </c>
      <c r="U2998" s="17" t="n">
        <v>32</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G-C-0039</t>
        </is>
      </c>
      <c r="B2999" s="12" t="inlineStr">
        <is>
          <t>G</t>
        </is>
      </c>
      <c r="C2999" s="12" t="inlineStr">
        <is>
          <t>Carbon capture</t>
        </is>
      </c>
      <c r="D2999" s="12" t="inlineStr">
        <is>
          <t>Motor 3 of 4: control / local station</t>
        </is>
      </c>
      <c r="E2999" s="12" t="inlineStr"/>
      <c r="F2999" s="12" t="inlineStr">
        <is>
          <t>CCS MV switchgear building (VFDs)</t>
        </is>
      </c>
      <c r="G2999" s="12" t="inlineStr">
        <is>
          <t>BF-A</t>
        </is>
      </c>
      <c r="H2999" s="12" t="inlineStr">
        <is>
          <t>BF-A: booster fan (~16 MW)</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7" t="n">
        <v>460</v>
      </c>
      <c r="U2999" s="17" t="n">
        <v>32</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G-C-0040</t>
        </is>
      </c>
      <c r="B3000" s="12" t="inlineStr">
        <is>
          <t>G</t>
        </is>
      </c>
      <c r="C3000" s="12" t="inlineStr">
        <is>
          <t>Carbon capture</t>
        </is>
      </c>
      <c r="D3000" s="12" t="inlineStr">
        <is>
          <t>Motor 4 of 4: control / local station</t>
        </is>
      </c>
      <c r="E3000" s="12" t="inlineStr"/>
      <c r="F3000" s="12" t="inlineStr">
        <is>
          <t>CCS MV switchgear building (VFDs)</t>
        </is>
      </c>
      <c r="G3000" s="12" t="inlineStr">
        <is>
          <t>BF-A</t>
        </is>
      </c>
      <c r="H3000" s="12" t="inlineStr">
        <is>
          <t>BF-A: booster fan (~16 MW)</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7" t="n">
        <v>460</v>
      </c>
      <c r="U3000" s="17" t="n">
        <v>32</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G-C-0041</t>
        </is>
      </c>
      <c r="B3001" s="12" t="inlineStr">
        <is>
          <t>G</t>
        </is>
      </c>
      <c r="C3001" s="12" t="inlineStr">
        <is>
          <t>Carbon capture</t>
        </is>
      </c>
      <c r="D3001" s="12" t="inlineStr">
        <is>
          <t>Motor 1 of 4: control / local station</t>
        </is>
      </c>
      <c r="E3001" s="12" t="inlineStr"/>
      <c r="F3001" s="12" t="inlineStr">
        <is>
          <t>CCS MV switchgear building (VFDs)</t>
        </is>
      </c>
      <c r="G3001" s="12" t="inlineStr">
        <is>
          <t>BF-B</t>
        </is>
      </c>
      <c r="H3001" s="12" t="inlineStr">
        <is>
          <t>BF-B: booster fan (~16 MW)</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7" t="n">
        <v>300</v>
      </c>
      <c r="U3001" s="17" t="n">
        <v>32</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G-C-0042</t>
        </is>
      </c>
      <c r="B3002" s="12" t="inlineStr">
        <is>
          <t>G</t>
        </is>
      </c>
      <c r="C3002" s="12" t="inlineStr">
        <is>
          <t>Carbon capture</t>
        </is>
      </c>
      <c r="D3002" s="12" t="inlineStr">
        <is>
          <t>Motor 2 of 4: control / local station</t>
        </is>
      </c>
      <c r="E3002" s="12" t="inlineStr"/>
      <c r="F3002" s="12" t="inlineStr">
        <is>
          <t>CCS MV switchgear building (VFDs)</t>
        </is>
      </c>
      <c r="G3002" s="12" t="inlineStr">
        <is>
          <t>BF-B</t>
        </is>
      </c>
      <c r="H3002" s="12" t="inlineStr">
        <is>
          <t>BF-B: booster fan (~16 MW)</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7" t="n">
        <v>300</v>
      </c>
      <c r="U3002" s="17" t="n">
        <v>32</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G-C-0043</t>
        </is>
      </c>
      <c r="B3003" s="12" t="inlineStr">
        <is>
          <t>G</t>
        </is>
      </c>
      <c r="C3003" s="12" t="inlineStr">
        <is>
          <t>Carbon capture</t>
        </is>
      </c>
      <c r="D3003" s="12" t="inlineStr">
        <is>
          <t>Motor 3 of 4: control / local station</t>
        </is>
      </c>
      <c r="E3003" s="12" t="inlineStr"/>
      <c r="F3003" s="12" t="inlineStr">
        <is>
          <t>CCS MV switchgear building (VFDs)</t>
        </is>
      </c>
      <c r="G3003" s="12" t="inlineStr">
        <is>
          <t>BF-B</t>
        </is>
      </c>
      <c r="H3003" s="12" t="inlineStr">
        <is>
          <t>BF-B: booster fan (~16 MW)</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7" t="n">
        <v>300</v>
      </c>
      <c r="U3003" s="17" t="n">
        <v>32</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G-C-0044</t>
        </is>
      </c>
      <c r="B3004" s="12" t="inlineStr">
        <is>
          <t>G</t>
        </is>
      </c>
      <c r="C3004" s="12" t="inlineStr">
        <is>
          <t>Carbon capture</t>
        </is>
      </c>
      <c r="D3004" s="12" t="inlineStr">
        <is>
          <t>Motor 4 of 4: control / local station</t>
        </is>
      </c>
      <c r="E3004" s="12" t="inlineStr"/>
      <c r="F3004" s="12" t="inlineStr">
        <is>
          <t>CCS MV switchgear building (VFDs)</t>
        </is>
      </c>
      <c r="G3004" s="12" t="inlineStr">
        <is>
          <t>BF-B</t>
        </is>
      </c>
      <c r="H3004" s="12" t="inlineStr">
        <is>
          <t>BF-B: booster fan (~16 MW)</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7" t="n">
        <v>300</v>
      </c>
      <c r="U3004" s="17" t="n">
        <v>32</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G-C-0045</t>
        </is>
      </c>
      <c r="B3005" s="12" t="inlineStr">
        <is>
          <t>G</t>
        </is>
      </c>
      <c r="C3005" s="12" t="inlineStr">
        <is>
          <t>Carbon capture</t>
        </is>
      </c>
      <c r="D3005" s="12" t="inlineStr">
        <is>
          <t>Motor 1 of 4: control / local station</t>
        </is>
      </c>
      <c r="E3005" s="12" t="inlineStr"/>
      <c r="F3005" s="12" t="inlineStr">
        <is>
          <t>CCS MV switchgear building (VFDs)</t>
        </is>
      </c>
      <c r="G3005" s="12" t="inlineStr">
        <is>
          <t>BF-C</t>
        </is>
      </c>
      <c r="H3005" s="12" t="inlineStr">
        <is>
          <t>BF-C: booster fan (~16 MW)</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7" t="n">
        <v>16</v>
      </c>
      <c r="U3005" s="17" t="n">
        <v>150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G-C-0046</t>
        </is>
      </c>
      <c r="B3006" s="12" t="inlineStr">
        <is>
          <t>G</t>
        </is>
      </c>
      <c r="C3006" s="12" t="inlineStr">
        <is>
          <t>Carbon capture</t>
        </is>
      </c>
      <c r="D3006" s="12" t="inlineStr">
        <is>
          <t>Motor 2 of 4: control / local station</t>
        </is>
      </c>
      <c r="E3006" s="12" t="inlineStr"/>
      <c r="F3006" s="12" t="inlineStr">
        <is>
          <t>CCS MV switchgear building (VFDs)</t>
        </is>
      </c>
      <c r="G3006" s="12" t="inlineStr">
        <is>
          <t>BF-C</t>
        </is>
      </c>
      <c r="H3006" s="12" t="inlineStr">
        <is>
          <t>BF-C: booster fan (~16 MW)</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7" t="n">
        <v>16</v>
      </c>
      <c r="U3006" s="17" t="n">
        <v>150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G-C-0047</t>
        </is>
      </c>
      <c r="B3007" s="12" t="inlineStr">
        <is>
          <t>G</t>
        </is>
      </c>
      <c r="C3007" s="12" t="inlineStr">
        <is>
          <t>Carbon capture</t>
        </is>
      </c>
      <c r="D3007" s="12" t="inlineStr">
        <is>
          <t>Motor 3 of 4: control / local station</t>
        </is>
      </c>
      <c r="E3007" s="12" t="inlineStr"/>
      <c r="F3007" s="12" t="inlineStr">
        <is>
          <t>CCS MV switchgear building (VFDs)</t>
        </is>
      </c>
      <c r="G3007" s="12" t="inlineStr">
        <is>
          <t>BF-C</t>
        </is>
      </c>
      <c r="H3007" s="12" t="inlineStr">
        <is>
          <t>BF-C: booster fan (~16 MW)</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7" t="n">
        <v>16</v>
      </c>
      <c r="U3007" s="17" t="n">
        <v>150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G-C-0048</t>
        </is>
      </c>
      <c r="B3008" s="12" t="inlineStr">
        <is>
          <t>G</t>
        </is>
      </c>
      <c r="C3008" s="12" t="inlineStr">
        <is>
          <t>Carbon capture</t>
        </is>
      </c>
      <c r="D3008" s="12" t="inlineStr">
        <is>
          <t>Motor 4 of 4: control / local station</t>
        </is>
      </c>
      <c r="E3008" s="12" t="inlineStr"/>
      <c r="F3008" s="12" t="inlineStr">
        <is>
          <t>CCS MV switchgear building (VFDs)</t>
        </is>
      </c>
      <c r="G3008" s="12" t="inlineStr">
        <is>
          <t>BF-C</t>
        </is>
      </c>
      <c r="H3008" s="12" t="inlineStr">
        <is>
          <t>BF-C: booster fan (~16 MW)</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7" t="n">
        <v>16</v>
      </c>
      <c r="U3008" s="17" t="n">
        <v>150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G-C-0049</t>
        </is>
      </c>
      <c r="B3009" s="12" t="inlineStr">
        <is>
          <t>G</t>
        </is>
      </c>
      <c r="C3009" s="12" t="inlineStr">
        <is>
          <t>Carbon capture</t>
        </is>
      </c>
      <c r="D3009" s="12" t="inlineStr">
        <is>
          <t>Control</t>
        </is>
      </c>
      <c r="E3009" s="12" t="inlineStr"/>
      <c r="F3009" s="12" t="inlineStr">
        <is>
          <t>CCS F&amp;G / control</t>
        </is>
      </c>
      <c r="G3009" s="12" t="inlineStr"/>
      <c r="H3009" s="12" t="inlineStr">
        <is>
          <t>CCS F&amp;G / control</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7" t="n">
        <v>0</v>
      </c>
      <c r="U3009" s="17" t="n">
        <v>170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G-C-0050</t>
        </is>
      </c>
      <c r="B3010" s="12" t="inlineStr">
        <is>
          <t>G</t>
        </is>
      </c>
      <c r="C3010" s="12" t="inlineStr">
        <is>
          <t>Carbon capture</t>
        </is>
      </c>
      <c r="D3010" s="12" t="inlineStr">
        <is>
          <t>Control</t>
        </is>
      </c>
      <c r="E3010" s="12" t="inlineStr"/>
      <c r="F3010" s="12" t="inlineStr">
        <is>
          <t>CCS F&amp;G / control</t>
        </is>
      </c>
      <c r="G3010" s="12" t="inlineStr"/>
      <c r="H3010" s="12" t="inlineStr">
        <is>
          <t>CCS MV switchgear building (VFDs)</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7" t="n">
        <v>206</v>
      </c>
      <c r="U3010" s="17" t="n">
        <v>101</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G-C-0051</t>
        </is>
      </c>
      <c r="B3011" s="12" t="inlineStr">
        <is>
          <t>G</t>
        </is>
      </c>
      <c r="C3011" s="12" t="inlineStr">
        <is>
          <t>Carbon capture</t>
        </is>
      </c>
      <c r="D3011" s="12" t="inlineStr">
        <is>
          <t>Motor 1 of 6: control / local station</t>
        </is>
      </c>
      <c r="E3011" s="12" t="inlineStr"/>
      <c r="F3011" s="12" t="inlineStr">
        <is>
          <t>CCS MV switchgear building (VFDs)</t>
        </is>
      </c>
      <c r="G3011" s="12" t="inlineStr">
        <is>
          <t>CCS T-1</t>
        </is>
      </c>
      <c r="H3011" s="12" t="inlineStr">
        <is>
          <t>CCS T-1: 230/13.8 kV</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7" t="n">
        <v>361</v>
      </c>
      <c r="U3011" s="17" t="n">
        <v>32</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G-C-0052</t>
        </is>
      </c>
      <c r="B3012" s="12" t="inlineStr">
        <is>
          <t>G</t>
        </is>
      </c>
      <c r="C3012" s="12" t="inlineStr">
        <is>
          <t>Carbon capture</t>
        </is>
      </c>
      <c r="D3012" s="12" t="inlineStr">
        <is>
          <t>Motor 2 of 6: control / local station</t>
        </is>
      </c>
      <c r="E3012" s="12" t="inlineStr"/>
      <c r="F3012" s="12" t="inlineStr">
        <is>
          <t>CCS MV switchgear building (VFDs)</t>
        </is>
      </c>
      <c r="G3012" s="12" t="inlineStr">
        <is>
          <t>CCS T-1</t>
        </is>
      </c>
      <c r="H3012" s="12" t="inlineStr">
        <is>
          <t>CCS T-1: 230/13.8 kV</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Duct bank</t>
        </is>
      </c>
      <c r="T3012" s="17" t="n">
        <v>361</v>
      </c>
      <c r="U3012" s="17" t="n">
        <v>32</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G-C-0053</t>
        </is>
      </c>
      <c r="B3013" s="12" t="inlineStr">
        <is>
          <t>G</t>
        </is>
      </c>
      <c r="C3013" s="12" t="inlineStr">
        <is>
          <t>Carbon capture</t>
        </is>
      </c>
      <c r="D3013" s="12" t="inlineStr">
        <is>
          <t>Motor 3 of 6: control / local station</t>
        </is>
      </c>
      <c r="E3013" s="12" t="inlineStr"/>
      <c r="F3013" s="12" t="inlineStr">
        <is>
          <t>CCS MV switchgear building (VFDs)</t>
        </is>
      </c>
      <c r="G3013" s="12" t="inlineStr">
        <is>
          <t>CCS T-1</t>
        </is>
      </c>
      <c r="H3013" s="12" t="inlineStr">
        <is>
          <t>CCS T-1: 230/13.8 kV</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7" t="n">
        <v>361</v>
      </c>
      <c r="U3013" s="17" t="n">
        <v>32</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G-C-0054</t>
        </is>
      </c>
      <c r="B3014" s="12" t="inlineStr">
        <is>
          <t>G</t>
        </is>
      </c>
      <c r="C3014" s="12" t="inlineStr">
        <is>
          <t>Carbon capture</t>
        </is>
      </c>
      <c r="D3014" s="12" t="inlineStr">
        <is>
          <t>Motor 4 of 6: control / local station</t>
        </is>
      </c>
      <c r="E3014" s="12" t="inlineStr"/>
      <c r="F3014" s="12" t="inlineStr">
        <is>
          <t>CCS MV switchgear building (VFDs)</t>
        </is>
      </c>
      <c r="G3014" s="12" t="inlineStr">
        <is>
          <t>CCS T-1</t>
        </is>
      </c>
      <c r="H3014" s="12" t="inlineStr">
        <is>
          <t>CCS T-1: 230/13.8 kV</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361</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G-C-0055</t>
        </is>
      </c>
      <c r="B3015" s="12" t="inlineStr">
        <is>
          <t>G</t>
        </is>
      </c>
      <c r="C3015" s="12" t="inlineStr">
        <is>
          <t>Carbon capture</t>
        </is>
      </c>
      <c r="D3015" s="12" t="inlineStr">
        <is>
          <t>Motor 5 of 6: control / local station</t>
        </is>
      </c>
      <c r="E3015" s="12" t="inlineStr"/>
      <c r="F3015" s="12" t="inlineStr">
        <is>
          <t>CCS MV switchgear building (VFDs)</t>
        </is>
      </c>
      <c r="G3015" s="12" t="inlineStr">
        <is>
          <t>CCS T-1</t>
        </is>
      </c>
      <c r="H3015" s="12" t="inlineStr">
        <is>
          <t>CCS T-1: 230/13.8 kV</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361</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G-C-0056</t>
        </is>
      </c>
      <c r="B3016" s="12" t="inlineStr">
        <is>
          <t>G</t>
        </is>
      </c>
      <c r="C3016" s="12" t="inlineStr">
        <is>
          <t>Carbon capture</t>
        </is>
      </c>
      <c r="D3016" s="12" t="inlineStr">
        <is>
          <t>Motor 6 of 6: control / local station</t>
        </is>
      </c>
      <c r="E3016" s="12" t="inlineStr"/>
      <c r="F3016" s="12" t="inlineStr">
        <is>
          <t>CCS MV switchgear building (VFDs)</t>
        </is>
      </c>
      <c r="G3016" s="12" t="inlineStr">
        <is>
          <t>CCS T-1</t>
        </is>
      </c>
      <c r="H3016" s="12" t="inlineStr">
        <is>
          <t>CCS T-1: 230/13.8 kV</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361</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G-C-0057</t>
        </is>
      </c>
      <c r="B3017" s="12" t="inlineStr">
        <is>
          <t>G</t>
        </is>
      </c>
      <c r="C3017" s="12" t="inlineStr">
        <is>
          <t>Carbon capture</t>
        </is>
      </c>
      <c r="D3017" s="12" t="inlineStr">
        <is>
          <t>Motor 1 of 6: control / local station</t>
        </is>
      </c>
      <c r="E3017" s="12" t="inlineStr"/>
      <c r="F3017" s="12" t="inlineStr">
        <is>
          <t>CCS MV switchgear building (VFDs)</t>
        </is>
      </c>
      <c r="G3017" s="12" t="inlineStr">
        <is>
          <t>CCS T-2</t>
        </is>
      </c>
      <c r="H3017" s="12" t="inlineStr">
        <is>
          <t>CCS T-2: 230/13.8 kV</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409</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G-C-0058</t>
        </is>
      </c>
      <c r="B3018" s="12" t="inlineStr">
        <is>
          <t>G</t>
        </is>
      </c>
      <c r="C3018" s="12" t="inlineStr">
        <is>
          <t>Carbon capture</t>
        </is>
      </c>
      <c r="D3018" s="12" t="inlineStr">
        <is>
          <t>Motor 2 of 6: control / local station</t>
        </is>
      </c>
      <c r="E3018" s="12" t="inlineStr"/>
      <c r="F3018" s="12" t="inlineStr">
        <is>
          <t>CCS MV switchgear building (VFDs)</t>
        </is>
      </c>
      <c r="G3018" s="12" t="inlineStr">
        <is>
          <t>CCS T-2</t>
        </is>
      </c>
      <c r="H3018" s="12" t="inlineStr">
        <is>
          <t>CCS T-2: 230/13.8 kV</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409</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G-C-0059</t>
        </is>
      </c>
      <c r="B3019" s="12" t="inlineStr">
        <is>
          <t>G</t>
        </is>
      </c>
      <c r="C3019" s="12" t="inlineStr">
        <is>
          <t>Carbon capture</t>
        </is>
      </c>
      <c r="D3019" s="12" t="inlineStr">
        <is>
          <t>Motor 3 of 6: control / local station</t>
        </is>
      </c>
      <c r="E3019" s="12" t="inlineStr"/>
      <c r="F3019" s="12" t="inlineStr">
        <is>
          <t>CCS MV switchgear building (VFDs)</t>
        </is>
      </c>
      <c r="G3019" s="12" t="inlineStr">
        <is>
          <t>CCS T-2</t>
        </is>
      </c>
      <c r="H3019" s="12" t="inlineStr">
        <is>
          <t>CCS T-2: 230/13.8 kV</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409</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G-C-0060</t>
        </is>
      </c>
      <c r="B3020" s="12" t="inlineStr">
        <is>
          <t>G</t>
        </is>
      </c>
      <c r="C3020" s="12" t="inlineStr">
        <is>
          <t>Carbon capture</t>
        </is>
      </c>
      <c r="D3020" s="12" t="inlineStr">
        <is>
          <t>Motor 4 of 6: control / local station</t>
        </is>
      </c>
      <c r="E3020" s="12" t="inlineStr"/>
      <c r="F3020" s="12" t="inlineStr">
        <is>
          <t>CCS MV switchgear building (VFDs)</t>
        </is>
      </c>
      <c r="G3020" s="12" t="inlineStr">
        <is>
          <t>CCS T-2</t>
        </is>
      </c>
      <c r="H3020" s="12" t="inlineStr">
        <is>
          <t>CCS T-2: 230/13.8 kV</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409</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G-C-0061</t>
        </is>
      </c>
      <c r="B3021" s="12" t="inlineStr">
        <is>
          <t>G</t>
        </is>
      </c>
      <c r="C3021" s="12" t="inlineStr">
        <is>
          <t>Carbon capture</t>
        </is>
      </c>
      <c r="D3021" s="12" t="inlineStr">
        <is>
          <t>Motor 5 of 6: control / local station</t>
        </is>
      </c>
      <c r="E3021" s="12" t="inlineStr"/>
      <c r="F3021" s="12" t="inlineStr">
        <is>
          <t>CCS MV switchgear building (VFDs)</t>
        </is>
      </c>
      <c r="G3021" s="12" t="inlineStr">
        <is>
          <t>CCS T-2</t>
        </is>
      </c>
      <c r="H3021" s="12" t="inlineStr">
        <is>
          <t>CCS T-2: 230/13.8 kV</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409</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G-C-0062</t>
        </is>
      </c>
      <c r="B3022" s="12" t="inlineStr">
        <is>
          <t>G</t>
        </is>
      </c>
      <c r="C3022" s="12" t="inlineStr">
        <is>
          <t>Carbon capture</t>
        </is>
      </c>
      <c r="D3022" s="12" t="inlineStr">
        <is>
          <t>Motor 6 of 6: control / local station</t>
        </is>
      </c>
      <c r="E3022" s="12" t="inlineStr"/>
      <c r="F3022" s="12" t="inlineStr">
        <is>
          <t>CCS MV switchgear building (VFDs)</t>
        </is>
      </c>
      <c r="G3022" s="12" t="inlineStr">
        <is>
          <t>CCS T-2</t>
        </is>
      </c>
      <c r="H3022" s="12" t="inlineStr">
        <is>
          <t>CCS T-2: 230/13.8 kV</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Duct bank</t>
        </is>
      </c>
      <c r="T3022" s="17" t="n">
        <v>409</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G-C-0063</t>
        </is>
      </c>
      <c r="B3023" s="12" t="inlineStr">
        <is>
          <t>G</t>
        </is>
      </c>
      <c r="C3023" s="12" t="inlineStr">
        <is>
          <t>Carbon capture</t>
        </is>
      </c>
      <c r="D3023" s="12" t="inlineStr">
        <is>
          <t>Motor 1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42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G-C-0064</t>
        </is>
      </c>
      <c r="B3024" s="12" t="inlineStr">
        <is>
          <t>G</t>
        </is>
      </c>
      <c r="C3024" s="12" t="inlineStr">
        <is>
          <t>Carbon capture</t>
        </is>
      </c>
      <c r="D3024" s="12" t="inlineStr">
        <is>
          <t>Motor 2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0</v>
      </c>
      <c r="U3024" s="17" t="n">
        <v>42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G-C-0065</t>
        </is>
      </c>
      <c r="B3025" s="12" t="inlineStr">
        <is>
          <t>G</t>
        </is>
      </c>
      <c r="C3025" s="12" t="inlineStr">
        <is>
          <t>Carbon capture</t>
        </is>
      </c>
      <c r="D3025" s="12" t="inlineStr">
        <is>
          <t>Motor 3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0</v>
      </c>
      <c r="U3025" s="17" t="n">
        <v>42</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G-C-0066</t>
        </is>
      </c>
      <c r="B3026" s="12" t="inlineStr">
        <is>
          <t>G</t>
        </is>
      </c>
      <c r="C3026" s="12" t="inlineStr">
        <is>
          <t>Carbon capture</t>
        </is>
      </c>
      <c r="D3026" s="12" t="inlineStr">
        <is>
          <t>Motor 4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42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G-C-0067</t>
        </is>
      </c>
      <c r="B3027" s="12" t="inlineStr">
        <is>
          <t>G</t>
        </is>
      </c>
      <c r="C3027" s="12" t="inlineStr">
        <is>
          <t>Carbon capture</t>
        </is>
      </c>
      <c r="D3027" s="12" t="inlineStr">
        <is>
          <t>Motor 5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0</v>
      </c>
      <c r="U3027" s="17" t="n">
        <v>42</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G-C-0068</t>
        </is>
      </c>
      <c r="B3028" s="12" t="inlineStr">
        <is>
          <t>G</t>
        </is>
      </c>
      <c r="C3028" s="12" t="inlineStr">
        <is>
          <t>Carbon capture</t>
        </is>
      </c>
      <c r="D3028" s="12" t="inlineStr">
        <is>
          <t>Motor 6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0</v>
      </c>
      <c r="U3028" s="17" t="n">
        <v>42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G-C-0069</t>
        </is>
      </c>
      <c r="B3029" s="12" t="inlineStr">
        <is>
          <t>G</t>
        </is>
      </c>
      <c r="C3029" s="12" t="inlineStr">
        <is>
          <t>Carbon capture</t>
        </is>
      </c>
      <c r="D3029" s="12" t="inlineStr">
        <is>
          <t>Motor 7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0</v>
      </c>
      <c r="U3029" s="17" t="n">
        <v>42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G-C-0070</t>
        </is>
      </c>
      <c r="B3030" s="12" t="inlineStr">
        <is>
          <t>G</t>
        </is>
      </c>
      <c r="C3030" s="12" t="inlineStr">
        <is>
          <t>Carbon capture</t>
        </is>
      </c>
      <c r="D3030" s="12" t="inlineStr">
        <is>
          <t>Motor 8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7" t="n">
        <v>0</v>
      </c>
      <c r="U3030" s="17" t="n">
        <v>42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G-C-0071</t>
        </is>
      </c>
      <c r="B3031" s="12" t="inlineStr">
        <is>
          <t>G</t>
        </is>
      </c>
      <c r="C3031" s="12" t="inlineStr">
        <is>
          <t>Carbon capture</t>
        </is>
      </c>
      <c r="D3031" s="12" t="inlineStr">
        <is>
          <t>Motor 9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7" t="n">
        <v>0</v>
      </c>
      <c r="U3031" s="17" t="n">
        <v>42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G-C-0072</t>
        </is>
      </c>
      <c r="B3032" s="12" t="inlineStr">
        <is>
          <t>G</t>
        </is>
      </c>
      <c r="C3032" s="12" t="inlineStr">
        <is>
          <t>Carbon capture</t>
        </is>
      </c>
      <c r="D3032" s="12" t="inlineStr">
        <is>
          <t>Motor 10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0</v>
      </c>
      <c r="U3032" s="17" t="n">
        <v>42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G-C-0073</t>
        </is>
      </c>
      <c r="B3033" s="12" t="inlineStr">
        <is>
          <t>G</t>
        </is>
      </c>
      <c r="C3033" s="12" t="inlineStr">
        <is>
          <t>Carbon capture</t>
        </is>
      </c>
      <c r="D3033" s="12" t="inlineStr">
        <is>
          <t>Motor 11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7" t="n">
        <v>0</v>
      </c>
      <c r="U3033" s="17" t="n">
        <v>42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G-C-0074</t>
        </is>
      </c>
      <c r="B3034" s="12" t="inlineStr">
        <is>
          <t>G</t>
        </is>
      </c>
      <c r="C3034" s="12" t="inlineStr">
        <is>
          <t>Carbon capture</t>
        </is>
      </c>
      <c r="D3034" s="12" t="inlineStr">
        <is>
          <t>Motor 12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7" t="n">
        <v>0</v>
      </c>
      <c r="U3034" s="17" t="n">
        <v>42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G-C-0075</t>
        </is>
      </c>
      <c r="B3035" s="12" t="inlineStr">
        <is>
          <t>G</t>
        </is>
      </c>
      <c r="C3035" s="12" t="inlineStr">
        <is>
          <t>Carbon capture</t>
        </is>
      </c>
      <c r="D3035" s="12" t="inlineStr">
        <is>
          <t>Motor 13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0</v>
      </c>
      <c r="U3035" s="17" t="n">
        <v>42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G-C-0076</t>
        </is>
      </c>
      <c r="B3036" s="12" t="inlineStr">
        <is>
          <t>G</t>
        </is>
      </c>
      <c r="C3036" s="12" t="inlineStr">
        <is>
          <t>Carbon capture</t>
        </is>
      </c>
      <c r="D3036" s="12" t="inlineStr">
        <is>
          <t>Motor 14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7" t="n">
        <v>0</v>
      </c>
      <c r="U3036" s="17" t="n">
        <v>42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G-C-0077</t>
        </is>
      </c>
      <c r="B3037" s="12" t="inlineStr">
        <is>
          <t>G</t>
        </is>
      </c>
      <c r="C3037" s="12" t="inlineStr">
        <is>
          <t>Carbon capture</t>
        </is>
      </c>
      <c r="D3037" s="12" t="inlineStr">
        <is>
          <t>Motor 15 of 30: control / local station</t>
        </is>
      </c>
      <c r="E3037" s="12" t="inlineStr"/>
      <c r="F3037" s="12" t="inlineStr">
        <is>
          <t>CT MCC / VFD e-house</t>
        </is>
      </c>
      <c r="G3037" s="12" t="inlineStr">
        <is>
          <t>CCS-CT</t>
        </is>
      </c>
      <c r="H3037" s="12" t="inlineStr">
        <is>
          <t>CCS cooling tower (~30 cells): CCS process cooling only</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7" t="n">
        <v>0</v>
      </c>
      <c r="U3037" s="17" t="n">
        <v>42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G-C-0078</t>
        </is>
      </c>
      <c r="B3038" s="12" t="inlineStr">
        <is>
          <t>G</t>
        </is>
      </c>
      <c r="C3038" s="12" t="inlineStr">
        <is>
          <t>Carbon capture</t>
        </is>
      </c>
      <c r="D3038" s="12" t="inlineStr">
        <is>
          <t>Motor 16 of 30: control / local station</t>
        </is>
      </c>
      <c r="E3038" s="12" t="inlineStr"/>
      <c r="F3038" s="12" t="inlineStr">
        <is>
          <t>CT MCC / VFD e-house</t>
        </is>
      </c>
      <c r="G3038" s="12" t="inlineStr">
        <is>
          <t>CCS-CT</t>
        </is>
      </c>
      <c r="H3038" s="12" t="inlineStr">
        <is>
          <t>CCS cooling tower (~30 cells): CCS process cooling only</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Tray</t>
        </is>
      </c>
      <c r="T3038" s="17" t="n">
        <v>0</v>
      </c>
      <c r="U3038" s="17" t="n">
        <v>42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G-C-0079</t>
        </is>
      </c>
      <c r="B3039" s="12" t="inlineStr">
        <is>
          <t>G</t>
        </is>
      </c>
      <c r="C3039" s="12" t="inlineStr">
        <is>
          <t>Carbon capture</t>
        </is>
      </c>
      <c r="D3039" s="12" t="inlineStr">
        <is>
          <t>Motor 17 of 30: control / local station</t>
        </is>
      </c>
      <c r="E3039" s="12" t="inlineStr"/>
      <c r="F3039" s="12" t="inlineStr">
        <is>
          <t>CT MCC / VFD e-house</t>
        </is>
      </c>
      <c r="G3039" s="12" t="inlineStr">
        <is>
          <t>CCS-CT</t>
        </is>
      </c>
      <c r="H3039" s="12" t="inlineStr">
        <is>
          <t>CCS cooling tower (~30 cells): CCS process cooling only</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Tray</t>
        </is>
      </c>
      <c r="T3039" s="17" t="n">
        <v>0</v>
      </c>
      <c r="U3039" s="17" t="n">
        <v>42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G-C-0080</t>
        </is>
      </c>
      <c r="B3040" s="12" t="inlineStr">
        <is>
          <t>G</t>
        </is>
      </c>
      <c r="C3040" s="12" t="inlineStr">
        <is>
          <t>Carbon capture</t>
        </is>
      </c>
      <c r="D3040" s="12" t="inlineStr">
        <is>
          <t>Motor 18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G-C-0081</t>
        </is>
      </c>
      <c r="B3041" s="12" t="inlineStr">
        <is>
          <t>G</t>
        </is>
      </c>
      <c r="C3041" s="12" t="inlineStr">
        <is>
          <t>Carbon capture</t>
        </is>
      </c>
      <c r="D3041" s="12" t="inlineStr">
        <is>
          <t>Motor 19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G-C-0082</t>
        </is>
      </c>
      <c r="B3042" s="12" t="inlineStr">
        <is>
          <t>G</t>
        </is>
      </c>
      <c r="C3042" s="12" t="inlineStr">
        <is>
          <t>Carbon capture</t>
        </is>
      </c>
      <c r="D3042" s="12" t="inlineStr">
        <is>
          <t>Motor 20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G-C-0083</t>
        </is>
      </c>
      <c r="B3043" s="12" t="inlineStr">
        <is>
          <t>G</t>
        </is>
      </c>
      <c r="C3043" s="12" t="inlineStr">
        <is>
          <t>Carbon capture</t>
        </is>
      </c>
      <c r="D3043" s="12" t="inlineStr">
        <is>
          <t>Motor 21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G-C-0084</t>
        </is>
      </c>
      <c r="B3044" s="12" t="inlineStr">
        <is>
          <t>G</t>
        </is>
      </c>
      <c r="C3044" s="12" t="inlineStr">
        <is>
          <t>Carbon capture</t>
        </is>
      </c>
      <c r="D3044" s="12" t="inlineStr">
        <is>
          <t>Motor 22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G-C-0085</t>
        </is>
      </c>
      <c r="B3045" s="12" t="inlineStr">
        <is>
          <t>G</t>
        </is>
      </c>
      <c r="C3045" s="12" t="inlineStr">
        <is>
          <t>Carbon capture</t>
        </is>
      </c>
      <c r="D3045" s="12" t="inlineStr">
        <is>
          <t>Motor 23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G-C-0086</t>
        </is>
      </c>
      <c r="B3046" s="12" t="inlineStr">
        <is>
          <t>G</t>
        </is>
      </c>
      <c r="C3046" s="12" t="inlineStr">
        <is>
          <t>Carbon capture</t>
        </is>
      </c>
      <c r="D3046" s="12" t="inlineStr">
        <is>
          <t>Motor 24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G-C-0087</t>
        </is>
      </c>
      <c r="B3047" s="12" t="inlineStr">
        <is>
          <t>G</t>
        </is>
      </c>
      <c r="C3047" s="12" t="inlineStr">
        <is>
          <t>Carbon capture</t>
        </is>
      </c>
      <c r="D3047" s="12" t="inlineStr">
        <is>
          <t>Motor 25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G-C-0088</t>
        </is>
      </c>
      <c r="B3048" s="12" t="inlineStr">
        <is>
          <t>G</t>
        </is>
      </c>
      <c r="C3048" s="12" t="inlineStr">
        <is>
          <t>Carbon capture</t>
        </is>
      </c>
      <c r="D3048" s="12" t="inlineStr">
        <is>
          <t>Motor 26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G-C-0089</t>
        </is>
      </c>
      <c r="B3049" s="12" t="inlineStr">
        <is>
          <t>G</t>
        </is>
      </c>
      <c r="C3049" s="12" t="inlineStr">
        <is>
          <t>Carbon capture</t>
        </is>
      </c>
      <c r="D3049" s="12" t="inlineStr">
        <is>
          <t>Motor 27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G-C-0090</t>
        </is>
      </c>
      <c r="B3050" s="12" t="inlineStr">
        <is>
          <t>G</t>
        </is>
      </c>
      <c r="C3050" s="12" t="inlineStr">
        <is>
          <t>Carbon capture</t>
        </is>
      </c>
      <c r="D3050" s="12" t="inlineStr">
        <is>
          <t>Motor 28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G-C-0091</t>
        </is>
      </c>
      <c r="B3051" s="12" t="inlineStr">
        <is>
          <t>G</t>
        </is>
      </c>
      <c r="C3051" s="12" t="inlineStr">
        <is>
          <t>Carbon capture</t>
        </is>
      </c>
      <c r="D3051" s="12" t="inlineStr">
        <is>
          <t>Motor 29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G-C-0092</t>
        </is>
      </c>
      <c r="B3052" s="12" t="inlineStr">
        <is>
          <t>G</t>
        </is>
      </c>
      <c r="C3052" s="12" t="inlineStr">
        <is>
          <t>Carbon capture</t>
        </is>
      </c>
      <c r="D3052" s="12" t="inlineStr">
        <is>
          <t>Motor 30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G-C-0093</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CCS instrument air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7" t="n">
        <v>206</v>
      </c>
      <c r="U3053" s="17" t="n">
        <v>51</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G-C-0094</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CCS instrument air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7" t="n">
        <v>206</v>
      </c>
      <c r="U3054" s="17" t="n">
        <v>51</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G-C-0095</t>
        </is>
      </c>
      <c r="B3055" s="12" t="inlineStr">
        <is>
          <t>G</t>
        </is>
      </c>
      <c r="C3055" s="12" t="inlineStr">
        <is>
          <t>Carbon capture</t>
        </is>
      </c>
      <c r="D3055" s="12" t="inlineStr">
        <is>
          <t>Motor 1 of 6: control / local station</t>
        </is>
      </c>
      <c r="E3055" s="12" t="inlineStr"/>
      <c r="F3055" s="12" t="inlineStr">
        <is>
          <t>CT MCC / VFD e-house</t>
        </is>
      </c>
      <c r="G3055" s="12" t="inlineStr"/>
      <c r="H3055" s="12" t="inlineStr">
        <is>
          <t>CCS wastewater (DCC + tower blowdown)</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7" t="n">
        <v>5</v>
      </c>
      <c r="U3055" s="17" t="n">
        <v>87</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G-C-0096</t>
        </is>
      </c>
      <c r="B3056" s="12" t="inlineStr">
        <is>
          <t>G</t>
        </is>
      </c>
      <c r="C3056" s="12" t="inlineStr">
        <is>
          <t>Carbon capture</t>
        </is>
      </c>
      <c r="D3056" s="12" t="inlineStr">
        <is>
          <t>Motor 2 of 6: control / local station</t>
        </is>
      </c>
      <c r="E3056" s="12" t="inlineStr"/>
      <c r="F3056" s="12" t="inlineStr">
        <is>
          <t>CT MCC / VFD e-house</t>
        </is>
      </c>
      <c r="G3056" s="12" t="inlineStr"/>
      <c r="H3056" s="12" t="inlineStr">
        <is>
          <t>CCS wastewater (DCC + tower blowdown)</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7" t="n">
        <v>5</v>
      </c>
      <c r="U3056" s="17" t="n">
        <v>87</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G-C-0097</t>
        </is>
      </c>
      <c r="B3057" s="12" t="inlineStr">
        <is>
          <t>G</t>
        </is>
      </c>
      <c r="C3057" s="12" t="inlineStr">
        <is>
          <t>Carbon capture</t>
        </is>
      </c>
      <c r="D3057" s="12" t="inlineStr">
        <is>
          <t>Motor 3 of 6: control / local station</t>
        </is>
      </c>
      <c r="E3057" s="12" t="inlineStr"/>
      <c r="F3057" s="12" t="inlineStr">
        <is>
          <t>CT MCC / VFD e-house</t>
        </is>
      </c>
      <c r="G3057" s="12" t="inlineStr"/>
      <c r="H3057" s="12" t="inlineStr">
        <is>
          <t>CCS wastewater (DCC + tower blowdown)</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7" t="n">
        <v>5</v>
      </c>
      <c r="U3057" s="17" t="n">
        <v>87</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G-C-0098</t>
        </is>
      </c>
      <c r="B3058" s="12" t="inlineStr">
        <is>
          <t>G</t>
        </is>
      </c>
      <c r="C3058" s="12" t="inlineStr">
        <is>
          <t>Carbon capture</t>
        </is>
      </c>
      <c r="D3058" s="12" t="inlineStr">
        <is>
          <t>Motor 4 of 6: control / local station</t>
        </is>
      </c>
      <c r="E3058" s="12" t="inlineStr"/>
      <c r="F3058" s="12" t="inlineStr">
        <is>
          <t>CT MCC / VFD e-house</t>
        </is>
      </c>
      <c r="G3058" s="12" t="inlineStr"/>
      <c r="H3058" s="12" t="inlineStr">
        <is>
          <t>CCS wastewater (DCC + tower blowdown)</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Duct bank</t>
        </is>
      </c>
      <c r="T3058" s="17" t="n">
        <v>5</v>
      </c>
      <c r="U3058" s="17" t="n">
        <v>87</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G-C-0099</t>
        </is>
      </c>
      <c r="B3059" s="12" t="inlineStr">
        <is>
          <t>G</t>
        </is>
      </c>
      <c r="C3059" s="12" t="inlineStr">
        <is>
          <t>Carbon capture</t>
        </is>
      </c>
      <c r="D3059" s="12" t="inlineStr">
        <is>
          <t>Motor 5 of 6: control / local station</t>
        </is>
      </c>
      <c r="E3059" s="12" t="inlineStr"/>
      <c r="F3059" s="12" t="inlineStr">
        <is>
          <t>CT MCC / VFD e-house</t>
        </is>
      </c>
      <c r="G3059" s="12" t="inlineStr"/>
      <c r="H3059" s="12" t="inlineStr">
        <is>
          <t>CCS wastewater (DCC + tower blowdown)</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Duct bank</t>
        </is>
      </c>
      <c r="T3059" s="17" t="n">
        <v>5</v>
      </c>
      <c r="U3059" s="17" t="n">
        <v>87</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G-C-0100</t>
        </is>
      </c>
      <c r="B3060" s="12" t="inlineStr">
        <is>
          <t>G</t>
        </is>
      </c>
      <c r="C3060" s="12" t="inlineStr">
        <is>
          <t>Carbon capture</t>
        </is>
      </c>
      <c r="D3060" s="12" t="inlineStr">
        <is>
          <t>Motor 6 of 6: control / local station</t>
        </is>
      </c>
      <c r="E3060" s="12" t="inlineStr"/>
      <c r="F3060" s="12" t="inlineStr">
        <is>
          <t>CT MCC / VFD e-house</t>
        </is>
      </c>
      <c r="G3060" s="12" t="inlineStr"/>
      <c r="H3060" s="12" t="inlineStr">
        <is>
          <t>CCS wastewater (DCC + tower blowdown)</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7" t="n">
        <v>5</v>
      </c>
      <c r="U3060" s="17" t="n">
        <v>87</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G-C-0101</t>
        </is>
      </c>
      <c r="B3061" s="12" t="inlineStr">
        <is>
          <t>G</t>
        </is>
      </c>
      <c r="C3061" s="12" t="inlineStr">
        <is>
          <t>Carbon capture</t>
        </is>
      </c>
      <c r="D3061" s="12" t="inlineStr">
        <is>
          <t>Motor 1 of 10: control / local station</t>
        </is>
      </c>
      <c r="E3061" s="12" t="inlineStr"/>
      <c r="F3061" s="12" t="inlineStr">
        <is>
          <t>CCS MV switchgear building (VFDs)</t>
        </is>
      </c>
      <c r="G3061" s="12" t="inlineStr"/>
      <c r="H3061" s="12" t="inlineStr">
        <is>
          <t>CO2 compression 3 x ~19 MW + dehydration</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7" t="n">
        <v>291</v>
      </c>
      <c r="U3061" s="17" t="n">
        <v>36</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G-C-0102</t>
        </is>
      </c>
      <c r="B3062" s="12" t="inlineStr">
        <is>
          <t>G</t>
        </is>
      </c>
      <c r="C3062" s="12" t="inlineStr">
        <is>
          <t>Carbon capture</t>
        </is>
      </c>
      <c r="D3062" s="12" t="inlineStr">
        <is>
          <t>Motor 2 of 10: control / local station</t>
        </is>
      </c>
      <c r="E3062" s="12" t="inlineStr"/>
      <c r="F3062" s="12" t="inlineStr">
        <is>
          <t>CCS MV switchgear building (VFDs)</t>
        </is>
      </c>
      <c r="G3062" s="12" t="inlineStr"/>
      <c r="H3062" s="12" t="inlineStr">
        <is>
          <t>CO2 compression 3 x ~19 MW + dehydration</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7" t="n">
        <v>291</v>
      </c>
      <c r="U3062" s="17" t="n">
        <v>36</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G-C-0103</t>
        </is>
      </c>
      <c r="B3063" s="12" t="inlineStr">
        <is>
          <t>G</t>
        </is>
      </c>
      <c r="C3063" s="12" t="inlineStr">
        <is>
          <t>Carbon capture</t>
        </is>
      </c>
      <c r="D3063" s="12" t="inlineStr">
        <is>
          <t>Motor 3 of 10: control / local station</t>
        </is>
      </c>
      <c r="E3063" s="12" t="inlineStr"/>
      <c r="F3063" s="12" t="inlineStr">
        <is>
          <t>CCS MV switchgear building (VFDs)</t>
        </is>
      </c>
      <c r="G3063" s="12" t="inlineStr"/>
      <c r="H3063" s="12" t="inlineStr">
        <is>
          <t>CO2 compression 3 x ~19 MW + dehydration</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7" t="n">
        <v>291</v>
      </c>
      <c r="U3063" s="17" t="n">
        <v>36</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G-C-0104</t>
        </is>
      </c>
      <c r="B3064" s="12" t="inlineStr">
        <is>
          <t>G</t>
        </is>
      </c>
      <c r="C3064" s="12" t="inlineStr">
        <is>
          <t>Carbon capture</t>
        </is>
      </c>
      <c r="D3064" s="12" t="inlineStr">
        <is>
          <t>Motor 4 of 10: control / local station</t>
        </is>
      </c>
      <c r="E3064" s="12" t="inlineStr"/>
      <c r="F3064" s="12" t="inlineStr">
        <is>
          <t>CCS MV switchgear building (VFDs)</t>
        </is>
      </c>
      <c r="G3064" s="12" t="inlineStr"/>
      <c r="H3064" s="12" t="inlineStr">
        <is>
          <t>CO2 compression 3 x ~19 MW + dehydration</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7" t="n">
        <v>291</v>
      </c>
      <c r="U3064" s="17" t="n">
        <v>36</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G-C-0105</t>
        </is>
      </c>
      <c r="B3065" s="12" t="inlineStr">
        <is>
          <t>G</t>
        </is>
      </c>
      <c r="C3065" s="12" t="inlineStr">
        <is>
          <t>Carbon capture</t>
        </is>
      </c>
      <c r="D3065" s="12" t="inlineStr">
        <is>
          <t>Motor 5 of 10: control / local station</t>
        </is>
      </c>
      <c r="E3065" s="12" t="inlineStr"/>
      <c r="F3065" s="12" t="inlineStr">
        <is>
          <t>CCS MV switchgear building (VFDs)</t>
        </is>
      </c>
      <c r="G3065" s="12" t="inlineStr"/>
      <c r="H3065" s="12" t="inlineStr">
        <is>
          <t>CO2 compression 3 x ~19 MW + dehydration</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7" t="n">
        <v>291</v>
      </c>
      <c r="U3065" s="17" t="n">
        <v>36</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G-C-0106</t>
        </is>
      </c>
      <c r="B3066" s="12" t="inlineStr">
        <is>
          <t>G</t>
        </is>
      </c>
      <c r="C3066" s="12" t="inlineStr">
        <is>
          <t>Carbon capture</t>
        </is>
      </c>
      <c r="D3066" s="12" t="inlineStr">
        <is>
          <t>Motor 6 of 10: control / local station</t>
        </is>
      </c>
      <c r="E3066" s="12" t="inlineStr"/>
      <c r="F3066" s="12" t="inlineStr">
        <is>
          <t>CCS MV switchgear building (VFDs)</t>
        </is>
      </c>
      <c r="G3066" s="12" t="inlineStr"/>
      <c r="H3066" s="12" t="inlineStr">
        <is>
          <t>CO2 compression 3 x ~19 MW + dehydration</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7" t="n">
        <v>291</v>
      </c>
      <c r="U3066" s="17" t="n">
        <v>36</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G-C-0107</t>
        </is>
      </c>
      <c r="B3067" s="12" t="inlineStr">
        <is>
          <t>G</t>
        </is>
      </c>
      <c r="C3067" s="12" t="inlineStr">
        <is>
          <t>Carbon capture</t>
        </is>
      </c>
      <c r="D3067" s="12" t="inlineStr">
        <is>
          <t>Motor 7 of 10: control / local station</t>
        </is>
      </c>
      <c r="E3067" s="12" t="inlineStr"/>
      <c r="F3067" s="12" t="inlineStr">
        <is>
          <t>CCS MV switchgear building (VFDs)</t>
        </is>
      </c>
      <c r="G3067" s="12" t="inlineStr"/>
      <c r="H3067" s="12" t="inlineStr">
        <is>
          <t>CO2 compression 3 x ~19 MW + dehydration</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7" t="n">
        <v>291</v>
      </c>
      <c r="U3067" s="17" t="n">
        <v>36</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G-C-0108</t>
        </is>
      </c>
      <c r="B3068" s="12" t="inlineStr">
        <is>
          <t>G</t>
        </is>
      </c>
      <c r="C3068" s="12" t="inlineStr">
        <is>
          <t>Carbon capture</t>
        </is>
      </c>
      <c r="D3068" s="12" t="inlineStr">
        <is>
          <t>Motor 8 of 10: control / local station</t>
        </is>
      </c>
      <c r="E3068" s="12" t="inlineStr"/>
      <c r="F3068" s="12" t="inlineStr">
        <is>
          <t>CCS MV switchgear building (VFDs)</t>
        </is>
      </c>
      <c r="G3068" s="12" t="inlineStr"/>
      <c r="H3068" s="12" t="inlineStr">
        <is>
          <t>CO2 compression 3 x ~19 MW + dehydration</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7" t="n">
        <v>291</v>
      </c>
      <c r="U3068" s="17" t="n">
        <v>36</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G-C-0109</t>
        </is>
      </c>
      <c r="B3069" s="12" t="inlineStr">
        <is>
          <t>G</t>
        </is>
      </c>
      <c r="C3069" s="12" t="inlineStr">
        <is>
          <t>Carbon capture</t>
        </is>
      </c>
      <c r="D3069" s="12" t="inlineStr">
        <is>
          <t>Motor 9 of 10: control / local station</t>
        </is>
      </c>
      <c r="E3069" s="12" t="inlineStr"/>
      <c r="F3069" s="12" t="inlineStr">
        <is>
          <t>CCS MV switchgear building (VFDs)</t>
        </is>
      </c>
      <c r="G3069" s="12" t="inlineStr"/>
      <c r="H3069" s="12" t="inlineStr">
        <is>
          <t>CO2 compression 3 x ~19 MW + dehydration</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7" t="n">
        <v>291</v>
      </c>
      <c r="U3069" s="17" t="n">
        <v>36</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G-C-0110</t>
        </is>
      </c>
      <c r="B3070" s="12" t="inlineStr">
        <is>
          <t>G</t>
        </is>
      </c>
      <c r="C3070" s="12" t="inlineStr">
        <is>
          <t>Carbon capture</t>
        </is>
      </c>
      <c r="D3070" s="12" t="inlineStr">
        <is>
          <t>Motor 10 of 10: control / local station</t>
        </is>
      </c>
      <c r="E3070" s="12" t="inlineStr"/>
      <c r="F3070" s="12" t="inlineStr">
        <is>
          <t>CCS MV switchgear building (VFDs)</t>
        </is>
      </c>
      <c r="G3070" s="12" t="inlineStr"/>
      <c r="H3070" s="12" t="inlineStr">
        <is>
          <t>CO2 compression 3 x ~19 MW + dehydration</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291</v>
      </c>
      <c r="U3070" s="17" t="n">
        <v>36</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G-C-0111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CO2 dehydration: molecular-sieve towers and regeneration heater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305</v>
      </c>
      <c r="U3071" s="17" t="n">
        <v>160</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G-C-0112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CO2 dehydration: molecular-sieve towers and regeneration heater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305</v>
      </c>
      <c r="U3072" s="17" t="n">
        <v>160</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G-C-0113</t>
        </is>
      </c>
      <c r="B3073" s="12" t="inlineStr">
        <is>
          <t>G</t>
        </is>
      </c>
      <c r="C3073" s="12" t="inlineStr">
        <is>
          <t>Carbon capture</t>
        </is>
      </c>
      <c r="D3073" s="12" t="inlineStr">
        <is>
          <t>Motor 1 of 1: control / local station</t>
        </is>
      </c>
      <c r="E3073" s="12" t="inlineStr"/>
      <c r="F3073" s="12" t="inlineStr">
        <is>
          <t>CCS MV switchgear building (VFDs)</t>
        </is>
      </c>
      <c r="G3073" s="12" t="inlineStr"/>
      <c r="H3073" s="12" t="inlineStr">
        <is>
          <t>CO2 dehydration: molecular-sieve towers and regeneration heater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305</v>
      </c>
      <c r="U3073" s="17" t="n">
        <v>160</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G-C-0114</t>
        </is>
      </c>
      <c r="B3074" s="12" t="inlineStr">
        <is>
          <t>G</t>
        </is>
      </c>
      <c r="C3074" s="12" t="inlineStr">
        <is>
          <t>Carbon capture</t>
        </is>
      </c>
      <c r="D3074" s="12" t="inlineStr">
        <is>
          <t>MOV 1: control</t>
        </is>
      </c>
      <c r="E3074" s="12" t="inlineStr"/>
      <c r="F3074" s="12" t="inlineStr">
        <is>
          <t>CCS MV switchgear building (VFDs)</t>
        </is>
      </c>
      <c r="G3074" s="12" t="inlineStr"/>
      <c r="H3074" s="12" t="inlineStr">
        <is>
          <t>CO2 dehydration: molecular-sieve towers and regeneration heater</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Duct bank</t>
        </is>
      </c>
      <c r="T3074" s="17" t="n">
        <v>305</v>
      </c>
      <c r="U3074" s="17" t="n">
        <v>160</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G-C-0115</t>
        </is>
      </c>
      <c r="B3075" s="12" t="inlineStr">
        <is>
          <t>G</t>
        </is>
      </c>
      <c r="C3075" s="12" t="inlineStr">
        <is>
          <t>Carbon capture</t>
        </is>
      </c>
      <c r="D3075" s="12" t="inlineStr">
        <is>
          <t>MOV 2: control</t>
        </is>
      </c>
      <c r="E3075" s="12" t="inlineStr"/>
      <c r="F3075" s="12" t="inlineStr">
        <is>
          <t>CCS MV switchgear building (VFDs)</t>
        </is>
      </c>
      <c r="G3075" s="12" t="inlineStr"/>
      <c r="H3075" s="12" t="inlineStr">
        <is>
          <t>CO2 dehydration: molecular-sieve towers and regeneration heater</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Duct bank</t>
        </is>
      </c>
      <c r="T3075" s="17" t="n">
        <v>305</v>
      </c>
      <c r="U3075" s="17" t="n">
        <v>160</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G-C-0116</t>
        </is>
      </c>
      <c r="B3076" s="12" t="inlineStr">
        <is>
          <t>G</t>
        </is>
      </c>
      <c r="C3076" s="12" t="inlineStr">
        <is>
          <t>Carbon capture</t>
        </is>
      </c>
      <c r="D3076" s="12" t="inlineStr">
        <is>
          <t>MOV 3: control</t>
        </is>
      </c>
      <c r="E3076" s="12" t="inlineStr"/>
      <c r="F3076" s="12" t="inlineStr">
        <is>
          <t>CCS MV switchgear building (VFDs)</t>
        </is>
      </c>
      <c r="G3076" s="12" t="inlineStr"/>
      <c r="H3076" s="12" t="inlineStr">
        <is>
          <t>CO2 dehydration: molecular-sieve towers and regeneration heater</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Duct bank</t>
        </is>
      </c>
      <c r="T3076" s="17" t="n">
        <v>305</v>
      </c>
      <c r="U3076" s="17" t="n">
        <v>160</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G-C-0117</t>
        </is>
      </c>
      <c r="B3077" s="12" t="inlineStr">
        <is>
          <t>G</t>
        </is>
      </c>
      <c r="C3077" s="12" t="inlineStr">
        <is>
          <t>Carbon capture</t>
        </is>
      </c>
      <c r="D3077" s="12" t="inlineStr">
        <is>
          <t>MOV 4: control</t>
        </is>
      </c>
      <c r="E3077" s="12" t="inlineStr"/>
      <c r="F3077" s="12" t="inlineStr">
        <is>
          <t>CCS MV switchgear building (VFDs)</t>
        </is>
      </c>
      <c r="G3077" s="12" t="inlineStr"/>
      <c r="H3077" s="12" t="inlineStr">
        <is>
          <t>CO2 dehydration: molecular-sieve towers and regeneration heater</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Duct bank</t>
        </is>
      </c>
      <c r="T3077" s="17" t="n">
        <v>305</v>
      </c>
      <c r="U3077" s="17" t="n">
        <v>160</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G-C-0118</t>
        </is>
      </c>
      <c r="B3078" s="12" t="inlineStr">
        <is>
          <t>G</t>
        </is>
      </c>
      <c r="C3078" s="12" t="inlineStr">
        <is>
          <t>Carbon capture</t>
        </is>
      </c>
      <c r="D3078" s="12" t="inlineStr">
        <is>
          <t>MOV 5: control</t>
        </is>
      </c>
      <c r="E3078" s="12" t="inlineStr"/>
      <c r="F3078" s="12" t="inlineStr">
        <is>
          <t>CCS MV switchgear building (VFDs)</t>
        </is>
      </c>
      <c r="G3078" s="12" t="inlineStr"/>
      <c r="H3078" s="12" t="inlineStr">
        <is>
          <t>CO2 dehydration: molecular-sieve towers and regeneration heater</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Duct bank</t>
        </is>
      </c>
      <c r="T3078" s="17" t="n">
        <v>305</v>
      </c>
      <c r="U3078" s="17" t="n">
        <v>160</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G-C-0119</t>
        </is>
      </c>
      <c r="B3079" s="12" t="inlineStr">
        <is>
          <t>G</t>
        </is>
      </c>
      <c r="C3079" s="12" t="inlineStr">
        <is>
          <t>Carbon capture</t>
        </is>
      </c>
      <c r="D3079" s="12" t="inlineStr">
        <is>
          <t>MOV 6: control</t>
        </is>
      </c>
      <c r="E3079" s="12" t="inlineStr"/>
      <c r="F3079" s="12" t="inlineStr">
        <is>
          <t>CCS MV switchgear building (VFDs)</t>
        </is>
      </c>
      <c r="G3079" s="12" t="inlineStr"/>
      <c r="H3079" s="12" t="inlineStr">
        <is>
          <t>CO2 dehydration: molecular-sieve towers and regeneration heater</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Duct bank</t>
        </is>
      </c>
      <c r="T3079" s="17" t="n">
        <v>305</v>
      </c>
      <c r="U3079" s="17" t="n">
        <v>160</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G-C-0120</t>
        </is>
      </c>
      <c r="B3080" s="12" t="inlineStr">
        <is>
          <t>G</t>
        </is>
      </c>
      <c r="C3080" s="12" t="inlineStr">
        <is>
          <t>Carbon capture</t>
        </is>
      </c>
      <c r="D3080" s="12" t="inlineStr">
        <is>
          <t>MOV 7: control</t>
        </is>
      </c>
      <c r="E3080" s="12" t="inlineStr"/>
      <c r="F3080" s="12" t="inlineStr">
        <is>
          <t>CCS MV switchgear building (VFDs)</t>
        </is>
      </c>
      <c r="G3080" s="12" t="inlineStr"/>
      <c r="H3080" s="12" t="inlineStr">
        <is>
          <t>CO2 dehydration: molecular-sieve towers and regeneration heater</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Duct bank</t>
        </is>
      </c>
      <c r="T3080" s="17" t="n">
        <v>305</v>
      </c>
      <c r="U3080" s="17" t="n">
        <v>160</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G-C-0121</t>
        </is>
      </c>
      <c r="B3081" s="12" t="inlineStr">
        <is>
          <t>G</t>
        </is>
      </c>
      <c r="C3081" s="12" t="inlineStr">
        <is>
          <t>Carbon capture</t>
        </is>
      </c>
      <c r="D3081" s="12" t="inlineStr">
        <is>
          <t>MOV 8: control</t>
        </is>
      </c>
      <c r="E3081" s="12" t="inlineStr"/>
      <c r="F3081" s="12" t="inlineStr">
        <is>
          <t>CCS MV switchgear building (VFDs)</t>
        </is>
      </c>
      <c r="G3081" s="12" t="inlineStr"/>
      <c r="H3081" s="12" t="inlineStr">
        <is>
          <t>CO2 dehydration: molecular-sieve towers and regeneration heater</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Duct bank</t>
        </is>
      </c>
      <c r="T3081" s="17" t="n">
        <v>305</v>
      </c>
      <c r="U3081" s="17" t="n">
        <v>160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G-C-0122</t>
        </is>
      </c>
      <c r="B3082" s="12" t="inlineStr">
        <is>
          <t>G</t>
        </is>
      </c>
      <c r="C3082" s="12" t="inlineStr">
        <is>
          <t>Carbon capture</t>
        </is>
      </c>
      <c r="D3082" s="12" t="inlineStr">
        <is>
          <t>MOV 9: control</t>
        </is>
      </c>
      <c r="E3082" s="12" t="inlineStr"/>
      <c r="F3082" s="12" t="inlineStr">
        <is>
          <t>CCS MV switchgear building (VFDs)</t>
        </is>
      </c>
      <c r="G3082" s="12" t="inlineStr"/>
      <c r="H3082" s="12" t="inlineStr">
        <is>
          <t>CO2 dehydration: molecular-sieve towers and regeneration heater</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Duct bank</t>
        </is>
      </c>
      <c r="T3082" s="17" t="n">
        <v>305</v>
      </c>
      <c r="U3082" s="17" t="n">
        <v>160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G-C-0123</t>
        </is>
      </c>
      <c r="B3083" s="12" t="inlineStr">
        <is>
          <t>G</t>
        </is>
      </c>
      <c r="C3083" s="12" t="inlineStr">
        <is>
          <t>Carbon capture</t>
        </is>
      </c>
      <c r="D3083" s="12" t="inlineStr">
        <is>
          <t>MOV 10: control</t>
        </is>
      </c>
      <c r="E3083" s="12" t="inlineStr"/>
      <c r="F3083" s="12" t="inlineStr">
        <is>
          <t>CCS MV switchgear building (VFDs)</t>
        </is>
      </c>
      <c r="G3083" s="12" t="inlineStr"/>
      <c r="H3083" s="12" t="inlineStr">
        <is>
          <t>CO2 dehydration: molecular-sieve towers and regeneration heater</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Duct bank</t>
        </is>
      </c>
      <c r="T3083" s="17" t="n">
        <v>305</v>
      </c>
      <c r="U3083" s="17" t="n">
        <v>160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G-C-0124</t>
        </is>
      </c>
      <c r="B3084" s="12" t="inlineStr">
        <is>
          <t>G</t>
        </is>
      </c>
      <c r="C3084" s="12" t="inlineStr">
        <is>
          <t>Carbon capture</t>
        </is>
      </c>
      <c r="D3084" s="12" t="inlineStr">
        <is>
          <t>MOV 11: control</t>
        </is>
      </c>
      <c r="E3084" s="12" t="inlineStr"/>
      <c r="F3084" s="12" t="inlineStr">
        <is>
          <t>CCS MV switchgear building (VFDs)</t>
        </is>
      </c>
      <c r="G3084" s="12" t="inlineStr"/>
      <c r="H3084" s="12" t="inlineStr">
        <is>
          <t>CO2 dehydration: molecular-sieve towers and regeneration heater</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7" t="n">
        <v>305</v>
      </c>
      <c r="U3084" s="17" t="n">
        <v>160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G-C-0125</t>
        </is>
      </c>
      <c r="B3085" s="12" t="inlineStr">
        <is>
          <t>G</t>
        </is>
      </c>
      <c r="C3085" s="12" t="inlineStr">
        <is>
          <t>Carbon capture</t>
        </is>
      </c>
      <c r="D3085" s="12" t="inlineStr">
        <is>
          <t>MOV 12: control</t>
        </is>
      </c>
      <c r="E3085" s="12" t="inlineStr"/>
      <c r="F3085" s="12" t="inlineStr">
        <is>
          <t>CCS MV switchgear building (VFDs)</t>
        </is>
      </c>
      <c r="G3085" s="12" t="inlineStr"/>
      <c r="H3085" s="12" t="inlineStr">
        <is>
          <t>CO2 dehydration: molecular-sieve towers and regeneration heater</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7" t="n">
        <v>305</v>
      </c>
      <c r="U3085" s="17" t="n">
        <v>160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G-C-0126</t>
        </is>
      </c>
      <c r="B3086" s="12" t="inlineStr">
        <is>
          <t>G</t>
        </is>
      </c>
      <c r="C3086" s="12" t="inlineStr">
        <is>
          <t>Carbon capture</t>
        </is>
      </c>
      <c r="D3086" s="12" t="inlineStr">
        <is>
          <t>Motor 1 of 4: control / local station</t>
        </is>
      </c>
      <c r="E3086" s="12" t="inlineStr"/>
      <c r="F3086" s="12" t="inlineStr">
        <is>
          <t>CCS MV switchgear building (VFDs)</t>
        </is>
      </c>
      <c r="G3086" s="12" t="inlineStr"/>
      <c r="H3086" s="12" t="inlineStr">
        <is>
          <t>CONDITIONAL: HP export compressor + metering</t>
        </is>
      </c>
      <c r="I3086" s="12" t="inlineStr">
        <is>
          <t>Control</t>
        </is>
      </c>
      <c r="J3086" s="12" t="inlineStr">
        <is>
          <t>ARMOR-X MC-HL 600 V control, Cu #14 AWG (Class I Div 2)</t>
        </is>
      </c>
      <c r="K3086" s="12" t="inlineStr">
        <is>
          <t>CTAX|7/C|14</t>
        </is>
      </c>
      <c r="L3086" s="12" t="inlineStr">
        <is>
          <t>7/C</t>
        </is>
      </c>
      <c r="M3086" s="12" t="inlineStr">
        <is>
          <t>14</t>
        </is>
      </c>
      <c r="N3086" s="12" t="n">
        <v>1</v>
      </c>
      <c r="O3086" s="12" t="n">
        <v>1</v>
      </c>
      <c r="P3086" s="12" t="n"/>
      <c r="Q3086" s="12" t="n"/>
      <c r="R3086" s="12" t="n"/>
      <c r="S3086" s="12" t="inlineStr">
        <is>
          <t>Duct bank</t>
        </is>
      </c>
      <c r="T3086" s="17" t="n">
        <v>303</v>
      </c>
      <c r="U3086" s="17" t="n">
        <v>34</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G-C-0127</t>
        </is>
      </c>
      <c r="B3087" s="12" t="inlineStr">
        <is>
          <t>G</t>
        </is>
      </c>
      <c r="C3087" s="12" t="inlineStr">
        <is>
          <t>Carbon capture</t>
        </is>
      </c>
      <c r="D3087" s="12" t="inlineStr">
        <is>
          <t>Motor 2 of 4: control / local station</t>
        </is>
      </c>
      <c r="E3087" s="12" t="inlineStr"/>
      <c r="F3087" s="12" t="inlineStr">
        <is>
          <t>CCS MV switchgear building (VFDs)</t>
        </is>
      </c>
      <c r="G3087" s="12" t="inlineStr"/>
      <c r="H3087" s="12" t="inlineStr">
        <is>
          <t>CONDITIONAL: HP export compressor + metering</t>
        </is>
      </c>
      <c r="I3087" s="12" t="inlineStr">
        <is>
          <t>Control</t>
        </is>
      </c>
      <c r="J3087" s="12" t="inlineStr">
        <is>
          <t>ARMOR-X MC-HL 600 V control, Cu #14 AWG (Class I Div 2)</t>
        </is>
      </c>
      <c r="K3087" s="12" t="inlineStr">
        <is>
          <t>CTAX|7/C|14</t>
        </is>
      </c>
      <c r="L3087" s="12" t="inlineStr">
        <is>
          <t>7/C</t>
        </is>
      </c>
      <c r="M3087" s="12" t="inlineStr">
        <is>
          <t>14</t>
        </is>
      </c>
      <c r="N3087" s="12" t="n">
        <v>1</v>
      </c>
      <c r="O3087" s="12" t="n">
        <v>1</v>
      </c>
      <c r="P3087" s="12" t="n"/>
      <c r="Q3087" s="12" t="n"/>
      <c r="R3087" s="12" t="n"/>
      <c r="S3087" s="12" t="inlineStr">
        <is>
          <t>Duct bank</t>
        </is>
      </c>
      <c r="T3087" s="17" t="n">
        <v>303</v>
      </c>
      <c r="U3087" s="17" t="n">
        <v>34</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G-C-0128</t>
        </is>
      </c>
      <c r="B3088" s="12" t="inlineStr">
        <is>
          <t>G</t>
        </is>
      </c>
      <c r="C3088" s="12" t="inlineStr">
        <is>
          <t>Carbon capture</t>
        </is>
      </c>
      <c r="D3088" s="12" t="inlineStr">
        <is>
          <t>Motor 3 of 4: control / local station</t>
        </is>
      </c>
      <c r="E3088" s="12" t="inlineStr"/>
      <c r="F3088" s="12" t="inlineStr">
        <is>
          <t>CCS MV switchgear building (VFDs)</t>
        </is>
      </c>
      <c r="G3088" s="12" t="inlineStr"/>
      <c r="H3088" s="12" t="inlineStr">
        <is>
          <t>CONDITIONAL: HP export compressor + metering</t>
        </is>
      </c>
      <c r="I3088" s="12" t="inlineStr">
        <is>
          <t>Control</t>
        </is>
      </c>
      <c r="J3088" s="12" t="inlineStr">
        <is>
          <t>ARMOR-X MC-HL 600 V control, Cu #14 AWG (Class I Div 2)</t>
        </is>
      </c>
      <c r="K3088" s="12" t="inlineStr">
        <is>
          <t>CTAX|7/C|14</t>
        </is>
      </c>
      <c r="L3088" s="12" t="inlineStr">
        <is>
          <t>7/C</t>
        </is>
      </c>
      <c r="M3088" s="12" t="inlineStr">
        <is>
          <t>14</t>
        </is>
      </c>
      <c r="N3088" s="12" t="n">
        <v>1</v>
      </c>
      <c r="O3088" s="12" t="n">
        <v>1</v>
      </c>
      <c r="P3088" s="12" t="n"/>
      <c r="Q3088" s="12" t="n"/>
      <c r="R3088" s="12" t="n"/>
      <c r="S3088" s="12" t="inlineStr">
        <is>
          <t>Duct bank</t>
        </is>
      </c>
      <c r="T3088" s="17" t="n">
        <v>303</v>
      </c>
      <c r="U3088" s="17" t="n">
        <v>34</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G-C-0129</t>
        </is>
      </c>
      <c r="B3089" s="12" t="inlineStr">
        <is>
          <t>G</t>
        </is>
      </c>
      <c r="C3089" s="12" t="inlineStr">
        <is>
          <t>Carbon capture</t>
        </is>
      </c>
      <c r="D3089" s="12" t="inlineStr">
        <is>
          <t>Motor 4 of 4: control / local station</t>
        </is>
      </c>
      <c r="E3089" s="12" t="inlineStr"/>
      <c r="F3089" s="12" t="inlineStr">
        <is>
          <t>CCS MV switchgear building (VFDs)</t>
        </is>
      </c>
      <c r="G3089" s="12" t="inlineStr"/>
      <c r="H3089" s="12" t="inlineStr">
        <is>
          <t>CONDITIONAL: HP export compressor + metering</t>
        </is>
      </c>
      <c r="I3089" s="12" t="inlineStr">
        <is>
          <t>Control</t>
        </is>
      </c>
      <c r="J3089" s="12" t="inlineStr">
        <is>
          <t>ARMOR-X MC-HL 600 V control, Cu #14 AWG (Class I Div 2)</t>
        </is>
      </c>
      <c r="K3089" s="12" t="inlineStr">
        <is>
          <t>CTAX|7/C|14</t>
        </is>
      </c>
      <c r="L3089" s="12" t="inlineStr">
        <is>
          <t>7/C</t>
        </is>
      </c>
      <c r="M3089" s="12" t="inlineStr">
        <is>
          <t>14</t>
        </is>
      </c>
      <c r="N3089" s="12" t="n">
        <v>1</v>
      </c>
      <c r="O3089" s="12" t="n">
        <v>1</v>
      </c>
      <c r="P3089" s="12" t="n"/>
      <c r="Q3089" s="12" t="n"/>
      <c r="R3089" s="12" t="n"/>
      <c r="S3089" s="12" t="inlineStr">
        <is>
          <t>Duct bank</t>
        </is>
      </c>
      <c r="T3089" s="17" t="n">
        <v>303</v>
      </c>
      <c r="U3089" s="17" t="n">
        <v>34</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G-C-0130</t>
        </is>
      </c>
      <c r="B3090" s="12" t="inlineStr">
        <is>
          <t>G</t>
        </is>
      </c>
      <c r="C3090" s="12" t="inlineStr">
        <is>
          <t>Carbon capture</t>
        </is>
      </c>
      <c r="D3090" s="12" t="inlineStr">
        <is>
          <t>Motor 1 of 2: control / local station</t>
        </is>
      </c>
      <c r="E3090" s="12" t="inlineStr"/>
      <c r="F3090" s="12" t="inlineStr">
        <is>
          <t>CCS MV switchgear building (VFDs)</t>
        </is>
      </c>
      <c r="G3090" s="12" t="inlineStr"/>
      <c r="H3090" s="12" t="inlineStr">
        <is>
          <t>DCC-A pumps + water filter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7" t="n">
        <v>515</v>
      </c>
      <c r="U3090" s="17" t="n">
        <v>164</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G-C-0131</t>
        </is>
      </c>
      <c r="B3091" s="12" t="inlineStr">
        <is>
          <t>G</t>
        </is>
      </c>
      <c r="C3091" s="12" t="inlineStr">
        <is>
          <t>Carbon capture</t>
        </is>
      </c>
      <c r="D3091" s="12" t="inlineStr">
        <is>
          <t>Motor 2 of 2: control / local station</t>
        </is>
      </c>
      <c r="E3091" s="12" t="inlineStr"/>
      <c r="F3091" s="12" t="inlineStr">
        <is>
          <t>CCS MV switchgear building (VFDs)</t>
        </is>
      </c>
      <c r="G3091" s="12" t="inlineStr"/>
      <c r="H3091" s="12" t="inlineStr">
        <is>
          <t>DCC-A pumps + water filter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515</v>
      </c>
      <c r="U3091" s="17" t="n">
        <v>164</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G-C-0132</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DCC-B pumps + water filter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415</v>
      </c>
      <c r="U3092" s="17" t="n">
        <v>122</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G-C-0133</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DCC-B pumps + water filter</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7" t="n">
        <v>415</v>
      </c>
      <c r="U3093" s="17" t="n">
        <v>122</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G-C-0134</t>
        </is>
      </c>
      <c r="B3094" s="12" t="inlineStr">
        <is>
          <t>G</t>
        </is>
      </c>
      <c r="C3094" s="12" t="inlineStr">
        <is>
          <t>Carbon capture</t>
        </is>
      </c>
      <c r="D3094" s="12" t="inlineStr">
        <is>
          <t>Motor 1 of 2: control / local station</t>
        </is>
      </c>
      <c r="E3094" s="12" t="inlineStr"/>
      <c r="F3094" s="12" t="inlineStr">
        <is>
          <t>CCS MV switchgear building (VFDs)</t>
        </is>
      </c>
      <c r="G3094" s="12" t="inlineStr"/>
      <c r="H3094" s="12" t="inlineStr">
        <is>
          <t>DCC-C pumps + water filter</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7" t="n">
        <v>195</v>
      </c>
      <c r="U3094" s="17" t="n">
        <v>164</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G-C-0135</t>
        </is>
      </c>
      <c r="B3095" s="12" t="inlineStr">
        <is>
          <t>G</t>
        </is>
      </c>
      <c r="C3095" s="12" t="inlineStr">
        <is>
          <t>Carbon capture</t>
        </is>
      </c>
      <c r="D3095" s="12" t="inlineStr">
        <is>
          <t>Motor 2 of 2: control / local station</t>
        </is>
      </c>
      <c r="E3095" s="12" t="inlineStr"/>
      <c r="F3095" s="12" t="inlineStr">
        <is>
          <t>CCS MV switchgear building (VFDs)</t>
        </is>
      </c>
      <c r="G3095" s="12" t="inlineStr"/>
      <c r="H3095" s="12" t="inlineStr">
        <is>
          <t>DCC-C pumps + water filter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7" t="n">
        <v>195</v>
      </c>
      <c r="U3095" s="17" t="n">
        <v>164</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G-C-0136</t>
        </is>
      </c>
      <c r="B3096" s="12" t="inlineStr">
        <is>
          <t>G</t>
        </is>
      </c>
      <c r="C3096" s="12" t="inlineStr">
        <is>
          <t>Carbon capture</t>
        </is>
      </c>
      <c r="D3096" s="12" t="inlineStr">
        <is>
          <t>Motor 1 of 2: control / local station</t>
        </is>
      </c>
      <c r="E3096" s="12" t="inlineStr"/>
      <c r="F3096" s="12" t="inlineStr">
        <is>
          <t>CCS MV switchgear building (VFDs)</t>
        </is>
      </c>
      <c r="G3096" s="12" t="inlineStr">
        <is>
          <t>DMP-A</t>
        </is>
      </c>
      <c r="H3096" s="12" t="inlineStr">
        <is>
          <t>DMP-A: diverter / bypass damper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7" t="n">
        <v>1436</v>
      </c>
      <c r="U3096" s="17" t="n">
        <v>124</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G-C-0137</t>
        </is>
      </c>
      <c r="B3097" s="12" t="inlineStr">
        <is>
          <t>G</t>
        </is>
      </c>
      <c r="C3097" s="12" t="inlineStr">
        <is>
          <t>Carbon capture</t>
        </is>
      </c>
      <c r="D3097" s="12" t="inlineStr">
        <is>
          <t>Motor 2 of 2: control / local station</t>
        </is>
      </c>
      <c r="E3097" s="12" t="inlineStr"/>
      <c r="F3097" s="12" t="inlineStr">
        <is>
          <t>CCS MV switchgear building (VFDs)</t>
        </is>
      </c>
      <c r="G3097" s="12" t="inlineStr">
        <is>
          <t>DMP-A</t>
        </is>
      </c>
      <c r="H3097" s="12" t="inlineStr">
        <is>
          <t>DMP-A: diverter / bypass damper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7" t="n">
        <v>1436</v>
      </c>
      <c r="U3097" s="17" t="n">
        <v>124</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G-C-0138</t>
        </is>
      </c>
      <c r="B3098" s="12" t="inlineStr">
        <is>
          <t>G</t>
        </is>
      </c>
      <c r="C3098" s="12" t="inlineStr">
        <is>
          <t>Carbon capture</t>
        </is>
      </c>
      <c r="D3098" s="12" t="inlineStr">
        <is>
          <t>Motor 1 of 2: control / local station</t>
        </is>
      </c>
      <c r="E3098" s="12" t="inlineStr"/>
      <c r="F3098" s="12" t="inlineStr">
        <is>
          <t>CCS MV switchgear building (VFDs)</t>
        </is>
      </c>
      <c r="G3098" s="12" t="inlineStr">
        <is>
          <t>DMP-B</t>
        </is>
      </c>
      <c r="H3098" s="12" t="inlineStr">
        <is>
          <t>DMP-B: diverter / bypass damper</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7" t="n">
        <v>1280</v>
      </c>
      <c r="U3098" s="17" t="n">
        <v>120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G-C-0139</t>
        </is>
      </c>
      <c r="B3099" s="12" t="inlineStr">
        <is>
          <t>G</t>
        </is>
      </c>
      <c r="C3099" s="12" t="inlineStr">
        <is>
          <t>Carbon capture</t>
        </is>
      </c>
      <c r="D3099" s="12" t="inlineStr">
        <is>
          <t>Motor 2 of 2: control / local station</t>
        </is>
      </c>
      <c r="E3099" s="12" t="inlineStr"/>
      <c r="F3099" s="12" t="inlineStr">
        <is>
          <t>CCS MV switchgear building (VFDs)</t>
        </is>
      </c>
      <c r="G3099" s="12" t="inlineStr">
        <is>
          <t>DMP-B</t>
        </is>
      </c>
      <c r="H3099" s="12" t="inlineStr">
        <is>
          <t>DMP-B: diverter / bypass damper</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7" t="n">
        <v>1280</v>
      </c>
      <c r="U3099" s="17" t="n">
        <v>120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G-C-0140</t>
        </is>
      </c>
      <c r="B3100" s="12" t="inlineStr">
        <is>
          <t>G</t>
        </is>
      </c>
      <c r="C3100" s="12" t="inlineStr">
        <is>
          <t>Carbon capture</t>
        </is>
      </c>
      <c r="D3100" s="12" t="inlineStr">
        <is>
          <t>Motor 1 of 2: control / local station</t>
        </is>
      </c>
      <c r="E3100" s="12" t="inlineStr"/>
      <c r="F3100" s="12" t="inlineStr">
        <is>
          <t>CCS MV switchgear building (VFDs)</t>
        </is>
      </c>
      <c r="G3100" s="12" t="inlineStr">
        <is>
          <t>DMP-C</t>
        </is>
      </c>
      <c r="H3100" s="12" t="inlineStr">
        <is>
          <t>DMP-C: diverter / bypass damper</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7" t="n">
        <v>1116</v>
      </c>
      <c r="U3100" s="17" t="n">
        <v>124</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G-C-0141</t>
        </is>
      </c>
      <c r="B3101" s="12" t="inlineStr">
        <is>
          <t>G</t>
        </is>
      </c>
      <c r="C3101" s="12" t="inlineStr">
        <is>
          <t>Carbon capture</t>
        </is>
      </c>
      <c r="D3101" s="12" t="inlineStr">
        <is>
          <t>Motor 2 of 2: control / local station</t>
        </is>
      </c>
      <c r="E3101" s="12" t="inlineStr"/>
      <c r="F3101" s="12" t="inlineStr">
        <is>
          <t>CCS MV switchgear building (VFDs)</t>
        </is>
      </c>
      <c r="G3101" s="12" t="inlineStr">
        <is>
          <t>DMP-C</t>
        </is>
      </c>
      <c r="H3101" s="12" t="inlineStr">
        <is>
          <t>DMP-C: diverter / bypass damper</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7" t="n">
        <v>1116</v>
      </c>
      <c r="U3101" s="17" t="n">
        <v>124</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G-C-0142</t>
        </is>
      </c>
      <c r="B3102" s="12" t="inlineStr">
        <is>
          <t>G</t>
        </is>
      </c>
      <c r="C3102" s="12" t="inlineStr">
        <is>
          <t>Carbon capture</t>
        </is>
      </c>
      <c r="D3102" s="12" t="inlineStr">
        <is>
          <t>MOV 1: control</t>
        </is>
      </c>
      <c r="E3102" s="12" t="inlineStr"/>
      <c r="F3102" s="12" t="inlineStr">
        <is>
          <t>CCS MV switchgear building (VFDs)</t>
        </is>
      </c>
      <c r="G3102" s="12" t="inlineStr"/>
      <c r="H3102" s="12" t="inlineStr">
        <is>
          <t>RB-A: reboiler (LP steam from ST extraction)</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50</v>
      </c>
      <c r="U3102" s="17" t="n">
        <v>37</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G-C-0143</t>
        </is>
      </c>
      <c r="B3103" s="12" t="inlineStr">
        <is>
          <t>G</t>
        </is>
      </c>
      <c r="C3103" s="12" t="inlineStr">
        <is>
          <t>Carbon capture</t>
        </is>
      </c>
      <c r="D3103" s="12" t="inlineStr">
        <is>
          <t>MOV 2: control</t>
        </is>
      </c>
      <c r="E3103" s="12" t="inlineStr"/>
      <c r="F3103" s="12" t="inlineStr">
        <is>
          <t>CCS MV switchgear building (VFDs)</t>
        </is>
      </c>
      <c r="G3103" s="12" t="inlineStr"/>
      <c r="H3103" s="12" t="inlineStr">
        <is>
          <t>RB-A: reboiler (LP steam from ST extraction)</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7" t="n">
        <v>50</v>
      </c>
      <c r="U3103" s="17" t="n">
        <v>37</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G-C-0144</t>
        </is>
      </c>
      <c r="B3104" s="12" t="inlineStr">
        <is>
          <t>G</t>
        </is>
      </c>
      <c r="C3104" s="12" t="inlineStr">
        <is>
          <t>Carbon capture</t>
        </is>
      </c>
      <c r="D3104" s="12" t="inlineStr">
        <is>
          <t>MOV 3: control</t>
        </is>
      </c>
      <c r="E3104" s="12" t="inlineStr"/>
      <c r="F3104" s="12" t="inlineStr">
        <is>
          <t>CCS MV switchgear building (VFDs)</t>
        </is>
      </c>
      <c r="G3104" s="12" t="inlineStr"/>
      <c r="H3104" s="12" t="inlineStr">
        <is>
          <t>RB-A: reboiler (LP steam from ST extraction)</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7" t="n">
        <v>50</v>
      </c>
      <c r="U3104" s="17" t="n">
        <v>37</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G-C-0145</t>
        </is>
      </c>
      <c r="B3105" s="12" t="inlineStr">
        <is>
          <t>G</t>
        </is>
      </c>
      <c r="C3105" s="12" t="inlineStr">
        <is>
          <t>Carbon capture</t>
        </is>
      </c>
      <c r="D3105" s="12" t="inlineStr">
        <is>
          <t>MOV 4: control</t>
        </is>
      </c>
      <c r="E3105" s="12" t="inlineStr"/>
      <c r="F3105" s="12" t="inlineStr">
        <is>
          <t>CCS MV switchgear building (VFDs)</t>
        </is>
      </c>
      <c r="G3105" s="12" t="inlineStr"/>
      <c r="H3105" s="12" t="inlineStr">
        <is>
          <t>RB-A: reboiler (LP steam from ST extraction)</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7" t="n">
        <v>50</v>
      </c>
      <c r="U3105" s="17" t="n">
        <v>37</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G-C-0146</t>
        </is>
      </c>
      <c r="B3106" s="12" t="inlineStr">
        <is>
          <t>G</t>
        </is>
      </c>
      <c r="C3106" s="12" t="inlineStr">
        <is>
          <t>Carbon capture</t>
        </is>
      </c>
      <c r="D3106" s="12" t="inlineStr">
        <is>
          <t>MOV 1: control</t>
        </is>
      </c>
      <c r="E3106" s="12" t="inlineStr"/>
      <c r="F3106" s="12" t="inlineStr">
        <is>
          <t>CCS MV switchgear building (VFDs)</t>
        </is>
      </c>
      <c r="G3106" s="12" t="inlineStr"/>
      <c r="H3106" s="12" t="inlineStr">
        <is>
          <t>RB-B: reboiler (LP steam from ST extraction)</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7" t="n">
        <v>83</v>
      </c>
      <c r="U3106" s="17" t="n">
        <v>42</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G-C-0147</t>
        </is>
      </c>
      <c r="B3107" s="12" t="inlineStr">
        <is>
          <t>G</t>
        </is>
      </c>
      <c r="C3107" s="12" t="inlineStr">
        <is>
          <t>Carbon capture</t>
        </is>
      </c>
      <c r="D3107" s="12" t="inlineStr">
        <is>
          <t>MOV 2: control</t>
        </is>
      </c>
      <c r="E3107" s="12" t="inlineStr"/>
      <c r="F3107" s="12" t="inlineStr">
        <is>
          <t>CCS MV switchgear building (VFDs)</t>
        </is>
      </c>
      <c r="G3107" s="12" t="inlineStr"/>
      <c r="H3107" s="12" t="inlineStr">
        <is>
          <t>RB-B: reboiler (LP steam from ST extraction)</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7" t="n">
        <v>83</v>
      </c>
      <c r="U3107" s="17" t="n">
        <v>42</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G-C-0148</t>
        </is>
      </c>
      <c r="B3108" s="12" t="inlineStr">
        <is>
          <t>G</t>
        </is>
      </c>
      <c r="C3108" s="12" t="inlineStr">
        <is>
          <t>Carbon capture</t>
        </is>
      </c>
      <c r="D3108" s="12" t="inlineStr">
        <is>
          <t>MOV 3: control</t>
        </is>
      </c>
      <c r="E3108" s="12" t="inlineStr"/>
      <c r="F3108" s="12" t="inlineStr">
        <is>
          <t>CCS MV switchgear building (VFDs)</t>
        </is>
      </c>
      <c r="G3108" s="12" t="inlineStr"/>
      <c r="H3108" s="12" t="inlineStr">
        <is>
          <t>RB-B: reboiler (LP steam from ST extraction)</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7" t="n">
        <v>83</v>
      </c>
      <c r="U3108" s="17" t="n">
        <v>42</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G-C-0149</t>
        </is>
      </c>
      <c r="B3109" s="12" t="inlineStr">
        <is>
          <t>G</t>
        </is>
      </c>
      <c r="C3109" s="12" t="inlineStr">
        <is>
          <t>Carbon capture</t>
        </is>
      </c>
      <c r="D3109" s="12" t="inlineStr">
        <is>
          <t>MOV 4: control</t>
        </is>
      </c>
      <c r="E3109" s="12" t="inlineStr"/>
      <c r="F3109" s="12" t="inlineStr">
        <is>
          <t>CCS MV switchgear building (VFDs)</t>
        </is>
      </c>
      <c r="G3109" s="12" t="inlineStr"/>
      <c r="H3109" s="12" t="inlineStr">
        <is>
          <t>RB-B: reboiler (LP steam from ST extraction)</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7" t="n">
        <v>83</v>
      </c>
      <c r="U3109" s="17" t="n">
        <v>42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G-C-0150</t>
        </is>
      </c>
      <c r="B3110" s="12" t="inlineStr">
        <is>
          <t>G</t>
        </is>
      </c>
      <c r="C3110" s="12" t="inlineStr">
        <is>
          <t>Carbon capture</t>
        </is>
      </c>
      <c r="D3110" s="12" t="inlineStr">
        <is>
          <t>MOV 1: control</t>
        </is>
      </c>
      <c r="E3110" s="12" t="inlineStr"/>
      <c r="F3110" s="12" t="inlineStr">
        <is>
          <t>CCS MV switchgear building (VFDs)</t>
        </is>
      </c>
      <c r="G3110" s="12" t="inlineStr"/>
      <c r="H3110" s="12" t="inlineStr">
        <is>
          <t>RB-C: reboiler (LP steam from ST extraction)</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7" t="n">
        <v>45</v>
      </c>
      <c r="U3110" s="17" t="n">
        <v>47</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G-C-0151</t>
        </is>
      </c>
      <c r="B3111" s="12" t="inlineStr">
        <is>
          <t>G</t>
        </is>
      </c>
      <c r="C3111" s="12" t="inlineStr">
        <is>
          <t>Carbon capture</t>
        </is>
      </c>
      <c r="D3111" s="12" t="inlineStr">
        <is>
          <t>MOV 2: control</t>
        </is>
      </c>
      <c r="E3111" s="12" t="inlineStr"/>
      <c r="F3111" s="12" t="inlineStr">
        <is>
          <t>CCS MV switchgear building (VFDs)</t>
        </is>
      </c>
      <c r="G3111" s="12" t="inlineStr"/>
      <c r="H3111" s="12" t="inlineStr">
        <is>
          <t>RB-C: reboiler (LP steam from ST extraction)</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7" t="n">
        <v>45</v>
      </c>
      <c r="U3111" s="17" t="n">
        <v>47</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G-C-0152</t>
        </is>
      </c>
      <c r="B3112" s="12" t="inlineStr">
        <is>
          <t>G</t>
        </is>
      </c>
      <c r="C3112" s="12" t="inlineStr">
        <is>
          <t>Carbon capture</t>
        </is>
      </c>
      <c r="D3112" s="12" t="inlineStr">
        <is>
          <t>MOV 3: control</t>
        </is>
      </c>
      <c r="E3112" s="12" t="inlineStr"/>
      <c r="F3112" s="12" t="inlineStr">
        <is>
          <t>CCS MV switchgear building (VFDs)</t>
        </is>
      </c>
      <c r="G3112" s="12" t="inlineStr"/>
      <c r="H3112" s="12" t="inlineStr">
        <is>
          <t>RB-C: reboiler (LP steam from ST extraction)</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7" t="n">
        <v>45</v>
      </c>
      <c r="U3112" s="17" t="n">
        <v>47</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G-C-0153</t>
        </is>
      </c>
      <c r="B3113" s="12" t="inlineStr">
        <is>
          <t>G</t>
        </is>
      </c>
      <c r="C3113" s="12" t="inlineStr">
        <is>
          <t>Carbon capture</t>
        </is>
      </c>
      <c r="D3113" s="12" t="inlineStr">
        <is>
          <t>MOV 4: control</t>
        </is>
      </c>
      <c r="E3113" s="12" t="inlineStr"/>
      <c r="F3113" s="12" t="inlineStr">
        <is>
          <t>CCS MV switchgear building (VFDs)</t>
        </is>
      </c>
      <c r="G3113" s="12" t="inlineStr"/>
      <c r="H3113" s="12" t="inlineStr">
        <is>
          <t>RB-C: reboiler (LP steam from ST extraction)</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7" t="n">
        <v>45</v>
      </c>
      <c r="U3113" s="17" t="n">
        <v>47</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G-C-0154</t>
        </is>
      </c>
      <c r="B3114" s="12" t="inlineStr">
        <is>
          <t>G</t>
        </is>
      </c>
      <c r="C3114" s="12" t="inlineStr">
        <is>
          <t>Carbon capture</t>
        </is>
      </c>
      <c r="D3114" s="12" t="inlineStr">
        <is>
          <t>Motor 1 of 2: control / local station</t>
        </is>
      </c>
      <c r="E3114" s="12" t="inlineStr"/>
      <c r="F3114" s="12" t="inlineStr">
        <is>
          <t>CCS MV switchgear building (VFDs)</t>
        </is>
      </c>
      <c r="G3114" s="12" t="inlineStr"/>
      <c r="H3114" s="12" t="inlineStr">
        <is>
          <t>Reclaimer (thermal, intermittent)</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45</v>
      </c>
      <c r="U3114" s="17" t="n">
        <v>57</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G-C-0155</t>
        </is>
      </c>
      <c r="B3115" s="12" t="inlineStr">
        <is>
          <t>G</t>
        </is>
      </c>
      <c r="C3115" s="12" t="inlineStr">
        <is>
          <t>Carbon capture</t>
        </is>
      </c>
      <c r="D3115" s="12" t="inlineStr">
        <is>
          <t>Motor 2 of 2: control / local station</t>
        </is>
      </c>
      <c r="E3115" s="12" t="inlineStr"/>
      <c r="F3115" s="12" t="inlineStr">
        <is>
          <t>CCS MV switchgear building (VFDs)</t>
        </is>
      </c>
      <c r="G3115" s="12" t="inlineStr"/>
      <c r="H3115" s="12" t="inlineStr">
        <is>
          <t>Reclaimer (thermal, intermittent)</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45</v>
      </c>
      <c r="U3115" s="17" t="n">
        <v>57</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G-C-0156</t>
        </is>
      </c>
      <c r="B3116" s="12" t="inlineStr">
        <is>
          <t>G</t>
        </is>
      </c>
      <c r="C3116" s="12" t="inlineStr">
        <is>
          <t>Carbon capture</t>
        </is>
      </c>
      <c r="D3116" s="12" t="inlineStr">
        <is>
          <t>MOV 1: control</t>
        </is>
      </c>
      <c r="E3116" s="12" t="inlineStr"/>
      <c r="F3116" s="12" t="inlineStr">
        <is>
          <t>CCS MV switchgear building (VFDs)</t>
        </is>
      </c>
      <c r="G3116" s="12" t="inlineStr">
        <is>
          <t>STR-A</t>
        </is>
      </c>
      <c r="H3116" s="12" t="inlineStr">
        <is>
          <t>STR-A: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7" t="n">
        <v>146</v>
      </c>
      <c r="U3116" s="17" t="n">
        <v>36</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G-C-0157</t>
        </is>
      </c>
      <c r="B3117" s="12" t="inlineStr">
        <is>
          <t>G</t>
        </is>
      </c>
      <c r="C3117" s="12" t="inlineStr">
        <is>
          <t>Carbon capture</t>
        </is>
      </c>
      <c r="D3117" s="12" t="inlineStr">
        <is>
          <t>MOV 2: control</t>
        </is>
      </c>
      <c r="E3117" s="12" t="inlineStr"/>
      <c r="F3117" s="12" t="inlineStr">
        <is>
          <t>CCS MV switchgear building (VFDs)</t>
        </is>
      </c>
      <c r="G3117" s="12" t="inlineStr">
        <is>
          <t>STR-A</t>
        </is>
      </c>
      <c r="H3117" s="12" t="inlineStr">
        <is>
          <t>STR-A: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7" t="n">
        <v>146</v>
      </c>
      <c r="U3117" s="17" t="n">
        <v>36</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G-C-0158</t>
        </is>
      </c>
      <c r="B3118" s="12" t="inlineStr">
        <is>
          <t>G</t>
        </is>
      </c>
      <c r="C3118" s="12" t="inlineStr">
        <is>
          <t>Carbon capture</t>
        </is>
      </c>
      <c r="D3118" s="12" t="inlineStr">
        <is>
          <t>MOV 3: control</t>
        </is>
      </c>
      <c r="E3118" s="12" t="inlineStr"/>
      <c r="F3118" s="12" t="inlineStr">
        <is>
          <t>CCS MV switchgear building (VFDs)</t>
        </is>
      </c>
      <c r="G3118" s="12" t="inlineStr">
        <is>
          <t>STR-A</t>
        </is>
      </c>
      <c r="H3118" s="12" t="inlineStr">
        <is>
          <t>STR-A: stripper / regenerator (45 ft dia x 207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Duct bank</t>
        </is>
      </c>
      <c r="T3118" s="17" t="n">
        <v>146</v>
      </c>
      <c r="U3118" s="17" t="n">
        <v>36</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G-C-0159</t>
        </is>
      </c>
      <c r="B3119" s="12" t="inlineStr">
        <is>
          <t>G</t>
        </is>
      </c>
      <c r="C3119" s="12" t="inlineStr">
        <is>
          <t>Carbon capture</t>
        </is>
      </c>
      <c r="D3119" s="12" t="inlineStr">
        <is>
          <t>MOV 4: control</t>
        </is>
      </c>
      <c r="E3119" s="12" t="inlineStr"/>
      <c r="F3119" s="12" t="inlineStr">
        <is>
          <t>CCS MV switchgear building (VFDs)</t>
        </is>
      </c>
      <c r="G3119" s="12" t="inlineStr">
        <is>
          <t>STR-A</t>
        </is>
      </c>
      <c r="H3119" s="12" t="inlineStr">
        <is>
          <t>STR-A: stripper / regenerator (45 ft dia x 207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146</v>
      </c>
      <c r="U3119" s="17" t="n">
        <v>36</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G-C-0160</t>
        </is>
      </c>
      <c r="B3120" s="12" t="inlineStr">
        <is>
          <t>G</t>
        </is>
      </c>
      <c r="C3120" s="12" t="inlineStr">
        <is>
          <t>Carbon capture</t>
        </is>
      </c>
      <c r="D3120" s="12" t="inlineStr">
        <is>
          <t>MOV 5: control</t>
        </is>
      </c>
      <c r="E3120" s="12" t="inlineStr"/>
      <c r="F3120" s="12" t="inlineStr">
        <is>
          <t>CCS MV switchgear building (VFDs)</t>
        </is>
      </c>
      <c r="G3120" s="12" t="inlineStr">
        <is>
          <t>STR-A</t>
        </is>
      </c>
      <c r="H3120" s="12" t="inlineStr">
        <is>
          <t>STR-A: stripper / regenerator (45 ft dia x 207 ft)</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146</v>
      </c>
      <c r="U3120" s="17" t="n">
        <v>36</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G-C-0161</t>
        </is>
      </c>
      <c r="B3121" s="12" t="inlineStr">
        <is>
          <t>G</t>
        </is>
      </c>
      <c r="C3121" s="12" t="inlineStr">
        <is>
          <t>Carbon capture</t>
        </is>
      </c>
      <c r="D3121" s="12" t="inlineStr">
        <is>
          <t>MOV 6: control</t>
        </is>
      </c>
      <c r="E3121" s="12" t="inlineStr"/>
      <c r="F3121" s="12" t="inlineStr">
        <is>
          <t>CCS MV switchgear building (VFDs)</t>
        </is>
      </c>
      <c r="G3121" s="12" t="inlineStr">
        <is>
          <t>STR-A</t>
        </is>
      </c>
      <c r="H3121" s="12" t="inlineStr">
        <is>
          <t>STR-A: stripper / regenerator (45 ft dia x 207 ft)</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146</v>
      </c>
      <c r="U3121" s="17" t="n">
        <v>36</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G-C-0162</t>
        </is>
      </c>
      <c r="B3122" s="12" t="inlineStr">
        <is>
          <t>G</t>
        </is>
      </c>
      <c r="C3122" s="12" t="inlineStr">
        <is>
          <t>Carbon capture</t>
        </is>
      </c>
      <c r="D3122" s="12" t="inlineStr">
        <is>
          <t>MOV 1: control</t>
        </is>
      </c>
      <c r="E3122" s="12" t="inlineStr"/>
      <c r="F3122" s="12" t="inlineStr">
        <is>
          <t>CCS MV switchgear building (VFDs)</t>
        </is>
      </c>
      <c r="G3122" s="12" t="inlineStr">
        <is>
          <t>STR-B</t>
        </is>
      </c>
      <c r="H3122" s="12" t="inlineStr">
        <is>
          <t>STR-B: stripper / regenerator (45 ft dia x 207 ft)</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146</v>
      </c>
      <c r="U3122" s="17" t="n">
        <v>36</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G-C-0163</t>
        </is>
      </c>
      <c r="B3123" s="12" t="inlineStr">
        <is>
          <t>G</t>
        </is>
      </c>
      <c r="C3123" s="12" t="inlineStr">
        <is>
          <t>Carbon capture</t>
        </is>
      </c>
      <c r="D3123" s="12" t="inlineStr">
        <is>
          <t>MOV 2: control</t>
        </is>
      </c>
      <c r="E3123" s="12" t="inlineStr"/>
      <c r="F3123" s="12" t="inlineStr">
        <is>
          <t>CCS MV switchgear building (VFDs)</t>
        </is>
      </c>
      <c r="G3123" s="12" t="inlineStr">
        <is>
          <t>STR-B</t>
        </is>
      </c>
      <c r="H3123" s="12" t="inlineStr">
        <is>
          <t>STR-B: stripper / regenerator (45 ft dia x 207 ft)</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146</v>
      </c>
      <c r="U3123" s="17" t="n">
        <v>36</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G-C-0164</t>
        </is>
      </c>
      <c r="B3124" s="12" t="inlineStr">
        <is>
          <t>G</t>
        </is>
      </c>
      <c r="C3124" s="12" t="inlineStr">
        <is>
          <t>Carbon capture</t>
        </is>
      </c>
      <c r="D3124" s="12" t="inlineStr">
        <is>
          <t>MOV 3: control</t>
        </is>
      </c>
      <c r="E3124" s="12" t="inlineStr"/>
      <c r="F3124" s="12" t="inlineStr">
        <is>
          <t>CCS MV switchgear building (VFDs)</t>
        </is>
      </c>
      <c r="G3124" s="12" t="inlineStr">
        <is>
          <t>STR-B</t>
        </is>
      </c>
      <c r="H3124" s="12" t="inlineStr">
        <is>
          <t>STR-B: stripper / regenerator (45 ft dia x 207 ft)</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146</v>
      </c>
      <c r="U3124" s="17" t="n">
        <v>36</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G-C-0165</t>
        </is>
      </c>
      <c r="B3125" s="12" t="inlineStr">
        <is>
          <t>G</t>
        </is>
      </c>
      <c r="C3125" s="12" t="inlineStr">
        <is>
          <t>Carbon capture</t>
        </is>
      </c>
      <c r="D3125" s="12" t="inlineStr">
        <is>
          <t>MOV 4: control</t>
        </is>
      </c>
      <c r="E3125" s="12" t="inlineStr"/>
      <c r="F3125" s="12" t="inlineStr">
        <is>
          <t>CCS MV switchgear building (VFDs)</t>
        </is>
      </c>
      <c r="G3125" s="12" t="inlineStr">
        <is>
          <t>STR-B</t>
        </is>
      </c>
      <c r="H3125" s="12" t="inlineStr">
        <is>
          <t>STR-B: stripper / regenerator (45 ft dia x 207 ft)</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146</v>
      </c>
      <c r="U3125" s="17" t="n">
        <v>36</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G-C-0166</t>
        </is>
      </c>
      <c r="B3126" s="12" t="inlineStr">
        <is>
          <t>G</t>
        </is>
      </c>
      <c r="C3126" s="12" t="inlineStr">
        <is>
          <t>Carbon capture</t>
        </is>
      </c>
      <c r="D3126" s="12" t="inlineStr">
        <is>
          <t>MOV 5: control</t>
        </is>
      </c>
      <c r="E3126" s="12" t="inlineStr"/>
      <c r="F3126" s="12" t="inlineStr">
        <is>
          <t>CCS MV switchgear building (VFDs)</t>
        </is>
      </c>
      <c r="G3126" s="12" t="inlineStr">
        <is>
          <t>STR-B</t>
        </is>
      </c>
      <c r="H3126" s="12" t="inlineStr">
        <is>
          <t>STR-B: stripper / regenerator (45 ft dia x 207 ft)</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146</v>
      </c>
      <c r="U3126" s="17" t="n">
        <v>36</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G-C-0167</t>
        </is>
      </c>
      <c r="B3127" s="12" t="inlineStr">
        <is>
          <t>G</t>
        </is>
      </c>
      <c r="C3127" s="12" t="inlineStr">
        <is>
          <t>Carbon capture</t>
        </is>
      </c>
      <c r="D3127" s="12" t="inlineStr">
        <is>
          <t>MOV 6: control</t>
        </is>
      </c>
      <c r="E3127" s="12" t="inlineStr"/>
      <c r="F3127" s="12" t="inlineStr">
        <is>
          <t>CCS MV switchgear building (VFDs)</t>
        </is>
      </c>
      <c r="G3127" s="12" t="inlineStr">
        <is>
          <t>STR-B</t>
        </is>
      </c>
      <c r="H3127" s="12" t="inlineStr">
        <is>
          <t>STR-B: stripper / regenerator (45 ft dia x 207 ft)</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146</v>
      </c>
      <c r="U3127" s="17" t="n">
        <v>36</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G-C-0168</t>
        </is>
      </c>
      <c r="B3128" s="12" t="inlineStr">
        <is>
          <t>G</t>
        </is>
      </c>
      <c r="C3128" s="12" t="inlineStr">
        <is>
          <t>Carbon capture</t>
        </is>
      </c>
      <c r="D3128" s="12" t="inlineStr">
        <is>
          <t>MOV 1: control</t>
        </is>
      </c>
      <c r="E3128" s="12" t="inlineStr"/>
      <c r="F3128" s="12" t="inlineStr">
        <is>
          <t>CCS MV switchgear building (VFDs)</t>
        </is>
      </c>
      <c r="G3128" s="12" t="inlineStr">
        <is>
          <t>STR-C</t>
        </is>
      </c>
      <c r="H3128" s="12" t="inlineStr">
        <is>
          <t>STR-C: stripper / regenerator (45 ft dia x 207 ft)</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196</v>
      </c>
      <c r="U3128" s="17" t="n">
        <v>36</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G-C-0169</t>
        </is>
      </c>
      <c r="B3129" s="12" t="inlineStr">
        <is>
          <t>G</t>
        </is>
      </c>
      <c r="C3129" s="12" t="inlineStr">
        <is>
          <t>Carbon capture</t>
        </is>
      </c>
      <c r="D3129" s="12" t="inlineStr">
        <is>
          <t>MOV 2: control</t>
        </is>
      </c>
      <c r="E3129" s="12" t="inlineStr"/>
      <c r="F3129" s="12" t="inlineStr">
        <is>
          <t>CCS MV switchgear building (VFDs)</t>
        </is>
      </c>
      <c r="G3129" s="12" t="inlineStr">
        <is>
          <t>STR-C</t>
        </is>
      </c>
      <c r="H3129" s="12" t="inlineStr">
        <is>
          <t>STR-C: stripper / regenerator (45 ft dia x 207 ft)</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196</v>
      </c>
      <c r="U3129" s="17" t="n">
        <v>36</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G-C-0170</t>
        </is>
      </c>
      <c r="B3130" s="12" t="inlineStr">
        <is>
          <t>G</t>
        </is>
      </c>
      <c r="C3130" s="12" t="inlineStr">
        <is>
          <t>Carbon capture</t>
        </is>
      </c>
      <c r="D3130" s="12" t="inlineStr">
        <is>
          <t>MOV 3: control</t>
        </is>
      </c>
      <c r="E3130" s="12" t="inlineStr"/>
      <c r="F3130" s="12" t="inlineStr">
        <is>
          <t>CCS MV switchgear building (VFDs)</t>
        </is>
      </c>
      <c r="G3130" s="12" t="inlineStr">
        <is>
          <t>STR-C</t>
        </is>
      </c>
      <c r="H3130" s="12" t="inlineStr">
        <is>
          <t>STR-C: stripper / regenerator (45 ft dia x 207 ft)</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196</v>
      </c>
      <c r="U3130" s="17" t="n">
        <v>36</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G-C-0171</t>
        </is>
      </c>
      <c r="B3131" s="12" t="inlineStr">
        <is>
          <t>G</t>
        </is>
      </c>
      <c r="C3131" s="12" t="inlineStr">
        <is>
          <t>Carbon capture</t>
        </is>
      </c>
      <c r="D3131" s="12" t="inlineStr">
        <is>
          <t>MOV 4: control</t>
        </is>
      </c>
      <c r="E3131" s="12" t="inlineStr"/>
      <c r="F3131" s="12" t="inlineStr">
        <is>
          <t>CCS MV switchgear building (VFDs)</t>
        </is>
      </c>
      <c r="G3131" s="12" t="inlineStr">
        <is>
          <t>STR-C</t>
        </is>
      </c>
      <c r="H3131" s="12" t="inlineStr">
        <is>
          <t>STR-C: stripper / regenerator (45 ft dia x 207 ft)</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7" t="n">
        <v>196</v>
      </c>
      <c r="U3131" s="17" t="n">
        <v>36</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G-C-0172</t>
        </is>
      </c>
      <c r="B3132" s="12" t="inlineStr">
        <is>
          <t>G</t>
        </is>
      </c>
      <c r="C3132" s="12" t="inlineStr">
        <is>
          <t>Carbon capture</t>
        </is>
      </c>
      <c r="D3132" s="12" t="inlineStr">
        <is>
          <t>MOV 5: control</t>
        </is>
      </c>
      <c r="E3132" s="12" t="inlineStr"/>
      <c r="F3132" s="12" t="inlineStr">
        <is>
          <t>CCS MV switchgear building (VFDs)</t>
        </is>
      </c>
      <c r="G3132" s="12" t="inlineStr">
        <is>
          <t>STR-C</t>
        </is>
      </c>
      <c r="H3132" s="12" t="inlineStr">
        <is>
          <t>STR-C: stripper / regenerator (45 ft dia x 207 ft)</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7" t="n">
        <v>196</v>
      </c>
      <c r="U3132" s="17" t="n">
        <v>36</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G-C-0173</t>
        </is>
      </c>
      <c r="B3133" s="12" t="inlineStr">
        <is>
          <t>G</t>
        </is>
      </c>
      <c r="C3133" s="12" t="inlineStr">
        <is>
          <t>Carbon capture</t>
        </is>
      </c>
      <c r="D3133" s="12" t="inlineStr">
        <is>
          <t>MOV 6: control</t>
        </is>
      </c>
      <c r="E3133" s="12" t="inlineStr"/>
      <c r="F3133" s="12" t="inlineStr">
        <is>
          <t>CCS MV switchgear building (VFDs)</t>
        </is>
      </c>
      <c r="G3133" s="12" t="inlineStr">
        <is>
          <t>STR-C</t>
        </is>
      </c>
      <c r="H3133" s="12" t="inlineStr">
        <is>
          <t>STR-C: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196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G-C-0174</t>
        </is>
      </c>
      <c r="B3134" s="12" t="inlineStr">
        <is>
          <t>G</t>
        </is>
      </c>
      <c r="C3134" s="12" t="inlineStr">
        <is>
          <t>Carbon capture</t>
        </is>
      </c>
      <c r="D3134" s="12" t="inlineStr">
        <is>
          <t>Motor 1 of 4: control / local station</t>
        </is>
      </c>
      <c r="E3134" s="12" t="inlineStr"/>
      <c r="F3134" s="12" t="inlineStr">
        <is>
          <t>CCS MV switchgear building (VFDs)</t>
        </is>
      </c>
      <c r="G3134" s="12" t="inlineStr"/>
      <c r="H3134" s="12" t="inlineStr">
        <is>
          <t>Solvent + NaOH storage</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250</v>
      </c>
      <c r="U3134" s="17" t="n">
        <v>37</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G-C-0175</t>
        </is>
      </c>
      <c r="B3135" s="12" t="inlineStr">
        <is>
          <t>G</t>
        </is>
      </c>
      <c r="C3135" s="12" t="inlineStr">
        <is>
          <t>Carbon capture</t>
        </is>
      </c>
      <c r="D3135" s="12" t="inlineStr">
        <is>
          <t>Motor 2 of 4: control / local station</t>
        </is>
      </c>
      <c r="E3135" s="12" t="inlineStr"/>
      <c r="F3135" s="12" t="inlineStr">
        <is>
          <t>CCS MV switchgear building (VFDs)</t>
        </is>
      </c>
      <c r="G3135" s="12" t="inlineStr"/>
      <c r="H3135" s="12" t="inlineStr">
        <is>
          <t>Solvent + NaOH storage</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250</v>
      </c>
      <c r="U3135" s="17" t="n">
        <v>37</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G-C-0176</t>
        </is>
      </c>
      <c r="B3136" s="12" t="inlineStr">
        <is>
          <t>G</t>
        </is>
      </c>
      <c r="C3136" s="12" t="inlineStr">
        <is>
          <t>Carbon capture</t>
        </is>
      </c>
      <c r="D3136" s="12" t="inlineStr">
        <is>
          <t>Motor 3 of 4: control / local station</t>
        </is>
      </c>
      <c r="E3136" s="12" t="inlineStr"/>
      <c r="F3136" s="12" t="inlineStr">
        <is>
          <t>CCS MV switchgear building (VFDs)</t>
        </is>
      </c>
      <c r="G3136" s="12" t="inlineStr"/>
      <c r="H3136" s="12" t="inlineStr">
        <is>
          <t>Solvent + NaOH storage</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250</v>
      </c>
      <c r="U3136" s="17" t="n">
        <v>37</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G-C-0177</t>
        </is>
      </c>
      <c r="B3137" s="12" t="inlineStr">
        <is>
          <t>G</t>
        </is>
      </c>
      <c r="C3137" s="12" t="inlineStr">
        <is>
          <t>Carbon capture</t>
        </is>
      </c>
      <c r="D3137" s="12" t="inlineStr">
        <is>
          <t>Motor 4 of 4: control / local station</t>
        </is>
      </c>
      <c r="E3137" s="12" t="inlineStr"/>
      <c r="F3137" s="12" t="inlineStr">
        <is>
          <t>CCS MV switchgear building (VFDs)</t>
        </is>
      </c>
      <c r="G3137" s="12" t="inlineStr"/>
      <c r="H3137" s="12" t="inlineStr">
        <is>
          <t>Solvent + NaOH storage</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250</v>
      </c>
      <c r="U3137" s="17" t="n">
        <v>37</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G-C-0178</t>
        </is>
      </c>
      <c r="B3138" s="12" t="inlineStr">
        <is>
          <t>G</t>
        </is>
      </c>
      <c r="C3138" s="12" t="inlineStr">
        <is>
          <t>Carbon capture</t>
        </is>
      </c>
      <c r="D3138" s="12" t="inlineStr">
        <is>
          <t>Motor 1 of 2: control / local station</t>
        </is>
      </c>
      <c r="E3138" s="12" t="inlineStr"/>
      <c r="F3138" s="12" t="inlineStr">
        <is>
          <t>CCS MV switchgear building (VFDs)</t>
        </is>
      </c>
      <c r="G3138" s="12" t="inlineStr"/>
      <c r="H3138" s="12" t="inlineStr">
        <is>
          <t>Water-wash pumps A</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7" t="n">
        <v>465</v>
      </c>
      <c r="U3138" s="17" t="n">
        <v>96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G-C-0179</t>
        </is>
      </c>
      <c r="B3139" s="12" t="inlineStr">
        <is>
          <t>G</t>
        </is>
      </c>
      <c r="C3139" s="12" t="inlineStr">
        <is>
          <t>Carbon capture</t>
        </is>
      </c>
      <c r="D3139" s="12" t="inlineStr">
        <is>
          <t>Motor 2 of 2: control / local station</t>
        </is>
      </c>
      <c r="E3139" s="12" t="inlineStr"/>
      <c r="F3139" s="12" t="inlineStr">
        <is>
          <t>CCS MV switchgear building (VFDs)</t>
        </is>
      </c>
      <c r="G3139" s="12" t="inlineStr"/>
      <c r="H3139" s="12" t="inlineStr">
        <is>
          <t>Water-wash pumps A</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7" t="n">
        <v>465</v>
      </c>
      <c r="U3139" s="17" t="n">
        <v>96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G-C-0180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Water-wash pumps B</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7" t="n">
        <v>305</v>
      </c>
      <c r="U3140" s="17" t="n">
        <v>96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G-C-0181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Water-wash pumps B</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7" t="n">
        <v>305</v>
      </c>
      <c r="U3141" s="17" t="n">
        <v>96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G-C-0182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Water-wash pumps C</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7" t="n">
        <v>145</v>
      </c>
      <c r="U3142" s="17" t="n">
        <v>96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G-C-0183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Water-wash pumps C</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145</v>
      </c>
      <c r="U3143" s="17" t="n">
        <v>96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G-F-0001</t>
        </is>
      </c>
      <c r="B3144" s="12" t="inlineStr">
        <is>
          <t>G</t>
        </is>
      </c>
      <c r="C3144" s="12" t="inlineStr">
        <is>
          <t>Carbon capture</t>
        </is>
      </c>
      <c r="D3144" s="12" t="inlineStr">
        <is>
          <t>Plant network / DCS fibre</t>
        </is>
      </c>
      <c r="E3144" s="12" t="inlineStr">
        <is>
          <t>CR</t>
        </is>
      </c>
      <c r="F3144" s="12" t="inlineStr">
        <is>
          <t>Control / admin building (main control room)</t>
        </is>
      </c>
      <c r="G3144" s="12" t="inlineStr"/>
      <c r="H3144" s="12" t="inlineStr">
        <is>
          <t>CCS F&amp;G / control</t>
        </is>
      </c>
      <c r="I3144" s="12" t="inlineStr">
        <is>
          <t>Fibre / data</t>
        </is>
      </c>
      <c r="J3144" s="12" t="inlineStr">
        <is>
          <t>Fibre optic, single-mode, 12-fibre, armored, orange jacket</t>
        </is>
      </c>
      <c r="K3144" s="12" t="inlineStr">
        <is>
          <t>FO|12 SM|-</t>
        </is>
      </c>
      <c r="L3144" s="12" t="inlineStr">
        <is>
          <t>12 SM</t>
        </is>
      </c>
      <c r="M3144" s="12" t="inlineStr">
        <is>
          <t>-</t>
        </is>
      </c>
      <c r="N3144" s="12" t="n">
        <v>1</v>
      </c>
      <c r="O3144" s="12" t="n">
        <v>1</v>
      </c>
      <c r="P3144" s="12" t="n"/>
      <c r="Q3144" s="12" t="n"/>
      <c r="R3144" s="12" t="n"/>
      <c r="S3144" s="12" t="inlineStr">
        <is>
          <t>Tray</t>
        </is>
      </c>
      <c r="T3144" s="17" t="n">
        <v>2379</v>
      </c>
      <c r="U3144" s="17" t="n">
        <v>333</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G-F-0002</t>
        </is>
      </c>
      <c r="B3145" s="12" t="inlineStr">
        <is>
          <t>G</t>
        </is>
      </c>
      <c r="C3145" s="12" t="inlineStr">
        <is>
          <t>Carbon capture</t>
        </is>
      </c>
      <c r="D3145" s="12" t="inlineStr">
        <is>
          <t>Plant network / DCS fibre</t>
        </is>
      </c>
      <c r="E3145" s="12" t="inlineStr">
        <is>
          <t>CR</t>
        </is>
      </c>
      <c r="F3145" s="12" t="inlineStr">
        <is>
          <t>Control / admin building (main control room)</t>
        </is>
      </c>
      <c r="G3145" s="12" t="inlineStr"/>
      <c r="H3145" s="12" t="inlineStr">
        <is>
          <t>CCS MV switchgear building (VFDs)</t>
        </is>
      </c>
      <c r="I3145" s="12" t="inlineStr">
        <is>
          <t>Fibre / data</t>
        </is>
      </c>
      <c r="J3145" s="12" t="inlineStr">
        <is>
          <t>Fibre optic, single-mode, 12-fibre, armored, orange jacket</t>
        </is>
      </c>
      <c r="K3145" s="12" t="inlineStr">
        <is>
          <t>FO|12 SM|-</t>
        </is>
      </c>
      <c r="L3145" s="12" t="inlineStr">
        <is>
          <t>12 SM</t>
        </is>
      </c>
      <c r="M3145" s="12" t="inlineStr">
        <is>
          <t>-</t>
        </is>
      </c>
      <c r="N3145" s="12" t="n">
        <v>1</v>
      </c>
      <c r="O3145" s="12" t="n">
        <v>1</v>
      </c>
      <c r="P3145" s="12" t="n"/>
      <c r="Q3145" s="12" t="n"/>
      <c r="R3145" s="12" t="n"/>
      <c r="S3145" s="12" t="inlineStr">
        <is>
          <t>Duct bank</t>
        </is>
      </c>
      <c r="T3145" s="17" t="n">
        <v>2585</v>
      </c>
      <c r="U3145" s="17" t="n">
        <v>264</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G-F-0003</t>
        </is>
      </c>
      <c r="B3146" s="12" t="inlineStr">
        <is>
          <t>G</t>
        </is>
      </c>
      <c r="C3146" s="12" t="inlineStr">
        <is>
          <t>Carbon capture</t>
        </is>
      </c>
      <c r="D3146" s="12" t="inlineStr">
        <is>
          <t>Plant network / DCS fibre</t>
        </is>
      </c>
      <c r="E3146" s="12" t="inlineStr">
        <is>
          <t>CR</t>
        </is>
      </c>
      <c r="F3146" s="12" t="inlineStr">
        <is>
          <t>Control / admin building (main control room)</t>
        </is>
      </c>
      <c r="G3146" s="12" t="inlineStr"/>
      <c r="H3146" s="12" t="inlineStr">
        <is>
          <t>CT MCC / VFD e-house</t>
        </is>
      </c>
      <c r="I3146" s="12" t="inlineStr">
        <is>
          <t>Fibre / data</t>
        </is>
      </c>
      <c r="J3146" s="12" t="inlineStr">
        <is>
          <t>Fibre optic, single-mode, 12-fibre, armored, orange jacket</t>
        </is>
      </c>
      <c r="K3146" s="12" t="inlineStr">
        <is>
          <t>FO|12 SM|-</t>
        </is>
      </c>
      <c r="L3146" s="12" t="inlineStr">
        <is>
          <t>12 SM</t>
        </is>
      </c>
      <c r="M3146" s="12" t="inlineStr">
        <is>
          <t>-</t>
        </is>
      </c>
      <c r="N3146" s="12" t="n">
        <v>1</v>
      </c>
      <c r="O3146" s="12" t="n">
        <v>1</v>
      </c>
      <c r="P3146" s="12" t="n"/>
      <c r="Q3146" s="12" t="n"/>
      <c r="R3146" s="12" t="n"/>
      <c r="S3146" s="12" t="inlineStr">
        <is>
          <t>Duct bank</t>
        </is>
      </c>
      <c r="T3146" s="17" t="n">
        <v>3200</v>
      </c>
      <c r="U3146" s="17" t="n">
        <v>264</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G-FA-0001</t>
        </is>
      </c>
      <c r="B3147" s="12" t="inlineStr">
        <is>
          <t>G</t>
        </is>
      </c>
      <c r="C3147" s="12" t="inlineStr">
        <is>
          <t>Carbon capture</t>
        </is>
      </c>
      <c r="D3147" s="12" t="inlineStr">
        <is>
          <t>Fire alarm / F&amp;G loop (to the local FACP / F&amp;G node)</t>
        </is>
      </c>
      <c r="E3147" s="12" t="inlineStr"/>
      <c r="F3147" s="12" t="inlineStr">
        <is>
          <t>CCS F&amp;G / control</t>
        </is>
      </c>
      <c r="G3147" s="12" t="inlineStr"/>
      <c r="H3147" s="12" t="inlineStr">
        <is>
          <t>CCS F&amp;G / control</t>
        </is>
      </c>
      <c r="I3147" s="12" t="inlineStr">
        <is>
          <t>Fire alarm</t>
        </is>
      </c>
      <c r="J3147" s="12" t="inlineStr">
        <is>
          <t>Fire alarm FPLR 2/C #14 shielded, red jacket (NEC 760)</t>
        </is>
      </c>
      <c r="K3147" s="12" t="inlineStr">
        <is>
          <t>FA|2/C|14</t>
        </is>
      </c>
      <c r="L3147" s="12" t="inlineStr">
        <is>
          <t>2/C</t>
        </is>
      </c>
      <c r="M3147" s="12" t="inlineStr">
        <is>
          <t>14</t>
        </is>
      </c>
      <c r="N3147" s="12" t="n">
        <v>1</v>
      </c>
      <c r="O3147" s="12" t="n">
        <v>1</v>
      </c>
      <c r="P3147" s="12" t="n"/>
      <c r="Q3147" s="12" t="n"/>
      <c r="R3147" s="12" t="n"/>
      <c r="S3147" s="12" t="inlineStr">
        <is>
          <t>Tray</t>
        </is>
      </c>
      <c r="T3147" s="17" t="n">
        <v>0</v>
      </c>
      <c r="U3147" s="17" t="n">
        <v>170</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G-FA-0002</t>
        </is>
      </c>
      <c r="B3148" s="12" t="inlineStr">
        <is>
          <t>G</t>
        </is>
      </c>
      <c r="C3148" s="12" t="inlineStr">
        <is>
          <t>Carbon capture</t>
        </is>
      </c>
      <c r="D3148" s="12" t="inlineStr">
        <is>
          <t>Fire alarm / F&amp;G loop (to the local FACP / F&amp;G node)</t>
        </is>
      </c>
      <c r="E3148" s="12" t="inlineStr"/>
      <c r="F3148" s="12" t="inlineStr">
        <is>
          <t>CCS F&amp;G / control</t>
        </is>
      </c>
      <c r="G3148" s="12" t="inlineStr"/>
      <c r="H3148" s="12" t="inlineStr">
        <is>
          <t>CCS MV switchgear building (VFDs)</t>
        </is>
      </c>
      <c r="I3148" s="12" t="inlineStr">
        <is>
          <t>Fire alarm</t>
        </is>
      </c>
      <c r="J3148" s="12" t="inlineStr">
        <is>
          <t>Fire alarm FPLR 2/C #14 shielded, red jacket (NEC 760)</t>
        </is>
      </c>
      <c r="K3148" s="12" t="inlineStr">
        <is>
          <t>FA|2/C|14</t>
        </is>
      </c>
      <c r="L3148" s="12" t="inlineStr">
        <is>
          <t>2/C</t>
        </is>
      </c>
      <c r="M3148" s="12" t="inlineStr">
        <is>
          <t>14</t>
        </is>
      </c>
      <c r="N3148" s="12" t="n">
        <v>1</v>
      </c>
      <c r="O3148" s="12" t="n">
        <v>1</v>
      </c>
      <c r="P3148" s="12" t="n"/>
      <c r="Q3148" s="12" t="n"/>
      <c r="R3148" s="12" t="n"/>
      <c r="S3148" s="12" t="inlineStr">
        <is>
          <t>Duct bank</t>
        </is>
      </c>
      <c r="T3148" s="17" t="n">
        <v>206</v>
      </c>
      <c r="U3148" s="17" t="n">
        <v>101</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G-FA-0003</t>
        </is>
      </c>
      <c r="B3149" s="12" t="inlineStr">
        <is>
          <t>G</t>
        </is>
      </c>
      <c r="C3149" s="12" t="inlineStr">
        <is>
          <t>Carbon capture</t>
        </is>
      </c>
      <c r="D3149" s="12" t="inlineStr">
        <is>
          <t>Fire alarm / F&amp;G loop (to the local FACP / F&amp;G node)</t>
        </is>
      </c>
      <c r="E3149" s="12" t="inlineStr"/>
      <c r="F3149" s="12" t="inlineStr">
        <is>
          <t>CCS F&amp;G / control</t>
        </is>
      </c>
      <c r="G3149" s="12" t="inlineStr"/>
      <c r="H3149" s="12" t="inlineStr">
        <is>
          <t>CT MCC / VFD e-house</t>
        </is>
      </c>
      <c r="I3149" s="12" t="inlineStr">
        <is>
          <t>Fire alarm</t>
        </is>
      </c>
      <c r="J3149" s="12" t="inlineStr">
        <is>
          <t>Fire alarm FPLR 2/C #14 shielded, red jacket (NEC 760)</t>
        </is>
      </c>
      <c r="K3149" s="12" t="inlineStr">
        <is>
          <t>FA|2/C|14</t>
        </is>
      </c>
      <c r="L3149" s="12" t="inlineStr">
        <is>
          <t>2/C</t>
        </is>
      </c>
      <c r="M3149" s="12" t="inlineStr">
        <is>
          <t>14</t>
        </is>
      </c>
      <c r="N3149" s="12" t="n">
        <v>1</v>
      </c>
      <c r="O3149" s="12" t="n">
        <v>1</v>
      </c>
      <c r="P3149" s="12" t="n"/>
      <c r="Q3149" s="12" t="n"/>
      <c r="R3149" s="12" t="n"/>
      <c r="S3149" s="12" t="inlineStr">
        <is>
          <t>Duct bank</t>
        </is>
      </c>
      <c r="T3149" s="17" t="n">
        <v>821</v>
      </c>
      <c r="U3149" s="17" t="n">
        <v>101</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G-I-0001</t>
        </is>
      </c>
      <c r="B3150" s="12" t="inlineStr">
        <is>
          <t>G</t>
        </is>
      </c>
      <c r="C3150" s="12" t="inlineStr">
        <is>
          <t>Carbon capture</t>
        </is>
      </c>
      <c r="D3150" s="12" t="inlineStr">
        <is>
          <t>Analog instrument to JB JB-ABS-A-AI01: 20 x 1 pr (field cables)</t>
        </is>
      </c>
      <c r="E3150" s="12" t="inlineStr">
        <is>
          <t>ABS-A</t>
        </is>
      </c>
      <c r="F3150" s="12" t="inlineStr">
        <is>
          <t>Absorber A (62 ft dia x 262 ft, stack to 313 ft)</t>
        </is>
      </c>
      <c r="G3150" s="12" t="inlineStr">
        <is>
          <t>JB-ABS-A-AI01</t>
        </is>
      </c>
      <c r="H3150" s="12" t="inlineStr">
        <is>
          <t>Absorber A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7" t="n">
        <v>212</v>
      </c>
      <c r="U3150" s="17" t="n">
        <v>10</v>
      </c>
      <c r="V3150" s="17">
        <f>ROUNDUP((T3150+U3150+2*'Read Me'!$B$13)*(1+'Read Me'!$B$12),-1)</f>
        <v/>
      </c>
      <c r="W3150" s="17">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G-I-0002</t>
        </is>
      </c>
      <c r="B3151" s="12" t="inlineStr">
        <is>
          <t>G</t>
        </is>
      </c>
      <c r="C3151" s="12" t="inlineStr">
        <is>
          <t>Carbon capture</t>
        </is>
      </c>
      <c r="D3151" s="12" t="inlineStr">
        <is>
          <t>Home run JB-ABS-A-AI01 to the control / marshalling room</t>
        </is>
      </c>
      <c r="E3151" s="12" t="inlineStr"/>
      <c r="F3151" s="12" t="inlineStr">
        <is>
          <t>CCS F&amp;G / control</t>
        </is>
      </c>
      <c r="G3151" s="12" t="inlineStr">
        <is>
          <t>JB-ABS-A-AI01</t>
        </is>
      </c>
      <c r="H3151" s="12" t="inlineStr">
        <is>
          <t>Absorber A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7" t="n">
        <v>939</v>
      </c>
      <c r="U3151" s="17" t="n">
        <v>149</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G-I-0003</t>
        </is>
      </c>
      <c r="B3152" s="12" t="inlineStr">
        <is>
          <t>G</t>
        </is>
      </c>
      <c r="C3152" s="12" t="inlineStr">
        <is>
          <t>Carbon capture</t>
        </is>
      </c>
      <c r="D3152" s="12" t="inlineStr">
        <is>
          <t>Analog instrument to JB JB-ABS-A-AI02: 20 x 1 pr (field cables)</t>
        </is>
      </c>
      <c r="E3152" s="12" t="inlineStr">
        <is>
          <t>ABS-A</t>
        </is>
      </c>
      <c r="F3152" s="12" t="inlineStr">
        <is>
          <t>Absorber A (62 ft dia x 262 ft, stack to 313 ft)</t>
        </is>
      </c>
      <c r="G3152" s="12" t="inlineStr">
        <is>
          <t>JB-ABS-A-AI02</t>
        </is>
      </c>
      <c r="H3152" s="12" t="inlineStr">
        <is>
          <t>Absorber A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7" t="n">
        <v>212</v>
      </c>
      <c r="U3152" s="17" t="n">
        <v>10</v>
      </c>
      <c r="V3152" s="17">
        <f>ROUNDUP((T3152+U3152+2*'Read Me'!$B$13)*(1+'Read Me'!$B$12),-1)</f>
        <v/>
      </c>
      <c r="W3152" s="17">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G-I-0004</t>
        </is>
      </c>
      <c r="B3153" s="12" t="inlineStr">
        <is>
          <t>G</t>
        </is>
      </c>
      <c r="C3153" s="12" t="inlineStr">
        <is>
          <t>Carbon capture</t>
        </is>
      </c>
      <c r="D3153" s="12" t="inlineStr">
        <is>
          <t>Home run JB-ABS-A-AI02 to the control / marshalling room</t>
        </is>
      </c>
      <c r="E3153" s="12" t="inlineStr"/>
      <c r="F3153" s="12" t="inlineStr">
        <is>
          <t>CCS F&amp;G / control</t>
        </is>
      </c>
      <c r="G3153" s="12" t="inlineStr">
        <is>
          <t>JB-ABS-A-AI02</t>
        </is>
      </c>
      <c r="H3153" s="12" t="inlineStr">
        <is>
          <t>Absorber A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7" t="n">
        <v>939</v>
      </c>
      <c r="U3153" s="17" t="n">
        <v>149</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G-I-0005</t>
        </is>
      </c>
      <c r="B3154" s="12" t="inlineStr">
        <is>
          <t>G</t>
        </is>
      </c>
      <c r="C3154" s="12" t="inlineStr">
        <is>
          <t>Carbon capture</t>
        </is>
      </c>
      <c r="D3154" s="12" t="inlineStr">
        <is>
          <t>Analog instrument to JB JB-ABS-A-AI03: 20 x 1 pr (field cables)</t>
        </is>
      </c>
      <c r="E3154" s="12" t="inlineStr">
        <is>
          <t>ABS-A</t>
        </is>
      </c>
      <c r="F3154" s="12" t="inlineStr">
        <is>
          <t>Absorber A (62 ft dia x 262 ft, stack to 313 ft)</t>
        </is>
      </c>
      <c r="G3154" s="12" t="inlineStr">
        <is>
          <t>JB-ABS-A-AI03</t>
        </is>
      </c>
      <c r="H3154" s="12" t="inlineStr">
        <is>
          <t>Absorber A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7" t="n">
        <v>212</v>
      </c>
      <c r="U3154" s="17" t="n">
        <v>10</v>
      </c>
      <c r="V3154" s="17">
        <f>ROUNDUP((T3154+U3154+2*'Read Me'!$B$13)*(1+'Read Me'!$B$12),-1)</f>
        <v/>
      </c>
      <c r="W3154" s="17">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G-I-0006</t>
        </is>
      </c>
      <c r="B3155" s="12" t="inlineStr">
        <is>
          <t>G</t>
        </is>
      </c>
      <c r="C3155" s="12" t="inlineStr">
        <is>
          <t>Carbon capture</t>
        </is>
      </c>
      <c r="D3155" s="12" t="inlineStr">
        <is>
          <t>Home run JB-ABS-A-AI03 to the control / marshalling room</t>
        </is>
      </c>
      <c r="E3155" s="12" t="inlineStr"/>
      <c r="F3155" s="12" t="inlineStr">
        <is>
          <t>CCS F&amp;G / control</t>
        </is>
      </c>
      <c r="G3155" s="12" t="inlineStr">
        <is>
          <t>JB-ABS-A-AI03</t>
        </is>
      </c>
      <c r="H3155" s="12" t="inlineStr">
        <is>
          <t>Absorber A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7" t="n">
        <v>939</v>
      </c>
      <c r="U3155" s="17" t="n">
        <v>149</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G-I-0007</t>
        </is>
      </c>
      <c r="B3156" s="12" t="inlineStr">
        <is>
          <t>G</t>
        </is>
      </c>
      <c r="C3156" s="12" t="inlineStr">
        <is>
          <t>Carbon capture</t>
        </is>
      </c>
      <c r="D3156" s="12" t="inlineStr">
        <is>
          <t>Discrete device to JB JB-ABS-A-DI01: 20 x 1 pr (field cables)</t>
        </is>
      </c>
      <c r="E3156" s="12" t="inlineStr">
        <is>
          <t>ABS-A</t>
        </is>
      </c>
      <c r="F3156" s="12" t="inlineStr">
        <is>
          <t>Absorber A (62 ft dia x 262 ft, stack to 313 ft)</t>
        </is>
      </c>
      <c r="G3156" s="12" t="inlineStr">
        <is>
          <t>JB-ABS-A-DI01</t>
        </is>
      </c>
      <c r="H3156" s="12" t="inlineStr">
        <is>
          <t>Absorber A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7" t="n">
        <v>212</v>
      </c>
      <c r="U3156" s="17" t="n">
        <v>10</v>
      </c>
      <c r="V3156" s="17">
        <f>ROUNDUP((T3156+U3156+2*'Read Me'!$B$13)*(1+'Read Me'!$B$12),-1)</f>
        <v/>
      </c>
      <c r="W3156" s="17">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G-I-0008</t>
        </is>
      </c>
      <c r="B3157" s="12" t="inlineStr">
        <is>
          <t>G</t>
        </is>
      </c>
      <c r="C3157" s="12" t="inlineStr">
        <is>
          <t>Carbon capture</t>
        </is>
      </c>
      <c r="D3157" s="12" t="inlineStr">
        <is>
          <t>Home run JB-ABS-A-DI01 to the control / marshalling room</t>
        </is>
      </c>
      <c r="E3157" s="12" t="inlineStr"/>
      <c r="F3157" s="12" t="inlineStr">
        <is>
          <t>CCS F&amp;G / control</t>
        </is>
      </c>
      <c r="G3157" s="12" t="inlineStr">
        <is>
          <t>JB-ABS-A-DI01</t>
        </is>
      </c>
      <c r="H3157" s="12" t="inlineStr">
        <is>
          <t>Absorber A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7" t="n">
        <v>939</v>
      </c>
      <c r="U3157" s="17" t="n">
        <v>149</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G-I-0009</t>
        </is>
      </c>
      <c r="B3158" s="12" t="inlineStr">
        <is>
          <t>G</t>
        </is>
      </c>
      <c r="C3158" s="12" t="inlineStr">
        <is>
          <t>Carbon capture</t>
        </is>
      </c>
      <c r="D3158" s="12" t="inlineStr">
        <is>
          <t>Discrete device to JB JB-ABS-A-DI02: 20 x 1 pr (field cables)</t>
        </is>
      </c>
      <c r="E3158" s="12" t="inlineStr">
        <is>
          <t>ABS-A</t>
        </is>
      </c>
      <c r="F3158" s="12" t="inlineStr">
        <is>
          <t>Absorber A (62 ft dia x 262 ft, stack to 313 ft)</t>
        </is>
      </c>
      <c r="G3158" s="12" t="inlineStr">
        <is>
          <t>JB-ABS-A-DI02</t>
        </is>
      </c>
      <c r="H3158" s="12" t="inlineStr">
        <is>
          <t>Absorber A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7" t="n">
        <v>212</v>
      </c>
      <c r="U3158" s="17" t="n">
        <v>10</v>
      </c>
      <c r="V3158" s="17">
        <f>ROUNDUP((T3158+U3158+2*'Read Me'!$B$13)*(1+'Read Me'!$B$12),-1)</f>
        <v/>
      </c>
      <c r="W3158" s="17">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G-I-0010</t>
        </is>
      </c>
      <c r="B3159" s="12" t="inlineStr">
        <is>
          <t>G</t>
        </is>
      </c>
      <c r="C3159" s="12" t="inlineStr">
        <is>
          <t>Carbon capture</t>
        </is>
      </c>
      <c r="D3159" s="12" t="inlineStr">
        <is>
          <t>Home run JB-ABS-A-DI02 to the control / marshalling room</t>
        </is>
      </c>
      <c r="E3159" s="12" t="inlineStr"/>
      <c r="F3159" s="12" t="inlineStr">
        <is>
          <t>CCS F&amp;G / control</t>
        </is>
      </c>
      <c r="G3159" s="12" t="inlineStr">
        <is>
          <t>JB-ABS-A-DI02</t>
        </is>
      </c>
      <c r="H3159" s="12" t="inlineStr">
        <is>
          <t>Absorber A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7" t="n">
        <v>939</v>
      </c>
      <c r="U3159" s="17" t="n">
        <v>149</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G-I-0011</t>
        </is>
      </c>
      <c r="B3160" s="12" t="inlineStr">
        <is>
          <t>G</t>
        </is>
      </c>
      <c r="C3160" s="12" t="inlineStr">
        <is>
          <t>Carbon capture</t>
        </is>
      </c>
      <c r="D3160" s="12" t="inlineStr">
        <is>
          <t>Analog instrument to JB JB-Absorber A interco-AI01: 15 x 1 pr (field cables)</t>
        </is>
      </c>
      <c r="E3160" s="12" t="inlineStr"/>
      <c r="F3160" s="12" t="inlineStr">
        <is>
          <t>Absorber A intercooler (pumps + plate exchanger)</t>
        </is>
      </c>
      <c r="G3160" s="12" t="inlineStr">
        <is>
          <t>JB-Absorber A interco-AI01</t>
        </is>
      </c>
      <c r="H3160" s="12" t="inlineStr">
        <is>
          <t>Absorber A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7" t="n">
        <v>55</v>
      </c>
      <c r="U3160" s="17" t="n">
        <v>10</v>
      </c>
      <c r="V3160" s="17">
        <f>ROUNDUP((T3160+U3160+2*'Read Me'!$B$13)*(1+'Read Me'!$B$12),-1)</f>
        <v/>
      </c>
      <c r="W3160" s="17">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G-I-0012</t>
        </is>
      </c>
      <c r="B3161" s="12" t="inlineStr">
        <is>
          <t>G</t>
        </is>
      </c>
      <c r="C3161" s="12" t="inlineStr">
        <is>
          <t>Carbon capture</t>
        </is>
      </c>
      <c r="D3161" s="12" t="inlineStr">
        <is>
          <t>Home run JB-Absorber A interco-AI01 to the control / marshalling room</t>
        </is>
      </c>
      <c r="E3161" s="12" t="inlineStr"/>
      <c r="F3161" s="12" t="inlineStr">
        <is>
          <t>CCS F&amp;G / control</t>
        </is>
      </c>
      <c r="G3161" s="12" t="inlineStr">
        <is>
          <t>JB-Absorber A interco-AI01</t>
        </is>
      </c>
      <c r="H3161" s="12" t="inlineStr">
        <is>
          <t>Absorber A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7" t="n">
        <v>921</v>
      </c>
      <c r="U3161" s="17" t="n">
        <v>150</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G-I-0013</t>
        </is>
      </c>
      <c r="B3162" s="12" t="inlineStr">
        <is>
          <t>G</t>
        </is>
      </c>
      <c r="C3162" s="12" t="inlineStr">
        <is>
          <t>Carbon capture</t>
        </is>
      </c>
      <c r="D3162" s="12" t="inlineStr">
        <is>
          <t>Discrete device to JB JB-Absorber A interco-DI01: 15 x 1 pr (field cables)</t>
        </is>
      </c>
      <c r="E3162" s="12" t="inlineStr"/>
      <c r="F3162" s="12" t="inlineStr">
        <is>
          <t>Absorber A intercooler (pumps + plate exchanger)</t>
        </is>
      </c>
      <c r="G3162" s="12" t="inlineStr">
        <is>
          <t>JB-Absorber A interco-DI01</t>
        </is>
      </c>
      <c r="H3162" s="12" t="inlineStr">
        <is>
          <t>Absorber A intercooler (pumps + plate exchanger)</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15</v>
      </c>
      <c r="O3162" s="12" t="n">
        <v>1</v>
      </c>
      <c r="P3162" s="12" t="n"/>
      <c r="Q3162" s="12" t="n"/>
      <c r="R3162" s="12" t="n"/>
      <c r="S3162" s="12" t="inlineStr">
        <is>
          <t>Tray / conduit</t>
        </is>
      </c>
      <c r="T3162" s="17" t="n">
        <v>55</v>
      </c>
      <c r="U3162" s="17" t="n">
        <v>10</v>
      </c>
      <c r="V3162" s="17">
        <f>ROUNDUP((T3162+U3162+2*'Read Me'!$B$13)*(1+'Read Me'!$B$12),-1)</f>
        <v/>
      </c>
      <c r="W3162" s="17">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G-I-0014</t>
        </is>
      </c>
      <c r="B3163" s="12" t="inlineStr">
        <is>
          <t>G</t>
        </is>
      </c>
      <c r="C3163" s="12" t="inlineStr">
        <is>
          <t>Carbon capture</t>
        </is>
      </c>
      <c r="D3163" s="12" t="inlineStr">
        <is>
          <t>Home run JB-Absorber A interco-DI01 to the control / marshalling room</t>
        </is>
      </c>
      <c r="E3163" s="12" t="inlineStr"/>
      <c r="F3163" s="12" t="inlineStr">
        <is>
          <t>CCS F&amp;G / control</t>
        </is>
      </c>
      <c r="G3163" s="12" t="inlineStr">
        <is>
          <t>JB-Absorber A interco-DI01</t>
        </is>
      </c>
      <c r="H3163" s="12" t="inlineStr">
        <is>
          <t>Absorber A intercooler (pumps + plate exchanger)</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Tray</t>
        </is>
      </c>
      <c r="T3163" s="17" t="n">
        <v>921</v>
      </c>
      <c r="U3163" s="17" t="n">
        <v>150</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G-I-0015</t>
        </is>
      </c>
      <c r="B3164" s="12" t="inlineStr">
        <is>
          <t>G</t>
        </is>
      </c>
      <c r="C3164" s="12" t="inlineStr">
        <is>
          <t>Carbon capture</t>
        </is>
      </c>
      <c r="D3164" s="12" t="inlineStr">
        <is>
          <t>Analog instrument to JB JB-ABS-B-AI01: 20 x 1 pr (field cables)</t>
        </is>
      </c>
      <c r="E3164" s="12" t="inlineStr">
        <is>
          <t>ABS-B</t>
        </is>
      </c>
      <c r="F3164" s="12" t="inlineStr">
        <is>
          <t>Absorber B (62 ft dia x 262 ft, stack to 313 ft)</t>
        </is>
      </c>
      <c r="G3164" s="12" t="inlineStr">
        <is>
          <t>JB-ABS-B-AI01</t>
        </is>
      </c>
      <c r="H3164" s="12" t="inlineStr">
        <is>
          <t>Absorber B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7" t="n">
        <v>212</v>
      </c>
      <c r="U3164" s="17" t="n">
        <v>10</v>
      </c>
      <c r="V3164" s="17">
        <f>ROUNDUP((T3164+U3164+2*'Read Me'!$B$13)*(1+'Read Me'!$B$12),-1)</f>
        <v/>
      </c>
      <c r="W3164" s="17">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G-I-0016</t>
        </is>
      </c>
      <c r="B3165" s="12" t="inlineStr">
        <is>
          <t>G</t>
        </is>
      </c>
      <c r="C3165" s="12" t="inlineStr">
        <is>
          <t>Carbon capture</t>
        </is>
      </c>
      <c r="D3165" s="12" t="inlineStr">
        <is>
          <t>Home run JB-ABS-B-AI01 to the control / marshalling room</t>
        </is>
      </c>
      <c r="E3165" s="12" t="inlineStr"/>
      <c r="F3165" s="12" t="inlineStr">
        <is>
          <t>CCS F&amp;G / control</t>
        </is>
      </c>
      <c r="G3165" s="12" t="inlineStr">
        <is>
          <t>JB-ABS-B-AI01</t>
        </is>
      </c>
      <c r="H3165" s="12" t="inlineStr">
        <is>
          <t>Absorber B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Tray</t>
        </is>
      </c>
      <c r="T3165" s="17" t="n">
        <v>779</v>
      </c>
      <c r="U3165" s="17" t="n">
        <v>149</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G-I-0017</t>
        </is>
      </c>
      <c r="B3166" s="12" t="inlineStr">
        <is>
          <t>G</t>
        </is>
      </c>
      <c r="C3166" s="12" t="inlineStr">
        <is>
          <t>Carbon capture</t>
        </is>
      </c>
      <c r="D3166" s="12" t="inlineStr">
        <is>
          <t>Analog instrument to JB JB-ABS-B-AI02: 20 x 1 pr (field cables)</t>
        </is>
      </c>
      <c r="E3166" s="12" t="inlineStr">
        <is>
          <t>ABS-B</t>
        </is>
      </c>
      <c r="F3166" s="12" t="inlineStr">
        <is>
          <t>Absorber B (62 ft dia x 262 ft, stack to 313 ft)</t>
        </is>
      </c>
      <c r="G3166" s="12" t="inlineStr">
        <is>
          <t>JB-ABS-B-AI02</t>
        </is>
      </c>
      <c r="H3166" s="12" t="inlineStr">
        <is>
          <t>Absorber B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7" t="n">
        <v>212</v>
      </c>
      <c r="U3166" s="17" t="n">
        <v>10</v>
      </c>
      <c r="V3166" s="17">
        <f>ROUNDUP((T3166+U3166+2*'Read Me'!$B$13)*(1+'Read Me'!$B$12),-1)</f>
        <v/>
      </c>
      <c r="W3166" s="17">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G-I-0018</t>
        </is>
      </c>
      <c r="B3167" s="12" t="inlineStr">
        <is>
          <t>G</t>
        </is>
      </c>
      <c r="C3167" s="12" t="inlineStr">
        <is>
          <t>Carbon capture</t>
        </is>
      </c>
      <c r="D3167" s="12" t="inlineStr">
        <is>
          <t>Home run JB-ABS-B-AI02 to the control / marshalling room</t>
        </is>
      </c>
      <c r="E3167" s="12" t="inlineStr"/>
      <c r="F3167" s="12" t="inlineStr">
        <is>
          <t>CCS F&amp;G / control</t>
        </is>
      </c>
      <c r="G3167" s="12" t="inlineStr">
        <is>
          <t>JB-ABS-B-AI02</t>
        </is>
      </c>
      <c r="H3167" s="12" t="inlineStr">
        <is>
          <t>Absorber B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Tray</t>
        </is>
      </c>
      <c r="T3167" s="17" t="n">
        <v>779</v>
      </c>
      <c r="U3167" s="17" t="n">
        <v>149</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G-I-0019</t>
        </is>
      </c>
      <c r="B3168" s="12" t="inlineStr">
        <is>
          <t>G</t>
        </is>
      </c>
      <c r="C3168" s="12" t="inlineStr">
        <is>
          <t>Carbon capture</t>
        </is>
      </c>
      <c r="D3168" s="12" t="inlineStr">
        <is>
          <t>Analog instrument to JB JB-ABS-B-AI03: 20 x 1 pr (field cables)</t>
        </is>
      </c>
      <c r="E3168" s="12" t="inlineStr">
        <is>
          <t>ABS-B</t>
        </is>
      </c>
      <c r="F3168" s="12" t="inlineStr">
        <is>
          <t>Absorber B (62 ft dia x 262 ft, stack to 313 ft)</t>
        </is>
      </c>
      <c r="G3168" s="12" t="inlineStr">
        <is>
          <t>JB-ABS-B-AI03</t>
        </is>
      </c>
      <c r="H3168" s="12" t="inlineStr">
        <is>
          <t>Absorber B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7" t="n">
        <v>212</v>
      </c>
      <c r="U3168" s="17" t="n">
        <v>10</v>
      </c>
      <c r="V3168" s="17">
        <f>ROUNDUP((T3168+U3168+2*'Read Me'!$B$13)*(1+'Read Me'!$B$12),-1)</f>
        <v/>
      </c>
      <c r="W3168" s="17">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G-I-0020</t>
        </is>
      </c>
      <c r="B3169" s="12" t="inlineStr">
        <is>
          <t>G</t>
        </is>
      </c>
      <c r="C3169" s="12" t="inlineStr">
        <is>
          <t>Carbon capture</t>
        </is>
      </c>
      <c r="D3169" s="12" t="inlineStr">
        <is>
          <t>Home run JB-ABS-B-AI03 to the control / marshalling room</t>
        </is>
      </c>
      <c r="E3169" s="12" t="inlineStr"/>
      <c r="F3169" s="12" t="inlineStr">
        <is>
          <t>CCS F&amp;G / control</t>
        </is>
      </c>
      <c r="G3169" s="12" t="inlineStr">
        <is>
          <t>JB-ABS-B-AI03</t>
        </is>
      </c>
      <c r="H3169" s="12" t="inlineStr">
        <is>
          <t>Absorber B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Tray</t>
        </is>
      </c>
      <c r="T3169" s="17" t="n">
        <v>779</v>
      </c>
      <c r="U3169" s="17" t="n">
        <v>149</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G-I-0021</t>
        </is>
      </c>
      <c r="B3170" s="12" t="inlineStr">
        <is>
          <t>G</t>
        </is>
      </c>
      <c r="C3170" s="12" t="inlineStr">
        <is>
          <t>Carbon capture</t>
        </is>
      </c>
      <c r="D3170" s="12" t="inlineStr">
        <is>
          <t>Discrete device to JB JB-ABS-B-DI01: 20 x 1 pr (field cables)</t>
        </is>
      </c>
      <c r="E3170" s="12" t="inlineStr">
        <is>
          <t>ABS-B</t>
        </is>
      </c>
      <c r="F3170" s="12" t="inlineStr">
        <is>
          <t>Absorber B (62 ft dia x 262 ft, stack to 313 ft)</t>
        </is>
      </c>
      <c r="G3170" s="12" t="inlineStr">
        <is>
          <t>JB-ABS-B-DI01</t>
        </is>
      </c>
      <c r="H3170" s="12" t="inlineStr">
        <is>
          <t>Absorber B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7" t="n">
        <v>212</v>
      </c>
      <c r="U3170" s="17" t="n">
        <v>10</v>
      </c>
      <c r="V3170" s="17">
        <f>ROUNDUP((T3170+U3170+2*'Read Me'!$B$13)*(1+'Read Me'!$B$12),-1)</f>
        <v/>
      </c>
      <c r="W3170" s="17">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G-I-0022</t>
        </is>
      </c>
      <c r="B3171" s="12" t="inlineStr">
        <is>
          <t>G</t>
        </is>
      </c>
      <c r="C3171" s="12" t="inlineStr">
        <is>
          <t>Carbon capture</t>
        </is>
      </c>
      <c r="D3171" s="12" t="inlineStr">
        <is>
          <t>Home run JB-ABS-B-DI01 to the control / marshalling room</t>
        </is>
      </c>
      <c r="E3171" s="12" t="inlineStr"/>
      <c r="F3171" s="12" t="inlineStr">
        <is>
          <t>CCS F&amp;G / control</t>
        </is>
      </c>
      <c r="G3171" s="12" t="inlineStr">
        <is>
          <t>JB-ABS-B-DI01</t>
        </is>
      </c>
      <c r="H3171" s="12" t="inlineStr">
        <is>
          <t>Absorber B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Tray</t>
        </is>
      </c>
      <c r="T3171" s="17" t="n">
        <v>779</v>
      </c>
      <c r="U3171" s="17" t="n">
        <v>149</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G-I-0023</t>
        </is>
      </c>
      <c r="B3172" s="12" t="inlineStr">
        <is>
          <t>G</t>
        </is>
      </c>
      <c r="C3172" s="12" t="inlineStr">
        <is>
          <t>Carbon capture</t>
        </is>
      </c>
      <c r="D3172" s="12" t="inlineStr">
        <is>
          <t>Discrete device to JB JB-ABS-B-DI02: 20 x 1 pr (field cables)</t>
        </is>
      </c>
      <c r="E3172" s="12" t="inlineStr">
        <is>
          <t>ABS-B</t>
        </is>
      </c>
      <c r="F3172" s="12" t="inlineStr">
        <is>
          <t>Absorber B (62 ft dia x 262 ft, stack to 313 ft)</t>
        </is>
      </c>
      <c r="G3172" s="12" t="inlineStr">
        <is>
          <t>JB-ABS-B-DI02</t>
        </is>
      </c>
      <c r="H3172" s="12" t="inlineStr">
        <is>
          <t>Absorber B (62 ft dia x 262 ft, stack to 313 ft)</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20</v>
      </c>
      <c r="O3172" s="12" t="n">
        <v>1</v>
      </c>
      <c r="P3172" s="12" t="n"/>
      <c r="Q3172" s="12" t="n"/>
      <c r="R3172" s="12" t="n"/>
      <c r="S3172" s="12" t="inlineStr">
        <is>
          <t>Tray / conduit</t>
        </is>
      </c>
      <c r="T3172" s="17" t="n">
        <v>212</v>
      </c>
      <c r="U3172" s="17" t="n">
        <v>10</v>
      </c>
      <c r="V3172" s="17">
        <f>ROUNDUP((T3172+U3172+2*'Read Me'!$B$13)*(1+'Read Me'!$B$12),-1)</f>
        <v/>
      </c>
      <c r="W3172" s="17">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G-I-0024</t>
        </is>
      </c>
      <c r="B3173" s="12" t="inlineStr">
        <is>
          <t>G</t>
        </is>
      </c>
      <c r="C3173" s="12" t="inlineStr">
        <is>
          <t>Carbon capture</t>
        </is>
      </c>
      <c r="D3173" s="12" t="inlineStr">
        <is>
          <t>Home run JB-ABS-B-DI02 to the control / marshalling room</t>
        </is>
      </c>
      <c r="E3173" s="12" t="inlineStr"/>
      <c r="F3173" s="12" t="inlineStr">
        <is>
          <t>CCS F&amp;G / control</t>
        </is>
      </c>
      <c r="G3173" s="12" t="inlineStr">
        <is>
          <t>JB-ABS-B-DI02</t>
        </is>
      </c>
      <c r="H3173" s="12" t="inlineStr">
        <is>
          <t>Absorber B (62 ft dia x 262 ft, stack to 313 ft)</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Tray</t>
        </is>
      </c>
      <c r="T3173" s="17" t="n">
        <v>779</v>
      </c>
      <c r="U3173" s="17" t="n">
        <v>149</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G-I-0025</t>
        </is>
      </c>
      <c r="B3174" s="12" t="inlineStr">
        <is>
          <t>G</t>
        </is>
      </c>
      <c r="C3174" s="12" t="inlineStr">
        <is>
          <t>Carbon capture</t>
        </is>
      </c>
      <c r="D3174" s="12" t="inlineStr">
        <is>
          <t>Analog instrument to JB JB-Absorber B interco-AI01: 15 x 1 pr (field cables)</t>
        </is>
      </c>
      <c r="E3174" s="12" t="inlineStr"/>
      <c r="F3174" s="12" t="inlineStr">
        <is>
          <t>Absorber B intercooler (pumps + plate exchanger)</t>
        </is>
      </c>
      <c r="G3174" s="12" t="inlineStr">
        <is>
          <t>JB-Absorber B interco-AI01</t>
        </is>
      </c>
      <c r="H3174" s="12" t="inlineStr">
        <is>
          <t>Absorber B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7" t="n">
        <v>55</v>
      </c>
      <c r="U3174" s="17" t="n">
        <v>10</v>
      </c>
      <c r="V3174" s="17">
        <f>ROUNDUP((T3174+U3174+2*'Read Me'!$B$13)*(1+'Read Me'!$B$12),-1)</f>
        <v/>
      </c>
      <c r="W3174" s="17">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G-I-0026</t>
        </is>
      </c>
      <c r="B3175" s="12" t="inlineStr">
        <is>
          <t>G</t>
        </is>
      </c>
      <c r="C3175" s="12" t="inlineStr">
        <is>
          <t>Carbon capture</t>
        </is>
      </c>
      <c r="D3175" s="12" t="inlineStr">
        <is>
          <t>Home run JB-Absorber B interco-AI01 to the control / marshalling room</t>
        </is>
      </c>
      <c r="E3175" s="12" t="inlineStr"/>
      <c r="F3175" s="12" t="inlineStr">
        <is>
          <t>CCS F&amp;G / control</t>
        </is>
      </c>
      <c r="G3175" s="12" t="inlineStr">
        <is>
          <t>JB-Absorber B interco-AI01</t>
        </is>
      </c>
      <c r="H3175" s="12" t="inlineStr">
        <is>
          <t>Absorber B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Tray</t>
        </is>
      </c>
      <c r="T3175" s="17" t="n">
        <v>761</v>
      </c>
      <c r="U3175" s="17" t="n">
        <v>150</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G-I-0027</t>
        </is>
      </c>
      <c r="B3176" s="12" t="inlineStr">
        <is>
          <t>G</t>
        </is>
      </c>
      <c r="C3176" s="12" t="inlineStr">
        <is>
          <t>Carbon capture</t>
        </is>
      </c>
      <c r="D3176" s="12" t="inlineStr">
        <is>
          <t>Discrete device to JB JB-Absorber B interco-DI01: 15 x 1 pr (field cables)</t>
        </is>
      </c>
      <c r="E3176" s="12" t="inlineStr"/>
      <c r="F3176" s="12" t="inlineStr">
        <is>
          <t>Absorber B intercooler (pumps + plate exchanger)</t>
        </is>
      </c>
      <c r="G3176" s="12" t="inlineStr">
        <is>
          <t>JB-Absorber B interco-DI01</t>
        </is>
      </c>
      <c r="H3176" s="12" t="inlineStr">
        <is>
          <t>Absorber B intercooler (pumps + plate exchanger)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15</v>
      </c>
      <c r="O3176" s="12" t="n">
        <v>1</v>
      </c>
      <c r="P3176" s="12" t="n"/>
      <c r="Q3176" s="12" t="n"/>
      <c r="R3176" s="12" t="n"/>
      <c r="S3176" s="12" t="inlineStr">
        <is>
          <t>Tray / conduit</t>
        </is>
      </c>
      <c r="T3176" s="17" t="n">
        <v>55</v>
      </c>
      <c r="U3176" s="17" t="n">
        <v>10</v>
      </c>
      <c r="V3176" s="17">
        <f>ROUNDUP((T3176+U3176+2*'Read Me'!$B$13)*(1+'Read Me'!$B$12),-1)</f>
        <v/>
      </c>
      <c r="W3176" s="17">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G-I-0028</t>
        </is>
      </c>
      <c r="B3177" s="12" t="inlineStr">
        <is>
          <t>G</t>
        </is>
      </c>
      <c r="C3177" s="12" t="inlineStr">
        <is>
          <t>Carbon capture</t>
        </is>
      </c>
      <c r="D3177" s="12" t="inlineStr">
        <is>
          <t>Home run JB-Absorber B interco-DI01 to the control / marshalling room</t>
        </is>
      </c>
      <c r="E3177" s="12" t="inlineStr"/>
      <c r="F3177" s="12" t="inlineStr">
        <is>
          <t>CCS F&amp;G / control</t>
        </is>
      </c>
      <c r="G3177" s="12" t="inlineStr">
        <is>
          <t>JB-Absorber B interco-DI01</t>
        </is>
      </c>
      <c r="H3177" s="12" t="inlineStr">
        <is>
          <t>Absorber B intercooler (pumps + plate exchanger)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Tray</t>
        </is>
      </c>
      <c r="T3177" s="17" t="n">
        <v>761</v>
      </c>
      <c r="U3177" s="17" t="n">
        <v>150</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G-I-0029</t>
        </is>
      </c>
      <c r="B3178" s="12" t="inlineStr">
        <is>
          <t>G</t>
        </is>
      </c>
      <c r="C3178" s="12" t="inlineStr">
        <is>
          <t>Carbon capture</t>
        </is>
      </c>
      <c r="D3178" s="12" t="inlineStr">
        <is>
          <t>Analog instrument to JB JB-ABS-C-AI01: 20 x 1 pr (field cables)</t>
        </is>
      </c>
      <c r="E3178" s="12" t="inlineStr">
        <is>
          <t>ABS-C</t>
        </is>
      </c>
      <c r="F3178" s="12" t="inlineStr">
        <is>
          <t>Absorber C (62 ft dia x 262 ft, stack to 313 ft)</t>
        </is>
      </c>
      <c r="G3178" s="12" t="inlineStr">
        <is>
          <t>JB-ABS-C-AI01</t>
        </is>
      </c>
      <c r="H3178" s="12" t="inlineStr">
        <is>
          <t>Absorber C (62 ft dia x 262 ft, stack to 313 ft)</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7" t="n">
        <v>212</v>
      </c>
      <c r="U3178" s="17" t="n">
        <v>10</v>
      </c>
      <c r="V3178" s="17">
        <f>ROUNDUP((T3178+U3178+2*'Read Me'!$B$13)*(1+'Read Me'!$B$12),-1)</f>
        <v/>
      </c>
      <c r="W3178" s="17">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G-I-0030</t>
        </is>
      </c>
      <c r="B3179" s="12" t="inlineStr">
        <is>
          <t>G</t>
        </is>
      </c>
      <c r="C3179" s="12" t="inlineStr">
        <is>
          <t>Carbon capture</t>
        </is>
      </c>
      <c r="D3179" s="12" t="inlineStr">
        <is>
          <t>Home run JB-ABS-C-AI01 to the control / marshalling room</t>
        </is>
      </c>
      <c r="E3179" s="12" t="inlineStr"/>
      <c r="F3179" s="12" t="inlineStr">
        <is>
          <t>CCS F&amp;G / control</t>
        </is>
      </c>
      <c r="G3179" s="12" t="inlineStr">
        <is>
          <t>JB-ABS-C-AI01</t>
        </is>
      </c>
      <c r="H3179" s="12" t="inlineStr">
        <is>
          <t>Absorber C (62 ft dia x 262 ft, stack to 313 ft)</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7" t="n">
        <v>619</v>
      </c>
      <c r="U3179" s="17" t="n">
        <v>149</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G-I-0031</t>
        </is>
      </c>
      <c r="B3180" s="12" t="inlineStr">
        <is>
          <t>G</t>
        </is>
      </c>
      <c r="C3180" s="12" t="inlineStr">
        <is>
          <t>Carbon capture</t>
        </is>
      </c>
      <c r="D3180" s="12" t="inlineStr">
        <is>
          <t>Analog instrument to JB JB-ABS-C-AI02: 20 x 1 pr (field cables)</t>
        </is>
      </c>
      <c r="E3180" s="12" t="inlineStr">
        <is>
          <t>ABS-C</t>
        </is>
      </c>
      <c r="F3180" s="12" t="inlineStr">
        <is>
          <t>Absorber C (62 ft dia x 262 ft, stack to 313 ft)</t>
        </is>
      </c>
      <c r="G3180" s="12" t="inlineStr">
        <is>
          <t>JB-ABS-C-AI02</t>
        </is>
      </c>
      <c r="H3180" s="12" t="inlineStr">
        <is>
          <t>Absorber C (62 ft dia x 262 ft, stack to 313 ft)</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7" t="n">
        <v>212</v>
      </c>
      <c r="U3180" s="17" t="n">
        <v>10</v>
      </c>
      <c r="V3180" s="17">
        <f>ROUNDUP((T3180+U3180+2*'Read Me'!$B$13)*(1+'Read Me'!$B$12),-1)</f>
        <v/>
      </c>
      <c r="W3180" s="17">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G-I-0032</t>
        </is>
      </c>
      <c r="B3181" s="12" t="inlineStr">
        <is>
          <t>G</t>
        </is>
      </c>
      <c r="C3181" s="12" t="inlineStr">
        <is>
          <t>Carbon capture</t>
        </is>
      </c>
      <c r="D3181" s="12" t="inlineStr">
        <is>
          <t>Home run JB-ABS-C-AI02 to the control / marshalling room</t>
        </is>
      </c>
      <c r="E3181" s="12" t="inlineStr"/>
      <c r="F3181" s="12" t="inlineStr">
        <is>
          <t>CCS F&amp;G / control</t>
        </is>
      </c>
      <c r="G3181" s="12" t="inlineStr">
        <is>
          <t>JB-ABS-C-AI02</t>
        </is>
      </c>
      <c r="H3181" s="12" t="inlineStr">
        <is>
          <t>Absorber C (62 ft dia x 262 ft, stack to 313 ft)</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7" t="n">
        <v>619</v>
      </c>
      <c r="U3181" s="17" t="n">
        <v>149</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G-I-0033</t>
        </is>
      </c>
      <c r="B3182" s="12" t="inlineStr">
        <is>
          <t>G</t>
        </is>
      </c>
      <c r="C3182" s="12" t="inlineStr">
        <is>
          <t>Carbon capture</t>
        </is>
      </c>
      <c r="D3182" s="12" t="inlineStr">
        <is>
          <t>Analog instrument to JB JB-ABS-C-AI03: 20 x 1 pr (field cables)</t>
        </is>
      </c>
      <c r="E3182" s="12" t="inlineStr">
        <is>
          <t>ABS-C</t>
        </is>
      </c>
      <c r="F3182" s="12" t="inlineStr">
        <is>
          <t>Absorber C (62 ft dia x 262 ft, stack to 313 ft)</t>
        </is>
      </c>
      <c r="G3182" s="12" t="inlineStr">
        <is>
          <t>JB-ABS-C-AI03</t>
        </is>
      </c>
      <c r="H3182" s="12" t="inlineStr">
        <is>
          <t>Absorber C (62 ft dia x 262 ft, stack to 313 ft)</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7" t="n">
        <v>212</v>
      </c>
      <c r="U3182" s="17" t="n">
        <v>10</v>
      </c>
      <c r="V3182" s="17">
        <f>ROUNDUP((T3182+U3182+2*'Read Me'!$B$13)*(1+'Read Me'!$B$12),-1)</f>
        <v/>
      </c>
      <c r="W3182" s="17">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G-I-0034</t>
        </is>
      </c>
      <c r="B3183" s="12" t="inlineStr">
        <is>
          <t>G</t>
        </is>
      </c>
      <c r="C3183" s="12" t="inlineStr">
        <is>
          <t>Carbon capture</t>
        </is>
      </c>
      <c r="D3183" s="12" t="inlineStr">
        <is>
          <t>Home run JB-ABS-C-AI03 to the control / marshalling room</t>
        </is>
      </c>
      <c r="E3183" s="12" t="inlineStr"/>
      <c r="F3183" s="12" t="inlineStr">
        <is>
          <t>CCS F&amp;G / control</t>
        </is>
      </c>
      <c r="G3183" s="12" t="inlineStr">
        <is>
          <t>JB-ABS-C-AI03</t>
        </is>
      </c>
      <c r="H3183" s="12" t="inlineStr">
        <is>
          <t>Absorber C (62 ft dia x 262 ft, stack to 313 ft)</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7" t="n">
        <v>619</v>
      </c>
      <c r="U3183" s="17" t="n">
        <v>149</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G-I-0035</t>
        </is>
      </c>
      <c r="B3184" s="12" t="inlineStr">
        <is>
          <t>G</t>
        </is>
      </c>
      <c r="C3184" s="12" t="inlineStr">
        <is>
          <t>Carbon capture</t>
        </is>
      </c>
      <c r="D3184" s="12" t="inlineStr">
        <is>
          <t>Discrete device to JB JB-ABS-C-DI01: 20 x 1 pr (field cables)</t>
        </is>
      </c>
      <c r="E3184" s="12" t="inlineStr">
        <is>
          <t>ABS-C</t>
        </is>
      </c>
      <c r="F3184" s="12" t="inlineStr">
        <is>
          <t>Absorber C (62 ft dia x 262 ft, stack to 313 ft)</t>
        </is>
      </c>
      <c r="G3184" s="12" t="inlineStr">
        <is>
          <t>JB-ABS-C-DI01</t>
        </is>
      </c>
      <c r="H3184" s="12" t="inlineStr">
        <is>
          <t>Absorber C (62 ft dia x 262 ft, stack to 313 ft)</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7" t="n">
        <v>212</v>
      </c>
      <c r="U3184" s="17" t="n">
        <v>10</v>
      </c>
      <c r="V3184" s="17">
        <f>ROUNDUP((T3184+U3184+2*'Read Me'!$B$13)*(1+'Read Me'!$B$12),-1)</f>
        <v/>
      </c>
      <c r="W3184" s="17">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G-I-0036</t>
        </is>
      </c>
      <c r="B3185" s="12" t="inlineStr">
        <is>
          <t>G</t>
        </is>
      </c>
      <c r="C3185" s="12" t="inlineStr">
        <is>
          <t>Carbon capture</t>
        </is>
      </c>
      <c r="D3185" s="12" t="inlineStr">
        <is>
          <t>Home run JB-ABS-C-DI01 to the control / marshalling room</t>
        </is>
      </c>
      <c r="E3185" s="12" t="inlineStr"/>
      <c r="F3185" s="12" t="inlineStr">
        <is>
          <t>CCS F&amp;G / control</t>
        </is>
      </c>
      <c r="G3185" s="12" t="inlineStr">
        <is>
          <t>JB-ABS-C-DI01</t>
        </is>
      </c>
      <c r="H3185" s="12" t="inlineStr">
        <is>
          <t>Absorber C (62 ft dia x 262 ft, stack to 313 ft)</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7" t="n">
        <v>619</v>
      </c>
      <c r="U3185" s="17" t="n">
        <v>149</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G-I-0037</t>
        </is>
      </c>
      <c r="B3186" s="12" t="inlineStr">
        <is>
          <t>G</t>
        </is>
      </c>
      <c r="C3186" s="12" t="inlineStr">
        <is>
          <t>Carbon capture</t>
        </is>
      </c>
      <c r="D3186" s="12" t="inlineStr">
        <is>
          <t>Discrete device to JB JB-ABS-C-DI02: 20 x 1 pr (field cables)</t>
        </is>
      </c>
      <c r="E3186" s="12" t="inlineStr">
        <is>
          <t>ABS-C</t>
        </is>
      </c>
      <c r="F3186" s="12" t="inlineStr">
        <is>
          <t>Absorber C (62 ft dia x 262 ft, stack to 313 ft)</t>
        </is>
      </c>
      <c r="G3186" s="12" t="inlineStr">
        <is>
          <t>JB-ABS-C-DI02</t>
        </is>
      </c>
      <c r="H3186" s="12" t="inlineStr">
        <is>
          <t>Absorber C (62 ft dia x 262 ft, stack to 313 ft)</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20</v>
      </c>
      <c r="O3186" s="12" t="n">
        <v>1</v>
      </c>
      <c r="P3186" s="12" t="n"/>
      <c r="Q3186" s="12" t="n"/>
      <c r="R3186" s="12" t="n"/>
      <c r="S3186" s="12" t="inlineStr">
        <is>
          <t>Tray / conduit</t>
        </is>
      </c>
      <c r="T3186" s="17" t="n">
        <v>212</v>
      </c>
      <c r="U3186" s="17" t="n">
        <v>10</v>
      </c>
      <c r="V3186" s="17">
        <f>ROUNDUP((T3186+U3186+2*'Read Me'!$B$13)*(1+'Read Me'!$B$12),-1)</f>
        <v/>
      </c>
      <c r="W3186" s="17">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G-I-0038</t>
        </is>
      </c>
      <c r="B3187" s="12" t="inlineStr">
        <is>
          <t>G</t>
        </is>
      </c>
      <c r="C3187" s="12" t="inlineStr">
        <is>
          <t>Carbon capture</t>
        </is>
      </c>
      <c r="D3187" s="12" t="inlineStr">
        <is>
          <t>Home run JB-ABS-C-DI02 to the control / marshalling room</t>
        </is>
      </c>
      <c r="E3187" s="12" t="inlineStr"/>
      <c r="F3187" s="12" t="inlineStr">
        <is>
          <t>CCS F&amp;G / control</t>
        </is>
      </c>
      <c r="G3187" s="12" t="inlineStr">
        <is>
          <t>JB-ABS-C-DI02</t>
        </is>
      </c>
      <c r="H3187" s="12" t="inlineStr">
        <is>
          <t>Absorber C (62 ft dia x 262 ft, stack to 313 ft)</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7" t="n">
        <v>619</v>
      </c>
      <c r="U3187" s="17" t="n">
        <v>149</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G-I-0039</t>
        </is>
      </c>
      <c r="B3188" s="12" t="inlineStr">
        <is>
          <t>G</t>
        </is>
      </c>
      <c r="C3188" s="12" t="inlineStr">
        <is>
          <t>Carbon capture</t>
        </is>
      </c>
      <c r="D3188" s="12" t="inlineStr">
        <is>
          <t>Analog instrument to JB JB-Absorber C interco-AI01: 15 x 1 pr (field cables)</t>
        </is>
      </c>
      <c r="E3188" s="12" t="inlineStr"/>
      <c r="F3188" s="12" t="inlineStr">
        <is>
          <t>Absorber C intercooler (pumps + plate exchanger)</t>
        </is>
      </c>
      <c r="G3188" s="12" t="inlineStr">
        <is>
          <t>JB-Absorber C interco-AI01</t>
        </is>
      </c>
      <c r="H3188" s="12" t="inlineStr">
        <is>
          <t>Absorber C intercooler (pumps + plate exchanger)</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15</v>
      </c>
      <c r="O3188" s="12" t="n">
        <v>1</v>
      </c>
      <c r="P3188" s="12" t="n"/>
      <c r="Q3188" s="12" t="n"/>
      <c r="R3188" s="12" t="n"/>
      <c r="S3188" s="12" t="inlineStr">
        <is>
          <t>Tray / conduit</t>
        </is>
      </c>
      <c r="T3188" s="17" t="n">
        <v>55</v>
      </c>
      <c r="U3188" s="17" t="n">
        <v>10</v>
      </c>
      <c r="V3188" s="17">
        <f>ROUNDUP((T3188+U3188+2*'Read Me'!$B$13)*(1+'Read Me'!$B$12),-1)</f>
        <v/>
      </c>
      <c r="W3188" s="17">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G-I-0040</t>
        </is>
      </c>
      <c r="B3189" s="12" t="inlineStr">
        <is>
          <t>G</t>
        </is>
      </c>
      <c r="C3189" s="12" t="inlineStr">
        <is>
          <t>Carbon capture</t>
        </is>
      </c>
      <c r="D3189" s="12" t="inlineStr">
        <is>
          <t>Home run JB-Absorber C interco-AI01 to the control / marshalling room</t>
        </is>
      </c>
      <c r="E3189" s="12" t="inlineStr"/>
      <c r="F3189" s="12" t="inlineStr">
        <is>
          <t>CCS F&amp;G / control</t>
        </is>
      </c>
      <c r="G3189" s="12" t="inlineStr">
        <is>
          <t>JB-Absorber C interco-AI01</t>
        </is>
      </c>
      <c r="H3189" s="12" t="inlineStr">
        <is>
          <t>Absorber C intercooler (pumps + plate exchanger)</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7" t="n">
        <v>601</v>
      </c>
      <c r="U3189" s="17" t="n">
        <v>150</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G-I-0041</t>
        </is>
      </c>
      <c r="B3190" s="12" t="inlineStr">
        <is>
          <t>G</t>
        </is>
      </c>
      <c r="C3190" s="12" t="inlineStr">
        <is>
          <t>Carbon capture</t>
        </is>
      </c>
      <c r="D3190" s="12" t="inlineStr">
        <is>
          <t>Discrete device to JB JB-Absorber C interco-DI01: 15 x 1 pr (field cables)</t>
        </is>
      </c>
      <c r="E3190" s="12" t="inlineStr"/>
      <c r="F3190" s="12" t="inlineStr">
        <is>
          <t>Absorber C intercooler (pumps + plate exchanger)</t>
        </is>
      </c>
      <c r="G3190" s="12" t="inlineStr">
        <is>
          <t>JB-Absorber C interco-DI01</t>
        </is>
      </c>
      <c r="H3190" s="12" t="inlineStr">
        <is>
          <t>Absorber C intercooler (pumps + plate exchanger)</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15</v>
      </c>
      <c r="O3190" s="12" t="n">
        <v>1</v>
      </c>
      <c r="P3190" s="12" t="n"/>
      <c r="Q3190" s="12" t="n"/>
      <c r="R3190" s="12" t="n"/>
      <c r="S3190" s="12" t="inlineStr">
        <is>
          <t>Tray / conduit</t>
        </is>
      </c>
      <c r="T3190" s="17" t="n">
        <v>55</v>
      </c>
      <c r="U3190" s="17" t="n">
        <v>10</v>
      </c>
      <c r="V3190" s="17">
        <f>ROUNDUP((T3190+U3190+2*'Read Me'!$B$13)*(1+'Read Me'!$B$12),-1)</f>
        <v/>
      </c>
      <c r="W3190" s="17">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G-I-0042</t>
        </is>
      </c>
      <c r="B3191" s="12" t="inlineStr">
        <is>
          <t>G</t>
        </is>
      </c>
      <c r="C3191" s="12" t="inlineStr">
        <is>
          <t>Carbon capture</t>
        </is>
      </c>
      <c r="D3191" s="12" t="inlineStr">
        <is>
          <t>Home run JB-Absorber C interco-DI01 to the control / marshalling room</t>
        </is>
      </c>
      <c r="E3191" s="12" t="inlineStr"/>
      <c r="F3191" s="12" t="inlineStr">
        <is>
          <t>CCS F&amp;G / control</t>
        </is>
      </c>
      <c r="G3191" s="12" t="inlineStr">
        <is>
          <t>JB-Absorber C interco-DI01</t>
        </is>
      </c>
      <c r="H3191" s="12" t="inlineStr">
        <is>
          <t>Absorber C intercooler (pumps + plate exchanger)</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7" t="n">
        <v>601</v>
      </c>
      <c r="U3191" s="17" t="n">
        <v>150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G-I-0043</t>
        </is>
      </c>
      <c r="B3192" s="12" t="inlineStr">
        <is>
          <t>G</t>
        </is>
      </c>
      <c r="C3192" s="12" t="inlineStr">
        <is>
          <t>Carbon capture</t>
        </is>
      </c>
      <c r="D3192" s="12" t="inlineStr">
        <is>
          <t>Analog instrument to JB JB-Activated-carbon f-AI01: 6 x 1 pr (field cables)</t>
        </is>
      </c>
      <c r="E3192" s="12" t="inlineStr"/>
      <c r="F3192" s="12" t="inlineStr">
        <is>
          <t>Activated-carbon filter</t>
        </is>
      </c>
      <c r="G3192" s="12" t="inlineStr">
        <is>
          <t>JB-Activated-carbon f-AI01</t>
        </is>
      </c>
      <c r="H3192" s="12" t="inlineStr">
        <is>
          <t>Activated-carbon filter</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6</v>
      </c>
      <c r="O3192" s="12" t="n">
        <v>1</v>
      </c>
      <c r="P3192" s="12" t="n"/>
      <c r="Q3192" s="12" t="n"/>
      <c r="R3192" s="12" t="n"/>
      <c r="S3192" s="12" t="inlineStr">
        <is>
          <t>Tray / conduit</t>
        </is>
      </c>
      <c r="T3192" s="17" t="n">
        <v>91</v>
      </c>
      <c r="U3192" s="17" t="n">
        <v>10</v>
      </c>
      <c r="V3192" s="17">
        <f>ROUNDUP((T3192+U3192+2*'Read Me'!$B$13)*(1+'Read Me'!$B$12),-1)</f>
        <v/>
      </c>
      <c r="W3192" s="17">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G-I-0044</t>
        </is>
      </c>
      <c r="B3193" s="12" t="inlineStr">
        <is>
          <t>G</t>
        </is>
      </c>
      <c r="C3193" s="12" t="inlineStr">
        <is>
          <t>Carbon capture</t>
        </is>
      </c>
      <c r="D3193" s="12" t="inlineStr">
        <is>
          <t>Home run JB-Activated-carbon f-AI01 to the control / marshalling room</t>
        </is>
      </c>
      <c r="E3193" s="12" t="inlineStr"/>
      <c r="F3193" s="12" t="inlineStr">
        <is>
          <t>CCS F&amp;G / control</t>
        </is>
      </c>
      <c r="G3193" s="12" t="inlineStr">
        <is>
          <t>JB-Activated-carbon f-AI01</t>
        </is>
      </c>
      <c r="H3193" s="12" t="inlineStr">
        <is>
          <t>Activated-carbon filter</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7" t="n">
        <v>185</v>
      </c>
      <c r="U3193" s="17" t="n">
        <v>112</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G-I-0045</t>
        </is>
      </c>
      <c r="B3194" s="12" t="inlineStr">
        <is>
          <t>G</t>
        </is>
      </c>
      <c r="C3194" s="12" t="inlineStr">
        <is>
          <t>Carbon capture</t>
        </is>
      </c>
      <c r="D3194" s="12" t="inlineStr">
        <is>
          <t>Discrete device to JB JB-Activated-carbon f-DI01: 6 x 1 pr (field cables)</t>
        </is>
      </c>
      <c r="E3194" s="12" t="inlineStr"/>
      <c r="F3194" s="12" t="inlineStr">
        <is>
          <t>Activated-carbon filter</t>
        </is>
      </c>
      <c r="G3194" s="12" t="inlineStr">
        <is>
          <t>JB-Activated-carbon f-DI01</t>
        </is>
      </c>
      <c r="H3194" s="12" t="inlineStr">
        <is>
          <t>Activated-carbon filter</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6</v>
      </c>
      <c r="O3194" s="12" t="n">
        <v>1</v>
      </c>
      <c r="P3194" s="12" t="n"/>
      <c r="Q3194" s="12" t="n"/>
      <c r="R3194" s="12" t="n"/>
      <c r="S3194" s="12" t="inlineStr">
        <is>
          <t>Tray / conduit</t>
        </is>
      </c>
      <c r="T3194" s="17" t="n">
        <v>91</v>
      </c>
      <c r="U3194" s="17" t="n">
        <v>10</v>
      </c>
      <c r="V3194" s="17">
        <f>ROUNDUP((T3194+U3194+2*'Read Me'!$B$13)*(1+'Read Me'!$B$12),-1)</f>
        <v/>
      </c>
      <c r="W3194" s="17">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G-I-0046</t>
        </is>
      </c>
      <c r="B3195" s="12" t="inlineStr">
        <is>
          <t>G</t>
        </is>
      </c>
      <c r="C3195" s="12" t="inlineStr">
        <is>
          <t>Carbon capture</t>
        </is>
      </c>
      <c r="D3195" s="12" t="inlineStr">
        <is>
          <t>Home run JB-Activated-carbon f-DI01 to the control / marshalling room</t>
        </is>
      </c>
      <c r="E3195" s="12" t="inlineStr"/>
      <c r="F3195" s="12" t="inlineStr">
        <is>
          <t>CCS F&amp;G / control</t>
        </is>
      </c>
      <c r="G3195" s="12" t="inlineStr">
        <is>
          <t>JB-Activated-carbon f-DI01</t>
        </is>
      </c>
      <c r="H3195" s="12" t="inlineStr">
        <is>
          <t>Activated-carbon filter</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7" t="n">
        <v>185</v>
      </c>
      <c r="U3195" s="17" t="n">
        <v>112</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G-I-0047</t>
        </is>
      </c>
      <c r="B3196" s="12" t="inlineStr">
        <is>
          <t>G</t>
        </is>
      </c>
      <c r="C3196" s="12" t="inlineStr">
        <is>
          <t>Carbon capture</t>
        </is>
      </c>
      <c r="D3196" s="12" t="inlineStr">
        <is>
          <t>Analog instrument to JB JB-BF-A-AI01: 20 x 1 pr (field cables)</t>
        </is>
      </c>
      <c r="E3196" s="12" t="inlineStr">
        <is>
          <t>BF-A</t>
        </is>
      </c>
      <c r="F3196" s="12" t="inlineStr">
        <is>
          <t>BF-A: booster fan (~16 MW)</t>
        </is>
      </c>
      <c r="G3196" s="12" t="inlineStr">
        <is>
          <t>JB-BF-A-AI01</t>
        </is>
      </c>
      <c r="H3196" s="12" t="inlineStr">
        <is>
          <t>BF-A: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20</v>
      </c>
      <c r="O3196" s="12" t="n">
        <v>1</v>
      </c>
      <c r="P3196" s="12" t="n"/>
      <c r="Q3196" s="12" t="n"/>
      <c r="R3196" s="12" t="n"/>
      <c r="S3196" s="12" t="inlineStr">
        <is>
          <t>Tray / conduit</t>
        </is>
      </c>
      <c r="T3196" s="17" t="n">
        <v>82</v>
      </c>
      <c r="U3196" s="17" t="n">
        <v>10</v>
      </c>
      <c r="V3196" s="17">
        <f>ROUNDUP((T3196+U3196+2*'Read Me'!$B$13)*(1+'Read Me'!$B$12),-1)</f>
        <v/>
      </c>
      <c r="W3196" s="17">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G-I-0048</t>
        </is>
      </c>
      <c r="B3197" s="12" t="inlineStr">
        <is>
          <t>G</t>
        </is>
      </c>
      <c r="C3197" s="12" t="inlineStr">
        <is>
          <t>Carbon capture</t>
        </is>
      </c>
      <c r="D3197" s="12" t="inlineStr">
        <is>
          <t>Home run JB-BF-A-AI01 to the control / marshalling room</t>
        </is>
      </c>
      <c r="E3197" s="12" t="inlineStr"/>
      <c r="F3197" s="12" t="inlineStr">
        <is>
          <t>CCS F&amp;G / control</t>
        </is>
      </c>
      <c r="G3197" s="12" t="inlineStr">
        <is>
          <t>JB-BF-A-AI01</t>
        </is>
      </c>
      <c r="H3197" s="12" t="inlineStr">
        <is>
          <t>BF-A: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7" t="n">
        <v>861</v>
      </c>
      <c r="U3197" s="17" t="n">
        <v>101</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G-I-0049</t>
        </is>
      </c>
      <c r="B3198" s="12" t="inlineStr">
        <is>
          <t>G</t>
        </is>
      </c>
      <c r="C3198" s="12" t="inlineStr">
        <is>
          <t>Carbon capture</t>
        </is>
      </c>
      <c r="D3198" s="12" t="inlineStr">
        <is>
          <t>Analog instrument to JB JB-BF-A-AI02: 10 x 1 pr (field cables)</t>
        </is>
      </c>
      <c r="E3198" s="12" t="inlineStr">
        <is>
          <t>BF-A</t>
        </is>
      </c>
      <c r="F3198" s="12" t="inlineStr">
        <is>
          <t>BF-A: booster fan (~16 MW)</t>
        </is>
      </c>
      <c r="G3198" s="12" t="inlineStr">
        <is>
          <t>JB-BF-A-AI02</t>
        </is>
      </c>
      <c r="H3198" s="12" t="inlineStr">
        <is>
          <t>BF-A: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10</v>
      </c>
      <c r="O3198" s="12" t="n">
        <v>1</v>
      </c>
      <c r="P3198" s="12" t="n"/>
      <c r="Q3198" s="12" t="n"/>
      <c r="R3198" s="12" t="n"/>
      <c r="S3198" s="12" t="inlineStr">
        <is>
          <t>Tray / conduit</t>
        </is>
      </c>
      <c r="T3198" s="17" t="n">
        <v>82</v>
      </c>
      <c r="U3198" s="17" t="n">
        <v>10</v>
      </c>
      <c r="V3198" s="17">
        <f>ROUNDUP((T3198+U3198+2*'Read Me'!$B$13)*(1+'Read Me'!$B$12),-1)</f>
        <v/>
      </c>
      <c r="W3198" s="17">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G-I-0050</t>
        </is>
      </c>
      <c r="B3199" s="12" t="inlineStr">
        <is>
          <t>G</t>
        </is>
      </c>
      <c r="C3199" s="12" t="inlineStr">
        <is>
          <t>Carbon capture</t>
        </is>
      </c>
      <c r="D3199" s="12" t="inlineStr">
        <is>
          <t>Home run JB-BF-A-AI02 to the control / marshalling room</t>
        </is>
      </c>
      <c r="E3199" s="12" t="inlineStr"/>
      <c r="F3199" s="12" t="inlineStr">
        <is>
          <t>CCS F&amp;G / control</t>
        </is>
      </c>
      <c r="G3199" s="12" t="inlineStr">
        <is>
          <t>JB-BF-A-AI02</t>
        </is>
      </c>
      <c r="H3199" s="12" t="inlineStr">
        <is>
          <t>BF-A: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7" t="n">
        <v>861</v>
      </c>
      <c r="U3199" s="17" t="n">
        <v>101</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G-I-0051</t>
        </is>
      </c>
      <c r="B3200" s="12" t="inlineStr">
        <is>
          <t>G</t>
        </is>
      </c>
      <c r="C3200" s="12" t="inlineStr">
        <is>
          <t>Carbon capture</t>
        </is>
      </c>
      <c r="D3200" s="12" t="inlineStr">
        <is>
          <t>Discrete device to JB JB-BF-A-DI01: 20 x 1 pr (field cables)</t>
        </is>
      </c>
      <c r="E3200" s="12" t="inlineStr">
        <is>
          <t>BF-A</t>
        </is>
      </c>
      <c r="F3200" s="12" t="inlineStr">
        <is>
          <t>BF-A: booster fan (~16 MW)</t>
        </is>
      </c>
      <c r="G3200" s="12" t="inlineStr">
        <is>
          <t>JB-BF-A-DI01</t>
        </is>
      </c>
      <c r="H3200" s="12" t="inlineStr">
        <is>
          <t>BF-A: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7" t="n">
        <v>82</v>
      </c>
      <c r="U3200" s="17" t="n">
        <v>10</v>
      </c>
      <c r="V3200" s="17">
        <f>ROUNDUP((T3200+U3200+2*'Read Me'!$B$13)*(1+'Read Me'!$B$12),-1)</f>
        <v/>
      </c>
      <c r="W3200" s="17">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G-I-0052</t>
        </is>
      </c>
      <c r="B3201" s="12" t="inlineStr">
        <is>
          <t>G</t>
        </is>
      </c>
      <c r="C3201" s="12" t="inlineStr">
        <is>
          <t>Carbon capture</t>
        </is>
      </c>
      <c r="D3201" s="12" t="inlineStr">
        <is>
          <t>Home run JB-BF-A-DI01 to the control / marshalling room</t>
        </is>
      </c>
      <c r="E3201" s="12" t="inlineStr"/>
      <c r="F3201" s="12" t="inlineStr">
        <is>
          <t>CCS F&amp;G / control</t>
        </is>
      </c>
      <c r="G3201" s="12" t="inlineStr">
        <is>
          <t>JB-BF-A-DI01</t>
        </is>
      </c>
      <c r="H3201" s="12" t="inlineStr">
        <is>
          <t>BF-A: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7" t="n">
        <v>861</v>
      </c>
      <c r="U3201" s="17" t="n">
        <v>101</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G-I-0053</t>
        </is>
      </c>
      <c r="B3202" s="12" t="inlineStr">
        <is>
          <t>G</t>
        </is>
      </c>
      <c r="C3202" s="12" t="inlineStr">
        <is>
          <t>Carbon capture</t>
        </is>
      </c>
      <c r="D3202" s="12" t="inlineStr">
        <is>
          <t>RTD to JB JB-BF-A-RTD01: 10 x 1 tri (field cables)</t>
        </is>
      </c>
      <c r="E3202" s="12" t="inlineStr">
        <is>
          <t>BF-A</t>
        </is>
      </c>
      <c r="F3202" s="12" t="inlineStr">
        <is>
          <t>BF-A: booster fan (~16 MW)</t>
        </is>
      </c>
      <c r="G3202" s="12" t="inlineStr">
        <is>
          <t>JB-BF-A-RTD01</t>
        </is>
      </c>
      <c r="H3202" s="12" t="inlineStr">
        <is>
          <t>BF-A: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10</v>
      </c>
      <c r="O3202" s="12" t="n">
        <v>1</v>
      </c>
      <c r="P3202" s="12" t="n"/>
      <c r="Q3202" s="12" t="n"/>
      <c r="R3202" s="12" t="n"/>
      <c r="S3202" s="12" t="inlineStr">
        <is>
          <t>Tray / conduit</t>
        </is>
      </c>
      <c r="T3202" s="17" t="n">
        <v>82</v>
      </c>
      <c r="U3202" s="17" t="n">
        <v>10</v>
      </c>
      <c r="V3202" s="17">
        <f>ROUNDUP((T3202+U3202+2*'Read Me'!$B$13)*(1+'Read Me'!$B$12),-1)</f>
        <v/>
      </c>
      <c r="W3202" s="17">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G-I-0054</t>
        </is>
      </c>
      <c r="B3203" s="12" t="inlineStr">
        <is>
          <t>G</t>
        </is>
      </c>
      <c r="C3203" s="12" t="inlineStr">
        <is>
          <t>Carbon capture</t>
        </is>
      </c>
      <c r="D3203" s="12" t="inlineStr">
        <is>
          <t>Home run JB-BF-A-RTD01 to the control / marshalling room</t>
        </is>
      </c>
      <c r="E3203" s="12" t="inlineStr"/>
      <c r="F3203" s="12" t="inlineStr">
        <is>
          <t>CCS F&amp;G / control</t>
        </is>
      </c>
      <c r="G3203" s="12" t="inlineStr">
        <is>
          <t>JB-BF-A-RTD01</t>
        </is>
      </c>
      <c r="H3203" s="12" t="inlineStr">
        <is>
          <t>BF-A: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7" t="n">
        <v>861</v>
      </c>
      <c r="U3203" s="17" t="n">
        <v>101</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G-I-0055</t>
        </is>
      </c>
      <c r="B3204" s="12" t="inlineStr">
        <is>
          <t>G</t>
        </is>
      </c>
      <c r="C3204" s="12" t="inlineStr">
        <is>
          <t>Carbon capture</t>
        </is>
      </c>
      <c r="D3204" s="12" t="inlineStr">
        <is>
          <t>RTD to JB JB-BF-A-RTD02: 8 x 1 tri (field cables)</t>
        </is>
      </c>
      <c r="E3204" s="12" t="inlineStr">
        <is>
          <t>BF-A</t>
        </is>
      </c>
      <c r="F3204" s="12" t="inlineStr">
        <is>
          <t>BF-A: booster fan (~16 MW)</t>
        </is>
      </c>
      <c r="G3204" s="12" t="inlineStr">
        <is>
          <t>JB-BF-A-RTD02</t>
        </is>
      </c>
      <c r="H3204" s="12" t="inlineStr">
        <is>
          <t>BF-A: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8</v>
      </c>
      <c r="O3204" s="12" t="n">
        <v>1</v>
      </c>
      <c r="P3204" s="12" t="n"/>
      <c r="Q3204" s="12" t="n"/>
      <c r="R3204" s="12" t="n"/>
      <c r="S3204" s="12" t="inlineStr">
        <is>
          <t>Tray / conduit</t>
        </is>
      </c>
      <c r="T3204" s="17" t="n">
        <v>82</v>
      </c>
      <c r="U3204" s="17" t="n">
        <v>10</v>
      </c>
      <c r="V3204" s="17">
        <f>ROUNDUP((T3204+U3204+2*'Read Me'!$B$13)*(1+'Read Me'!$B$12),-1)</f>
        <v/>
      </c>
      <c r="W3204" s="17">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G-I-0056</t>
        </is>
      </c>
      <c r="B3205" s="12" t="inlineStr">
        <is>
          <t>G</t>
        </is>
      </c>
      <c r="C3205" s="12" t="inlineStr">
        <is>
          <t>Carbon capture</t>
        </is>
      </c>
      <c r="D3205" s="12" t="inlineStr">
        <is>
          <t>Home run JB-BF-A-RTD02 to the control / marshalling room</t>
        </is>
      </c>
      <c r="E3205" s="12" t="inlineStr"/>
      <c r="F3205" s="12" t="inlineStr">
        <is>
          <t>CCS F&amp;G / control</t>
        </is>
      </c>
      <c r="G3205" s="12" t="inlineStr">
        <is>
          <t>JB-BF-A-RTD02</t>
        </is>
      </c>
      <c r="H3205" s="12" t="inlineStr">
        <is>
          <t>BF-A: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7" t="n">
        <v>861</v>
      </c>
      <c r="U3205" s="17" t="n">
        <v>101</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G-I-0057</t>
        </is>
      </c>
      <c r="B3206" s="12" t="inlineStr">
        <is>
          <t>G</t>
        </is>
      </c>
      <c r="C3206" s="12" t="inlineStr">
        <is>
          <t>Carbon capture</t>
        </is>
      </c>
      <c r="D3206" s="12" t="inlineStr">
        <is>
          <t>Analog instrument to JB JB-BF-B-AI01: 20 x 1 pr (field cables)</t>
        </is>
      </c>
      <c r="E3206" s="12" t="inlineStr">
        <is>
          <t>BF-B</t>
        </is>
      </c>
      <c r="F3206" s="12" t="inlineStr">
        <is>
          <t>BF-B: booster fan (~16 MW)</t>
        </is>
      </c>
      <c r="G3206" s="12" t="inlineStr">
        <is>
          <t>JB-BF-B-AI01</t>
        </is>
      </c>
      <c r="H3206" s="12" t="inlineStr">
        <is>
          <t>BF-B: booster fan (~16 MW)</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7" t="n">
        <v>82</v>
      </c>
      <c r="U3206" s="17" t="n">
        <v>10</v>
      </c>
      <c r="V3206" s="17">
        <f>ROUNDUP((T3206+U3206+2*'Read Me'!$B$13)*(1+'Read Me'!$B$12),-1)</f>
        <v/>
      </c>
      <c r="W3206" s="17">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G-I-0058</t>
        </is>
      </c>
      <c r="B3207" s="12" t="inlineStr">
        <is>
          <t>G</t>
        </is>
      </c>
      <c r="C3207" s="12" t="inlineStr">
        <is>
          <t>Carbon capture</t>
        </is>
      </c>
      <c r="D3207" s="12" t="inlineStr">
        <is>
          <t>Home run JB-BF-B-AI01 to the control / marshalling room</t>
        </is>
      </c>
      <c r="E3207" s="12" t="inlineStr"/>
      <c r="F3207" s="12" t="inlineStr">
        <is>
          <t>CCS F&amp;G / control</t>
        </is>
      </c>
      <c r="G3207" s="12" t="inlineStr">
        <is>
          <t>JB-BF-B-AI01</t>
        </is>
      </c>
      <c r="H3207" s="12" t="inlineStr">
        <is>
          <t>BF-B: booster fan (~16 MW)</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Duct bank</t>
        </is>
      </c>
      <c r="T3207" s="17" t="n">
        <v>701</v>
      </c>
      <c r="U3207" s="17" t="n">
        <v>101</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G-I-0059</t>
        </is>
      </c>
      <c r="B3208" s="12" t="inlineStr">
        <is>
          <t>G</t>
        </is>
      </c>
      <c r="C3208" s="12" t="inlineStr">
        <is>
          <t>Carbon capture</t>
        </is>
      </c>
      <c r="D3208" s="12" t="inlineStr">
        <is>
          <t>Analog instrument to JB JB-BF-B-AI02: 10 x 1 pr (field cables)</t>
        </is>
      </c>
      <c r="E3208" s="12" t="inlineStr">
        <is>
          <t>BF-B</t>
        </is>
      </c>
      <c r="F3208" s="12" t="inlineStr">
        <is>
          <t>BF-B: booster fan (~16 MW)</t>
        </is>
      </c>
      <c r="G3208" s="12" t="inlineStr">
        <is>
          <t>JB-BF-B-AI02</t>
        </is>
      </c>
      <c r="H3208" s="12" t="inlineStr">
        <is>
          <t>BF-B: booster fan (~16 MW)</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10</v>
      </c>
      <c r="O3208" s="12" t="n">
        <v>1</v>
      </c>
      <c r="P3208" s="12" t="n"/>
      <c r="Q3208" s="12" t="n"/>
      <c r="R3208" s="12" t="n"/>
      <c r="S3208" s="12" t="inlineStr">
        <is>
          <t>Tray / conduit</t>
        </is>
      </c>
      <c r="T3208" s="17" t="n">
        <v>82</v>
      </c>
      <c r="U3208" s="17" t="n">
        <v>10</v>
      </c>
      <c r="V3208" s="17">
        <f>ROUNDUP((T3208+U3208+2*'Read Me'!$B$13)*(1+'Read Me'!$B$12),-1)</f>
        <v/>
      </c>
      <c r="W3208" s="17">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G-I-0060</t>
        </is>
      </c>
      <c r="B3209" s="12" t="inlineStr">
        <is>
          <t>G</t>
        </is>
      </c>
      <c r="C3209" s="12" t="inlineStr">
        <is>
          <t>Carbon capture</t>
        </is>
      </c>
      <c r="D3209" s="12" t="inlineStr">
        <is>
          <t>Home run JB-BF-B-AI02 to the control / marshalling room</t>
        </is>
      </c>
      <c r="E3209" s="12" t="inlineStr"/>
      <c r="F3209" s="12" t="inlineStr">
        <is>
          <t>CCS F&amp;G / control</t>
        </is>
      </c>
      <c r="G3209" s="12" t="inlineStr">
        <is>
          <t>JB-BF-B-AI02</t>
        </is>
      </c>
      <c r="H3209" s="12" t="inlineStr">
        <is>
          <t>BF-B: booster fan (~16 MW)</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Duct bank</t>
        </is>
      </c>
      <c r="T3209" s="17" t="n">
        <v>701</v>
      </c>
      <c r="U3209" s="17" t="n">
        <v>101</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G-I-0061</t>
        </is>
      </c>
      <c r="B3210" s="12" t="inlineStr">
        <is>
          <t>G</t>
        </is>
      </c>
      <c r="C3210" s="12" t="inlineStr">
        <is>
          <t>Carbon capture</t>
        </is>
      </c>
      <c r="D3210" s="12" t="inlineStr">
        <is>
          <t>Discrete device to JB JB-BF-B-DI01: 20 x 1 pr (field cables)</t>
        </is>
      </c>
      <c r="E3210" s="12" t="inlineStr">
        <is>
          <t>BF-B</t>
        </is>
      </c>
      <c r="F3210" s="12" t="inlineStr">
        <is>
          <t>BF-B: booster fan (~16 MW)</t>
        </is>
      </c>
      <c r="G3210" s="12" t="inlineStr">
        <is>
          <t>JB-BF-B-DI01</t>
        </is>
      </c>
      <c r="H3210" s="12" t="inlineStr">
        <is>
          <t>BF-B: booster fan (~16 MW)</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20</v>
      </c>
      <c r="O3210" s="12" t="n">
        <v>1</v>
      </c>
      <c r="P3210" s="12" t="n"/>
      <c r="Q3210" s="12" t="n"/>
      <c r="R3210" s="12" t="n"/>
      <c r="S3210" s="12" t="inlineStr">
        <is>
          <t>Tray / conduit</t>
        </is>
      </c>
      <c r="T3210" s="17" t="n">
        <v>82</v>
      </c>
      <c r="U3210" s="17" t="n">
        <v>10</v>
      </c>
      <c r="V3210" s="17">
        <f>ROUNDUP((T3210+U3210+2*'Read Me'!$B$13)*(1+'Read Me'!$B$12),-1)</f>
        <v/>
      </c>
      <c r="W3210" s="17">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G-I-0062</t>
        </is>
      </c>
      <c r="B3211" s="12" t="inlineStr">
        <is>
          <t>G</t>
        </is>
      </c>
      <c r="C3211" s="12" t="inlineStr">
        <is>
          <t>Carbon capture</t>
        </is>
      </c>
      <c r="D3211" s="12" t="inlineStr">
        <is>
          <t>Home run JB-BF-B-DI01 to the control / marshalling room</t>
        </is>
      </c>
      <c r="E3211" s="12" t="inlineStr"/>
      <c r="F3211" s="12" t="inlineStr">
        <is>
          <t>CCS F&amp;G / control</t>
        </is>
      </c>
      <c r="G3211" s="12" t="inlineStr">
        <is>
          <t>JB-BF-B-DI01</t>
        </is>
      </c>
      <c r="H3211" s="12" t="inlineStr">
        <is>
          <t>BF-B: booster fan (~16 MW)</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Duct bank</t>
        </is>
      </c>
      <c r="T3211" s="17" t="n">
        <v>701</v>
      </c>
      <c r="U3211" s="17" t="n">
        <v>101</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G-I-0063</t>
        </is>
      </c>
      <c r="B3212" s="12" t="inlineStr">
        <is>
          <t>G</t>
        </is>
      </c>
      <c r="C3212" s="12" t="inlineStr">
        <is>
          <t>Carbon capture</t>
        </is>
      </c>
      <c r="D3212" s="12" t="inlineStr">
        <is>
          <t>RTD to JB JB-BF-B-RTD01: 10 x 1 tri (field cables)</t>
        </is>
      </c>
      <c r="E3212" s="12" t="inlineStr">
        <is>
          <t>BF-B</t>
        </is>
      </c>
      <c r="F3212" s="12" t="inlineStr">
        <is>
          <t>BF-B: booster fan (~16 MW)</t>
        </is>
      </c>
      <c r="G3212" s="12" t="inlineStr">
        <is>
          <t>JB-BF-B-RTD01</t>
        </is>
      </c>
      <c r="H3212" s="12" t="inlineStr">
        <is>
          <t>BF-B: booster fan (~16 MW)</t>
        </is>
      </c>
      <c r="I3212" s="12" t="inlineStr">
        <is>
          <t>Instrumentation</t>
        </is>
      </c>
      <c r="J3212" s="12" t="inlineStr">
        <is>
          <t>RTD cable, #18 shielded triads, PLTC</t>
        </is>
      </c>
      <c r="K3212" s="12" t="inlineStr">
        <is>
          <t>RTD|1 tri|18</t>
        </is>
      </c>
      <c r="L3212" s="12" t="inlineStr">
        <is>
          <t>1 tri</t>
        </is>
      </c>
      <c r="M3212" s="12" t="inlineStr">
        <is>
          <t>18</t>
        </is>
      </c>
      <c r="N3212" s="12" t="n">
        <v>10</v>
      </c>
      <c r="O3212" s="12" t="n">
        <v>1</v>
      </c>
      <c r="P3212" s="12" t="n"/>
      <c r="Q3212" s="12" t="n"/>
      <c r="R3212" s="12" t="n"/>
      <c r="S3212" s="12" t="inlineStr">
        <is>
          <t>Tray / conduit</t>
        </is>
      </c>
      <c r="T3212" s="17" t="n">
        <v>82</v>
      </c>
      <c r="U3212" s="17" t="n">
        <v>10</v>
      </c>
      <c r="V3212" s="17">
        <f>ROUNDUP((T3212+U3212+2*'Read Me'!$B$13)*(1+'Read Me'!$B$12),-1)</f>
        <v/>
      </c>
      <c r="W3212" s="17">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G-I-0064</t>
        </is>
      </c>
      <c r="B3213" s="12" t="inlineStr">
        <is>
          <t>G</t>
        </is>
      </c>
      <c r="C3213" s="12" t="inlineStr">
        <is>
          <t>Carbon capture</t>
        </is>
      </c>
      <c r="D3213" s="12" t="inlineStr">
        <is>
          <t>Home run JB-BF-B-RTD01 to the control / marshalling room</t>
        </is>
      </c>
      <c r="E3213" s="12" t="inlineStr"/>
      <c r="F3213" s="12" t="inlineStr">
        <is>
          <t>CCS F&amp;G / control</t>
        </is>
      </c>
      <c r="G3213" s="12" t="inlineStr">
        <is>
          <t>JB-BF-B-RTD01</t>
        </is>
      </c>
      <c r="H3213" s="12" t="inlineStr">
        <is>
          <t>BF-B: booster fan (~16 MW)</t>
        </is>
      </c>
      <c r="I3213" s="12" t="inlineStr">
        <is>
          <t>Instrumentation</t>
        </is>
      </c>
      <c r="J3213" s="12" t="inlineStr">
        <is>
          <t>RTD cable, #18 shielded triads, PLTC</t>
        </is>
      </c>
      <c r="K3213" s="12" t="inlineStr">
        <is>
          <t>RTD|12 tri|18</t>
        </is>
      </c>
      <c r="L3213" s="12" t="inlineStr">
        <is>
          <t>12 tri</t>
        </is>
      </c>
      <c r="M3213" s="12" t="inlineStr">
        <is>
          <t>18</t>
        </is>
      </c>
      <c r="N3213" s="12" t="n">
        <v>1</v>
      </c>
      <c r="O3213" s="12" t="n">
        <v>1</v>
      </c>
      <c r="P3213" s="12" t="n"/>
      <c r="Q3213" s="12" t="n"/>
      <c r="R3213" s="12" t="n"/>
      <c r="S3213" s="12" t="inlineStr">
        <is>
          <t>Duct bank</t>
        </is>
      </c>
      <c r="T3213" s="17" t="n">
        <v>701</v>
      </c>
      <c r="U3213" s="17" t="n">
        <v>101</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G-I-0065</t>
        </is>
      </c>
      <c r="B3214" s="12" t="inlineStr">
        <is>
          <t>G</t>
        </is>
      </c>
      <c r="C3214" s="12" t="inlineStr">
        <is>
          <t>Carbon capture</t>
        </is>
      </c>
      <c r="D3214" s="12" t="inlineStr">
        <is>
          <t>RTD to JB JB-BF-B-RTD02: 8 x 1 tri (field cables)</t>
        </is>
      </c>
      <c r="E3214" s="12" t="inlineStr">
        <is>
          <t>BF-B</t>
        </is>
      </c>
      <c r="F3214" s="12" t="inlineStr">
        <is>
          <t>BF-B: booster fan (~16 MW)</t>
        </is>
      </c>
      <c r="G3214" s="12" t="inlineStr">
        <is>
          <t>JB-BF-B-RTD02</t>
        </is>
      </c>
      <c r="H3214" s="12" t="inlineStr">
        <is>
          <t>BF-B: booster fan (~16 MW)</t>
        </is>
      </c>
      <c r="I3214" s="12" t="inlineStr">
        <is>
          <t>Instrumentation</t>
        </is>
      </c>
      <c r="J3214" s="12" t="inlineStr">
        <is>
          <t>RTD cable, #18 shielded triads, PLTC</t>
        </is>
      </c>
      <c r="K3214" s="12" t="inlineStr">
        <is>
          <t>RTD|1 tri|18</t>
        </is>
      </c>
      <c r="L3214" s="12" t="inlineStr">
        <is>
          <t>1 tri</t>
        </is>
      </c>
      <c r="M3214" s="12" t="inlineStr">
        <is>
          <t>18</t>
        </is>
      </c>
      <c r="N3214" s="12" t="n">
        <v>8</v>
      </c>
      <c r="O3214" s="12" t="n">
        <v>1</v>
      </c>
      <c r="P3214" s="12" t="n"/>
      <c r="Q3214" s="12" t="n"/>
      <c r="R3214" s="12" t="n"/>
      <c r="S3214" s="12" t="inlineStr">
        <is>
          <t>Tray / conduit</t>
        </is>
      </c>
      <c r="T3214" s="17" t="n">
        <v>82</v>
      </c>
      <c r="U3214" s="17" t="n">
        <v>10</v>
      </c>
      <c r="V3214" s="17">
        <f>ROUNDUP((T3214+U3214+2*'Read Me'!$B$13)*(1+'Read Me'!$B$12),-1)</f>
        <v/>
      </c>
      <c r="W3214" s="17">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G-I-0066</t>
        </is>
      </c>
      <c r="B3215" s="12" t="inlineStr">
        <is>
          <t>G</t>
        </is>
      </c>
      <c r="C3215" s="12" t="inlineStr">
        <is>
          <t>Carbon capture</t>
        </is>
      </c>
      <c r="D3215" s="12" t="inlineStr">
        <is>
          <t>Home run JB-BF-B-RTD02 to the control / marshalling room</t>
        </is>
      </c>
      <c r="E3215" s="12" t="inlineStr"/>
      <c r="F3215" s="12" t="inlineStr">
        <is>
          <t>CCS F&amp;G / control</t>
        </is>
      </c>
      <c r="G3215" s="12" t="inlineStr">
        <is>
          <t>JB-BF-B-RTD02</t>
        </is>
      </c>
      <c r="H3215" s="12" t="inlineStr">
        <is>
          <t>BF-B: booster fan (~16 MW)</t>
        </is>
      </c>
      <c r="I3215" s="12" t="inlineStr">
        <is>
          <t>Instrumentation</t>
        </is>
      </c>
      <c r="J3215" s="12" t="inlineStr">
        <is>
          <t>RTD cable, #18 shielded triads, PLTC</t>
        </is>
      </c>
      <c r="K3215" s="12" t="inlineStr">
        <is>
          <t>RTD|12 tri|18</t>
        </is>
      </c>
      <c r="L3215" s="12" t="inlineStr">
        <is>
          <t>12 tri</t>
        </is>
      </c>
      <c r="M3215" s="12" t="inlineStr">
        <is>
          <t>18</t>
        </is>
      </c>
      <c r="N3215" s="12" t="n">
        <v>1</v>
      </c>
      <c r="O3215" s="12" t="n">
        <v>1</v>
      </c>
      <c r="P3215" s="12" t="n"/>
      <c r="Q3215" s="12" t="n"/>
      <c r="R3215" s="12" t="n"/>
      <c r="S3215" s="12" t="inlineStr">
        <is>
          <t>Duct bank</t>
        </is>
      </c>
      <c r="T3215" s="17" t="n">
        <v>701</v>
      </c>
      <c r="U3215" s="17" t="n">
        <v>101</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G-I-0067</t>
        </is>
      </c>
      <c r="B3216" s="12" t="inlineStr">
        <is>
          <t>G</t>
        </is>
      </c>
      <c r="C3216" s="12" t="inlineStr">
        <is>
          <t>Carbon capture</t>
        </is>
      </c>
      <c r="D3216" s="12" t="inlineStr">
        <is>
          <t>Analog instrument to JB JB-BF-C-AI01: 20 x 1 pr (field cables)</t>
        </is>
      </c>
      <c r="E3216" s="12" t="inlineStr">
        <is>
          <t>BF-C</t>
        </is>
      </c>
      <c r="F3216" s="12" t="inlineStr">
        <is>
          <t>BF-C: booster fan (~16 MW)</t>
        </is>
      </c>
      <c r="G3216" s="12" t="inlineStr">
        <is>
          <t>JB-BF-C-AI01</t>
        </is>
      </c>
      <c r="H3216" s="12" t="inlineStr">
        <is>
          <t>BF-C: booster fan (~16 MW)</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7" t="n">
        <v>82</v>
      </c>
      <c r="U3216" s="17" t="n">
        <v>10</v>
      </c>
      <c r="V3216" s="17">
        <f>ROUNDUP((T3216+U3216+2*'Read Me'!$B$13)*(1+'Read Me'!$B$12),-1)</f>
        <v/>
      </c>
      <c r="W3216" s="17">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G-I-0068</t>
        </is>
      </c>
      <c r="B3217" s="12" t="inlineStr">
        <is>
          <t>G</t>
        </is>
      </c>
      <c r="C3217" s="12" t="inlineStr">
        <is>
          <t>Carbon capture</t>
        </is>
      </c>
      <c r="D3217" s="12" t="inlineStr">
        <is>
          <t>Home run JB-BF-C-AI01 to the control / marshalling room</t>
        </is>
      </c>
      <c r="E3217" s="12" t="inlineStr"/>
      <c r="F3217" s="12" t="inlineStr">
        <is>
          <t>CCS F&amp;G / control</t>
        </is>
      </c>
      <c r="G3217" s="12" t="inlineStr">
        <is>
          <t>JB-BF-C-AI01</t>
        </is>
      </c>
      <c r="H3217" s="12" t="inlineStr">
        <is>
          <t>BF-C: booster fan (~16 MW)</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7" t="n">
        <v>385</v>
      </c>
      <c r="U3217" s="17" t="n">
        <v>219</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G-I-0069</t>
        </is>
      </c>
      <c r="B3218" s="12" t="inlineStr">
        <is>
          <t>G</t>
        </is>
      </c>
      <c r="C3218" s="12" t="inlineStr">
        <is>
          <t>Carbon capture</t>
        </is>
      </c>
      <c r="D3218" s="12" t="inlineStr">
        <is>
          <t>Analog instrument to JB JB-BF-C-AI02: 10 x 1 pr (field cables)</t>
        </is>
      </c>
      <c r="E3218" s="12" t="inlineStr">
        <is>
          <t>BF-C</t>
        </is>
      </c>
      <c r="F3218" s="12" t="inlineStr">
        <is>
          <t>BF-C: booster fan (~16 MW)</t>
        </is>
      </c>
      <c r="G3218" s="12" t="inlineStr">
        <is>
          <t>JB-BF-C-AI02</t>
        </is>
      </c>
      <c r="H3218" s="12" t="inlineStr">
        <is>
          <t>BF-C: booster fan (~16 MW)</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7" t="n">
        <v>82</v>
      </c>
      <c r="U3218" s="17" t="n">
        <v>10</v>
      </c>
      <c r="V3218" s="17">
        <f>ROUNDUP((T3218+U3218+2*'Read Me'!$B$13)*(1+'Read Me'!$B$12),-1)</f>
        <v/>
      </c>
      <c r="W3218" s="17">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G-I-0070</t>
        </is>
      </c>
      <c r="B3219" s="12" t="inlineStr">
        <is>
          <t>G</t>
        </is>
      </c>
      <c r="C3219" s="12" t="inlineStr">
        <is>
          <t>Carbon capture</t>
        </is>
      </c>
      <c r="D3219" s="12" t="inlineStr">
        <is>
          <t>Home run JB-BF-C-AI02 to the control / marshalling room</t>
        </is>
      </c>
      <c r="E3219" s="12" t="inlineStr"/>
      <c r="F3219" s="12" t="inlineStr">
        <is>
          <t>CCS F&amp;G / control</t>
        </is>
      </c>
      <c r="G3219" s="12" t="inlineStr">
        <is>
          <t>JB-BF-C-AI02</t>
        </is>
      </c>
      <c r="H3219" s="12" t="inlineStr">
        <is>
          <t>BF-C: booster fan (~16 MW)</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7" t="n">
        <v>385</v>
      </c>
      <c r="U3219" s="17" t="n">
        <v>219</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G-I-0071</t>
        </is>
      </c>
      <c r="B3220" s="12" t="inlineStr">
        <is>
          <t>G</t>
        </is>
      </c>
      <c r="C3220" s="12" t="inlineStr">
        <is>
          <t>Carbon capture</t>
        </is>
      </c>
      <c r="D3220" s="12" t="inlineStr">
        <is>
          <t>Discrete device to JB JB-BF-C-DI01: 20 x 1 pr (field cables)</t>
        </is>
      </c>
      <c r="E3220" s="12" t="inlineStr">
        <is>
          <t>BF-C</t>
        </is>
      </c>
      <c r="F3220" s="12" t="inlineStr">
        <is>
          <t>BF-C: booster fan (~16 MW)</t>
        </is>
      </c>
      <c r="G3220" s="12" t="inlineStr">
        <is>
          <t>JB-BF-C-DI01</t>
        </is>
      </c>
      <c r="H3220" s="12" t="inlineStr">
        <is>
          <t>BF-C: booster fan (~16 MW)</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7" t="n">
        <v>82</v>
      </c>
      <c r="U3220" s="17" t="n">
        <v>10</v>
      </c>
      <c r="V3220" s="17">
        <f>ROUNDUP((T3220+U3220+2*'Read Me'!$B$13)*(1+'Read Me'!$B$12),-1)</f>
        <v/>
      </c>
      <c r="W3220" s="17">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G-I-0072</t>
        </is>
      </c>
      <c r="B3221" s="12" t="inlineStr">
        <is>
          <t>G</t>
        </is>
      </c>
      <c r="C3221" s="12" t="inlineStr">
        <is>
          <t>Carbon capture</t>
        </is>
      </c>
      <c r="D3221" s="12" t="inlineStr">
        <is>
          <t>Home run JB-BF-C-DI01 to the control / marshalling room</t>
        </is>
      </c>
      <c r="E3221" s="12" t="inlineStr"/>
      <c r="F3221" s="12" t="inlineStr">
        <is>
          <t>CCS F&amp;G / control</t>
        </is>
      </c>
      <c r="G3221" s="12" t="inlineStr">
        <is>
          <t>JB-BF-C-DI01</t>
        </is>
      </c>
      <c r="H3221" s="12" t="inlineStr">
        <is>
          <t>BF-C: booster fan (~16 MW)</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7" t="n">
        <v>385</v>
      </c>
      <c r="U3221" s="17" t="n">
        <v>219</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G-I-0073</t>
        </is>
      </c>
      <c r="B3222" s="12" t="inlineStr">
        <is>
          <t>G</t>
        </is>
      </c>
      <c r="C3222" s="12" t="inlineStr">
        <is>
          <t>Carbon capture</t>
        </is>
      </c>
      <c r="D3222" s="12" t="inlineStr">
        <is>
          <t>RTD to JB JB-BF-C-RTD01: 10 x 1 tri (field cables)</t>
        </is>
      </c>
      <c r="E3222" s="12" t="inlineStr">
        <is>
          <t>BF-C</t>
        </is>
      </c>
      <c r="F3222" s="12" t="inlineStr">
        <is>
          <t>BF-C: booster fan (~16 MW)</t>
        </is>
      </c>
      <c r="G3222" s="12" t="inlineStr">
        <is>
          <t>JB-BF-C-RTD01</t>
        </is>
      </c>
      <c r="H3222" s="12" t="inlineStr">
        <is>
          <t>BF-C: booster fan (~16 MW)</t>
        </is>
      </c>
      <c r="I3222" s="12" t="inlineStr">
        <is>
          <t>Instrumentation</t>
        </is>
      </c>
      <c r="J3222" s="12" t="inlineStr">
        <is>
          <t>RTD cable, #18 shielded triads, PLTC</t>
        </is>
      </c>
      <c r="K3222" s="12" t="inlineStr">
        <is>
          <t>RTD|1 tri|18</t>
        </is>
      </c>
      <c r="L3222" s="12" t="inlineStr">
        <is>
          <t>1 tri</t>
        </is>
      </c>
      <c r="M3222" s="12" t="inlineStr">
        <is>
          <t>18</t>
        </is>
      </c>
      <c r="N3222" s="12" t="n">
        <v>10</v>
      </c>
      <c r="O3222" s="12" t="n">
        <v>1</v>
      </c>
      <c r="P3222" s="12" t="n"/>
      <c r="Q3222" s="12" t="n"/>
      <c r="R3222" s="12" t="n"/>
      <c r="S3222" s="12" t="inlineStr">
        <is>
          <t>Tray / conduit</t>
        </is>
      </c>
      <c r="T3222" s="17" t="n">
        <v>82</v>
      </c>
      <c r="U3222" s="17" t="n">
        <v>10</v>
      </c>
      <c r="V3222" s="17">
        <f>ROUNDUP((T3222+U3222+2*'Read Me'!$B$13)*(1+'Read Me'!$B$12),-1)</f>
        <v/>
      </c>
      <c r="W3222" s="17">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G-I-0074</t>
        </is>
      </c>
      <c r="B3223" s="12" t="inlineStr">
        <is>
          <t>G</t>
        </is>
      </c>
      <c r="C3223" s="12" t="inlineStr">
        <is>
          <t>Carbon capture</t>
        </is>
      </c>
      <c r="D3223" s="12" t="inlineStr">
        <is>
          <t>Home run JB-BF-C-RTD01 to the control / marshalling room</t>
        </is>
      </c>
      <c r="E3223" s="12" t="inlineStr"/>
      <c r="F3223" s="12" t="inlineStr">
        <is>
          <t>CCS F&amp;G / control</t>
        </is>
      </c>
      <c r="G3223" s="12" t="inlineStr">
        <is>
          <t>JB-BF-C-RTD01</t>
        </is>
      </c>
      <c r="H3223" s="12" t="inlineStr">
        <is>
          <t>BF-C: booster fan (~16 MW)</t>
        </is>
      </c>
      <c r="I3223" s="12" t="inlineStr">
        <is>
          <t>Instrumentation</t>
        </is>
      </c>
      <c r="J3223" s="12" t="inlineStr">
        <is>
          <t>RTD cable, #18 shielded triads, PLTC</t>
        </is>
      </c>
      <c r="K3223" s="12" t="inlineStr">
        <is>
          <t>RTD|12 tri|18</t>
        </is>
      </c>
      <c r="L3223" s="12" t="inlineStr">
        <is>
          <t>12 tri</t>
        </is>
      </c>
      <c r="M3223" s="12" t="inlineStr">
        <is>
          <t>18</t>
        </is>
      </c>
      <c r="N3223" s="12" t="n">
        <v>1</v>
      </c>
      <c r="O3223" s="12" t="n">
        <v>1</v>
      </c>
      <c r="P3223" s="12" t="n"/>
      <c r="Q3223" s="12" t="n"/>
      <c r="R3223" s="12" t="n"/>
      <c r="S3223" s="12" t="inlineStr">
        <is>
          <t>Duct bank</t>
        </is>
      </c>
      <c r="T3223" s="17" t="n">
        <v>385</v>
      </c>
      <c r="U3223" s="17" t="n">
        <v>219</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G-I-0075</t>
        </is>
      </c>
      <c r="B3224" s="12" t="inlineStr">
        <is>
          <t>G</t>
        </is>
      </c>
      <c r="C3224" s="12" t="inlineStr">
        <is>
          <t>Carbon capture</t>
        </is>
      </c>
      <c r="D3224" s="12" t="inlineStr">
        <is>
          <t>RTD to JB JB-BF-C-RTD02: 8 x 1 tri (field cables)</t>
        </is>
      </c>
      <c r="E3224" s="12" t="inlineStr">
        <is>
          <t>BF-C</t>
        </is>
      </c>
      <c r="F3224" s="12" t="inlineStr">
        <is>
          <t>BF-C: booster fan (~16 MW)</t>
        </is>
      </c>
      <c r="G3224" s="12" t="inlineStr">
        <is>
          <t>JB-BF-C-RTD02</t>
        </is>
      </c>
      <c r="H3224" s="12" t="inlineStr">
        <is>
          <t>BF-C: booster fan (~16 MW)</t>
        </is>
      </c>
      <c r="I3224" s="12" t="inlineStr">
        <is>
          <t>Instrumentation</t>
        </is>
      </c>
      <c r="J3224" s="12" t="inlineStr">
        <is>
          <t>RTD cable, #18 shielded triads, PLTC</t>
        </is>
      </c>
      <c r="K3224" s="12" t="inlineStr">
        <is>
          <t>RTD|1 tri|18</t>
        </is>
      </c>
      <c r="L3224" s="12" t="inlineStr">
        <is>
          <t>1 tri</t>
        </is>
      </c>
      <c r="M3224" s="12" t="inlineStr">
        <is>
          <t>18</t>
        </is>
      </c>
      <c r="N3224" s="12" t="n">
        <v>8</v>
      </c>
      <c r="O3224" s="12" t="n">
        <v>1</v>
      </c>
      <c r="P3224" s="12" t="n"/>
      <c r="Q3224" s="12" t="n"/>
      <c r="R3224" s="12" t="n"/>
      <c r="S3224" s="12" t="inlineStr">
        <is>
          <t>Tray / conduit</t>
        </is>
      </c>
      <c r="T3224" s="17" t="n">
        <v>82</v>
      </c>
      <c r="U3224" s="17" t="n">
        <v>10</v>
      </c>
      <c r="V3224" s="17">
        <f>ROUNDUP((T3224+U3224+2*'Read Me'!$B$13)*(1+'Read Me'!$B$12),-1)</f>
        <v/>
      </c>
      <c r="W3224" s="17">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G-I-0076</t>
        </is>
      </c>
      <c r="B3225" s="12" t="inlineStr">
        <is>
          <t>G</t>
        </is>
      </c>
      <c r="C3225" s="12" t="inlineStr">
        <is>
          <t>Carbon capture</t>
        </is>
      </c>
      <c r="D3225" s="12" t="inlineStr">
        <is>
          <t>Home run JB-BF-C-RTD02 to the control / marshalling room</t>
        </is>
      </c>
      <c r="E3225" s="12" t="inlineStr"/>
      <c r="F3225" s="12" t="inlineStr">
        <is>
          <t>CCS F&amp;G / control</t>
        </is>
      </c>
      <c r="G3225" s="12" t="inlineStr">
        <is>
          <t>JB-BF-C-RTD02</t>
        </is>
      </c>
      <c r="H3225" s="12" t="inlineStr">
        <is>
          <t>BF-C: booster fan (~16 MW)</t>
        </is>
      </c>
      <c r="I3225" s="12" t="inlineStr">
        <is>
          <t>Instrumentation</t>
        </is>
      </c>
      <c r="J3225" s="12" t="inlineStr">
        <is>
          <t>RTD cable, #18 shielded triads, PLTC</t>
        </is>
      </c>
      <c r="K3225" s="12" t="inlineStr">
        <is>
          <t>RTD|12 tri|18</t>
        </is>
      </c>
      <c r="L3225" s="12" t="inlineStr">
        <is>
          <t>12 tri</t>
        </is>
      </c>
      <c r="M3225" s="12" t="inlineStr">
        <is>
          <t>18</t>
        </is>
      </c>
      <c r="N3225" s="12" t="n">
        <v>1</v>
      </c>
      <c r="O3225" s="12" t="n">
        <v>1</v>
      </c>
      <c r="P3225" s="12" t="n"/>
      <c r="Q3225" s="12" t="n"/>
      <c r="R3225" s="12" t="n"/>
      <c r="S3225" s="12" t="inlineStr">
        <is>
          <t>Duct bank</t>
        </is>
      </c>
      <c r="T3225" s="17" t="n">
        <v>385</v>
      </c>
      <c r="U3225" s="17" t="n">
        <v>219</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G-I-0077</t>
        </is>
      </c>
      <c r="B3226" s="12" t="inlineStr">
        <is>
          <t>G</t>
        </is>
      </c>
      <c r="C3226" s="12" t="inlineStr">
        <is>
          <t>Carbon capture</t>
        </is>
      </c>
      <c r="D3226" s="12" t="inlineStr">
        <is>
          <t>Analog instrument to JB JB-CCS T-1-AI01: 8 x 1 pr (field cables)</t>
        </is>
      </c>
      <c r="E3226" s="12" t="inlineStr">
        <is>
          <t>CCS T-1</t>
        </is>
      </c>
      <c r="F3226" s="12" t="inlineStr">
        <is>
          <t>CCS T-1: 230/13.8 kV</t>
        </is>
      </c>
      <c r="G3226" s="12" t="inlineStr">
        <is>
          <t>JB-CCS T-1-AI01</t>
        </is>
      </c>
      <c r="H3226" s="12" t="inlineStr">
        <is>
          <t>CCS T-1: 230/13.8 kV</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8</v>
      </c>
      <c r="O3226" s="12" t="n">
        <v>1</v>
      </c>
      <c r="P3226" s="12" t="n"/>
      <c r="Q3226" s="12" t="n"/>
      <c r="R3226" s="12" t="n"/>
      <c r="S3226" s="12" t="inlineStr">
        <is>
          <t>Tray / conduit</t>
        </is>
      </c>
      <c r="T3226" s="17" t="n">
        <v>82</v>
      </c>
      <c r="U3226" s="17" t="n">
        <v>10</v>
      </c>
      <c r="V3226" s="17">
        <f>ROUNDUP((T3226+U3226+2*'Read Me'!$B$13)*(1+'Read Me'!$B$12),-1)</f>
        <v/>
      </c>
      <c r="W3226" s="17">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G-I-0078</t>
        </is>
      </c>
      <c r="B3227" s="12" t="inlineStr">
        <is>
          <t>G</t>
        </is>
      </c>
      <c r="C3227" s="12" t="inlineStr">
        <is>
          <t>Carbon capture</t>
        </is>
      </c>
      <c r="D3227" s="12" t="inlineStr">
        <is>
          <t>Home run JB-CCS T-1-AI01 to the control / marshalling room</t>
        </is>
      </c>
      <c r="E3227" s="12" t="inlineStr"/>
      <c r="F3227" s="12" t="inlineStr">
        <is>
          <t>CCS F&amp;G / control</t>
        </is>
      </c>
      <c r="G3227" s="12" t="inlineStr">
        <is>
          <t>JB-CCS T-1-AI01</t>
        </is>
      </c>
      <c r="H3227" s="12" t="inlineStr">
        <is>
          <t>CCS T-1: 230/13.8 kV</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HV duct bank</t>
        </is>
      </c>
      <c r="T3227" s="17" t="n">
        <v>77</v>
      </c>
      <c r="U3227" s="17" t="n">
        <v>103</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G-I-0079</t>
        </is>
      </c>
      <c r="B3228" s="12" t="inlineStr">
        <is>
          <t>G</t>
        </is>
      </c>
      <c r="C3228" s="12" t="inlineStr">
        <is>
          <t>Carbon capture</t>
        </is>
      </c>
      <c r="D3228" s="12" t="inlineStr">
        <is>
          <t>Discrete device to JB JB-CCS T-1-DI01: 16 x 1 pr (field cables)</t>
        </is>
      </c>
      <c r="E3228" s="12" t="inlineStr">
        <is>
          <t>CCS T-1</t>
        </is>
      </c>
      <c r="F3228" s="12" t="inlineStr">
        <is>
          <t>CCS T-1: 230/13.8 kV</t>
        </is>
      </c>
      <c r="G3228" s="12" t="inlineStr">
        <is>
          <t>JB-CCS T-1-DI01</t>
        </is>
      </c>
      <c r="H3228" s="12" t="inlineStr">
        <is>
          <t>CCS T-1: 230/13.8 kV</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16</v>
      </c>
      <c r="O3228" s="12" t="n">
        <v>1</v>
      </c>
      <c r="P3228" s="12" t="n"/>
      <c r="Q3228" s="12" t="n"/>
      <c r="R3228" s="12" t="n"/>
      <c r="S3228" s="12" t="inlineStr">
        <is>
          <t>Tray / conduit</t>
        </is>
      </c>
      <c r="T3228" s="17" t="n">
        <v>82</v>
      </c>
      <c r="U3228" s="17" t="n">
        <v>10</v>
      </c>
      <c r="V3228" s="17">
        <f>ROUNDUP((T3228+U3228+2*'Read Me'!$B$13)*(1+'Read Me'!$B$12),-1)</f>
        <v/>
      </c>
      <c r="W3228" s="17">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G-I-0080</t>
        </is>
      </c>
      <c r="B3229" s="12" t="inlineStr">
        <is>
          <t>G</t>
        </is>
      </c>
      <c r="C3229" s="12" t="inlineStr">
        <is>
          <t>Carbon capture</t>
        </is>
      </c>
      <c r="D3229" s="12" t="inlineStr">
        <is>
          <t>Home run JB-CCS T-1-DI01 to the control / marshalling room</t>
        </is>
      </c>
      <c r="E3229" s="12" t="inlineStr"/>
      <c r="F3229" s="12" t="inlineStr">
        <is>
          <t>CCS F&amp;G / control</t>
        </is>
      </c>
      <c r="G3229" s="12" t="inlineStr">
        <is>
          <t>JB-CCS T-1-DI01</t>
        </is>
      </c>
      <c r="H3229" s="12" t="inlineStr">
        <is>
          <t>CCS T-1: 230/13.8 kV</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HV duct bank</t>
        </is>
      </c>
      <c r="T3229" s="17" t="n">
        <v>77</v>
      </c>
      <c r="U3229" s="17" t="n">
        <v>103</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G-I-0081</t>
        </is>
      </c>
      <c r="B3230" s="12" t="inlineStr">
        <is>
          <t>G</t>
        </is>
      </c>
      <c r="C3230" s="12" t="inlineStr">
        <is>
          <t>Carbon capture</t>
        </is>
      </c>
      <c r="D3230" s="12" t="inlineStr">
        <is>
          <t>Analog instrument to JB JB-CCS T-2-AI01: 8 x 1 pr (field cables)</t>
        </is>
      </c>
      <c r="E3230" s="12" t="inlineStr">
        <is>
          <t>CCS T-2</t>
        </is>
      </c>
      <c r="F3230" s="12" t="inlineStr">
        <is>
          <t>CCS T-2: 230/13.8 kV</t>
        </is>
      </c>
      <c r="G3230" s="12" t="inlineStr">
        <is>
          <t>JB-CCS T-2-AI01</t>
        </is>
      </c>
      <c r="H3230" s="12" t="inlineStr">
        <is>
          <t>CCS T-2: 230/13.8 kV</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8</v>
      </c>
      <c r="O3230" s="12" t="n">
        <v>1</v>
      </c>
      <c r="P3230" s="12" t="n"/>
      <c r="Q3230" s="12" t="n"/>
      <c r="R3230" s="12" t="n"/>
      <c r="S3230" s="12" t="inlineStr">
        <is>
          <t>Tray / conduit</t>
        </is>
      </c>
      <c r="T3230" s="17" t="n">
        <v>82</v>
      </c>
      <c r="U3230" s="17" t="n">
        <v>10</v>
      </c>
      <c r="V3230" s="17">
        <f>ROUNDUP((T3230+U3230+2*'Read Me'!$B$13)*(1+'Read Me'!$B$12),-1)</f>
        <v/>
      </c>
      <c r="W3230" s="17">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G-I-0082</t>
        </is>
      </c>
      <c r="B3231" s="12" t="inlineStr">
        <is>
          <t>G</t>
        </is>
      </c>
      <c r="C3231" s="12" t="inlineStr">
        <is>
          <t>Carbon capture</t>
        </is>
      </c>
      <c r="D3231" s="12" t="inlineStr">
        <is>
          <t>Home run JB-CCS T-2-AI01 to the control / marshalling room</t>
        </is>
      </c>
      <c r="E3231" s="12" t="inlineStr"/>
      <c r="F3231" s="12" t="inlineStr">
        <is>
          <t>CCS F&amp;G / control</t>
        </is>
      </c>
      <c r="G3231" s="12" t="inlineStr">
        <is>
          <t>JB-CCS T-2-AI01</t>
        </is>
      </c>
      <c r="H3231" s="12" t="inlineStr">
        <is>
          <t>CCS T-2: 230/13.8 kV</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7" t="n">
        <v>11</v>
      </c>
      <c r="U3231" s="17" t="n">
        <v>101</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G-I-0083</t>
        </is>
      </c>
      <c r="B3232" s="12" t="inlineStr">
        <is>
          <t>G</t>
        </is>
      </c>
      <c r="C3232" s="12" t="inlineStr">
        <is>
          <t>Carbon capture</t>
        </is>
      </c>
      <c r="D3232" s="12" t="inlineStr">
        <is>
          <t>Discrete device to JB JB-CCS T-2-DI01: 16 x 1 pr (field cables)</t>
        </is>
      </c>
      <c r="E3232" s="12" t="inlineStr">
        <is>
          <t>CCS T-2</t>
        </is>
      </c>
      <c r="F3232" s="12" t="inlineStr">
        <is>
          <t>CCS T-2: 230/13.8 kV</t>
        </is>
      </c>
      <c r="G3232" s="12" t="inlineStr">
        <is>
          <t>JB-CCS T-2-DI01</t>
        </is>
      </c>
      <c r="H3232" s="12" t="inlineStr">
        <is>
          <t>CCS T-2: 230/13.8 kV</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16</v>
      </c>
      <c r="O3232" s="12" t="n">
        <v>1</v>
      </c>
      <c r="P3232" s="12" t="n"/>
      <c r="Q3232" s="12" t="n"/>
      <c r="R3232" s="12" t="n"/>
      <c r="S3232" s="12" t="inlineStr">
        <is>
          <t>Tray / conduit</t>
        </is>
      </c>
      <c r="T3232" s="17" t="n">
        <v>82</v>
      </c>
      <c r="U3232" s="17" t="n">
        <v>10</v>
      </c>
      <c r="V3232" s="17">
        <f>ROUNDUP((T3232+U3232+2*'Read Me'!$B$13)*(1+'Read Me'!$B$12),-1)</f>
        <v/>
      </c>
      <c r="W3232" s="17">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G-I-0084</t>
        </is>
      </c>
      <c r="B3233" s="12" t="inlineStr">
        <is>
          <t>G</t>
        </is>
      </c>
      <c r="C3233" s="12" t="inlineStr">
        <is>
          <t>Carbon capture</t>
        </is>
      </c>
      <c r="D3233" s="12" t="inlineStr">
        <is>
          <t>Home run JB-CCS T-2-DI01 to the control / marshalling room</t>
        </is>
      </c>
      <c r="E3233" s="12" t="inlineStr"/>
      <c r="F3233" s="12" t="inlineStr">
        <is>
          <t>CCS F&amp;G / control</t>
        </is>
      </c>
      <c r="G3233" s="12" t="inlineStr">
        <is>
          <t>JB-CCS T-2-DI01</t>
        </is>
      </c>
      <c r="H3233" s="12" t="inlineStr">
        <is>
          <t>CCS T-2: 230/13.8 kV</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7" t="n">
        <v>11</v>
      </c>
      <c r="U3233" s="17" t="n">
        <v>101</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G-I-0085</t>
        </is>
      </c>
      <c r="B3234" s="12" t="inlineStr">
        <is>
          <t>G</t>
        </is>
      </c>
      <c r="C3234" s="12" t="inlineStr">
        <is>
          <t>Carbon capture</t>
        </is>
      </c>
      <c r="D3234" s="12" t="inlineStr">
        <is>
          <t>Analog instrument to JB JB-CCS circulating-wa-AI01: 20 x 1 pr (field cables)</t>
        </is>
      </c>
      <c r="E3234" s="12" t="inlineStr"/>
      <c r="F3234" s="12" t="inlineStr">
        <is>
          <t>CCS circulating-water pumps</t>
        </is>
      </c>
      <c r="G3234" s="12" t="inlineStr">
        <is>
          <t>JB-CCS circulating-wa-AI01</t>
        </is>
      </c>
      <c r="H3234" s="12" t="inlineStr">
        <is>
          <t>CCS circulating-water pumps</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7" t="n">
        <v>100</v>
      </c>
      <c r="U3234" s="17" t="n">
        <v>10</v>
      </c>
      <c r="V3234" s="17">
        <f>ROUNDUP((T3234+U3234+2*'Read Me'!$B$13)*(1+'Read Me'!$B$12),-1)</f>
        <v/>
      </c>
      <c r="W3234" s="17">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G-I-0086</t>
        </is>
      </c>
      <c r="B3235" s="12" t="inlineStr">
        <is>
          <t>G</t>
        </is>
      </c>
      <c r="C3235" s="12" t="inlineStr">
        <is>
          <t>Carbon capture</t>
        </is>
      </c>
      <c r="D3235" s="12" t="inlineStr">
        <is>
          <t>Home run JB-CCS circulating-wa-AI01 to the control / marshalling room</t>
        </is>
      </c>
      <c r="E3235" s="12" t="inlineStr"/>
      <c r="F3235" s="12" t="inlineStr">
        <is>
          <t>CCS F&amp;G / control</t>
        </is>
      </c>
      <c r="G3235" s="12" t="inlineStr">
        <is>
          <t>JB-CCS circulating-wa-AI01</t>
        </is>
      </c>
      <c r="H3235" s="12" t="inlineStr">
        <is>
          <t>CCS circulating-water pumps</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7" t="n">
        <v>821</v>
      </c>
      <c r="U3235" s="17" t="n">
        <v>141</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G-I-0087</t>
        </is>
      </c>
      <c r="B3236" s="12" t="inlineStr">
        <is>
          <t>G</t>
        </is>
      </c>
      <c r="C3236" s="12" t="inlineStr">
        <is>
          <t>Carbon capture</t>
        </is>
      </c>
      <c r="D3236" s="12" t="inlineStr">
        <is>
          <t>Discrete device to JB JB-CCS circulating-wa-DI01: 20 x 1 pr (field cables)</t>
        </is>
      </c>
      <c r="E3236" s="12" t="inlineStr"/>
      <c r="F3236" s="12" t="inlineStr">
        <is>
          <t>CCS circulating-water pumps</t>
        </is>
      </c>
      <c r="G3236" s="12" t="inlineStr">
        <is>
          <t>JB-CCS circulating-wa-DI01</t>
        </is>
      </c>
      <c r="H3236" s="12" t="inlineStr">
        <is>
          <t>CCS circulating-water pumps</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7" t="n">
        <v>100</v>
      </c>
      <c r="U3236" s="17" t="n">
        <v>10</v>
      </c>
      <c r="V3236" s="17">
        <f>ROUNDUP((T3236+U3236+2*'Read Me'!$B$13)*(1+'Read Me'!$B$12),-1)</f>
        <v/>
      </c>
      <c r="W3236" s="17">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G-I-0088</t>
        </is>
      </c>
      <c r="B3237" s="12" t="inlineStr">
        <is>
          <t>G</t>
        </is>
      </c>
      <c r="C3237" s="12" t="inlineStr">
        <is>
          <t>Carbon capture</t>
        </is>
      </c>
      <c r="D3237" s="12" t="inlineStr">
        <is>
          <t>Home run JB-CCS circulating-wa-DI01 to the control / marshalling room</t>
        </is>
      </c>
      <c r="E3237" s="12" t="inlineStr"/>
      <c r="F3237" s="12" t="inlineStr">
        <is>
          <t>CCS F&amp;G / control</t>
        </is>
      </c>
      <c r="G3237" s="12" t="inlineStr">
        <is>
          <t>JB-CCS circulating-wa-DI01</t>
        </is>
      </c>
      <c r="H3237" s="12" t="inlineStr">
        <is>
          <t>CCS circulating-water pumps</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7" t="n">
        <v>821</v>
      </c>
      <c r="U3237" s="17" t="n">
        <v>141</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G-I-0089</t>
        </is>
      </c>
      <c r="B3238" s="12" t="inlineStr">
        <is>
          <t>G</t>
        </is>
      </c>
      <c r="C3238" s="12" t="inlineStr">
        <is>
          <t>Carbon capture</t>
        </is>
      </c>
      <c r="D3238" s="12" t="inlineStr">
        <is>
          <t>Analog instrument to JB JB-CCS-CT-AI01: 20 x 1 pr (field cables)</t>
        </is>
      </c>
      <c r="E3238" s="12" t="inlineStr">
        <is>
          <t>CCS-CT</t>
        </is>
      </c>
      <c r="F3238" s="12" t="inlineStr">
        <is>
          <t>CCS cooling tower (~30 cells): CCS process cooling only</t>
        </is>
      </c>
      <c r="G3238" s="12" t="inlineStr">
        <is>
          <t>JB-CCS-CT-AI01</t>
        </is>
      </c>
      <c r="H3238" s="12" t="inlineStr">
        <is>
          <t>CCS cooling tower (~30 cells): CCS process cooling only</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7" t="n">
        <v>250</v>
      </c>
      <c r="U3238" s="17" t="n">
        <v>10</v>
      </c>
      <c r="V3238" s="17">
        <f>ROUNDUP((T3238+U3238+2*'Read Me'!$B$13)*(1+'Read Me'!$B$12),-1)</f>
        <v/>
      </c>
      <c r="W3238" s="17">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G-I-0090</t>
        </is>
      </c>
      <c r="B3239" s="12" t="inlineStr">
        <is>
          <t>G</t>
        </is>
      </c>
      <c r="C3239" s="12" t="inlineStr">
        <is>
          <t>Carbon capture</t>
        </is>
      </c>
      <c r="D3239" s="12" t="inlineStr">
        <is>
          <t>Home run JB-CCS-CT-AI01 to the control / marshalling room</t>
        </is>
      </c>
      <c r="E3239" s="12" t="inlineStr"/>
      <c r="F3239" s="12" t="inlineStr">
        <is>
          <t>CCS F&amp;G / control</t>
        </is>
      </c>
      <c r="G3239" s="12" t="inlineStr">
        <is>
          <t>JB-CCS-CT-AI01</t>
        </is>
      </c>
      <c r="H3239" s="12" t="inlineStr">
        <is>
          <t>CCS cooling tower (~30 cells): CCS process cooling only</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7" t="n">
        <v>911</v>
      </c>
      <c r="U3239" s="17" t="n">
        <v>111</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G-I-0091</t>
        </is>
      </c>
      <c r="B3240" s="12" t="inlineStr">
        <is>
          <t>G</t>
        </is>
      </c>
      <c r="C3240" s="12" t="inlineStr">
        <is>
          <t>Carbon capture</t>
        </is>
      </c>
      <c r="D3240" s="12" t="inlineStr">
        <is>
          <t>Analog instrument to JB JB-CCS-CT-AI02: 10 x 1 pr (field cables)</t>
        </is>
      </c>
      <c r="E3240" s="12" t="inlineStr">
        <is>
          <t>CCS-CT</t>
        </is>
      </c>
      <c r="F3240" s="12" t="inlineStr">
        <is>
          <t>CCS cooling tower (~30 cells): CCS process cooling only</t>
        </is>
      </c>
      <c r="G3240" s="12" t="inlineStr">
        <is>
          <t>JB-CCS-CT-AI02</t>
        </is>
      </c>
      <c r="H3240" s="12" t="inlineStr">
        <is>
          <t>CCS cooling tower (~30 cells): CCS process cooling only</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10</v>
      </c>
      <c r="O3240" s="12" t="n">
        <v>1</v>
      </c>
      <c r="P3240" s="12" t="n"/>
      <c r="Q3240" s="12" t="n"/>
      <c r="R3240" s="12" t="n"/>
      <c r="S3240" s="12" t="inlineStr">
        <is>
          <t>Tray / conduit</t>
        </is>
      </c>
      <c r="T3240" s="17" t="n">
        <v>250</v>
      </c>
      <c r="U3240" s="17" t="n">
        <v>10</v>
      </c>
      <c r="V3240" s="17">
        <f>ROUNDUP((T3240+U3240+2*'Read Me'!$B$13)*(1+'Read Me'!$B$12),-1)</f>
        <v/>
      </c>
      <c r="W3240" s="17">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G-I-0092</t>
        </is>
      </c>
      <c r="B3241" s="12" t="inlineStr">
        <is>
          <t>G</t>
        </is>
      </c>
      <c r="C3241" s="12" t="inlineStr">
        <is>
          <t>Carbon capture</t>
        </is>
      </c>
      <c r="D3241" s="12" t="inlineStr">
        <is>
          <t>Home run JB-CCS-CT-AI02 to the control / marshalling room</t>
        </is>
      </c>
      <c r="E3241" s="12" t="inlineStr"/>
      <c r="F3241" s="12" t="inlineStr">
        <is>
          <t>CCS F&amp;G / control</t>
        </is>
      </c>
      <c r="G3241" s="12" t="inlineStr">
        <is>
          <t>JB-CCS-CT-AI02</t>
        </is>
      </c>
      <c r="H3241" s="12" t="inlineStr">
        <is>
          <t>CCS cooling tower (~30 cells): CCS process cooling only</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7" t="n">
        <v>911</v>
      </c>
      <c r="U3241" s="17" t="n">
        <v>111</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G-I-0093</t>
        </is>
      </c>
      <c r="B3242" s="12" t="inlineStr">
        <is>
          <t>G</t>
        </is>
      </c>
      <c r="C3242" s="12" t="inlineStr">
        <is>
          <t>Carbon capture</t>
        </is>
      </c>
      <c r="D3242" s="12" t="inlineStr">
        <is>
          <t>Discrete device to JB JB-CCS-CT-DI01: 20 x 1 pr (field cables)</t>
        </is>
      </c>
      <c r="E3242" s="12" t="inlineStr">
        <is>
          <t>CCS-CT</t>
        </is>
      </c>
      <c r="F3242" s="12" t="inlineStr">
        <is>
          <t>CCS cooling tower (~30 cells): CCS process cooling only</t>
        </is>
      </c>
      <c r="G3242" s="12" t="inlineStr">
        <is>
          <t>JB-CCS-CT-DI01</t>
        </is>
      </c>
      <c r="H3242" s="12" t="inlineStr">
        <is>
          <t>CCS cooling tower (~30 cells): CCS process cooling only</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7" t="n">
        <v>250</v>
      </c>
      <c r="U3242" s="17" t="n">
        <v>10</v>
      </c>
      <c r="V3242" s="17">
        <f>ROUNDUP((T3242+U3242+2*'Read Me'!$B$13)*(1+'Read Me'!$B$12),-1)</f>
        <v/>
      </c>
      <c r="W3242" s="17">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G-I-0094</t>
        </is>
      </c>
      <c r="B3243" s="12" t="inlineStr">
        <is>
          <t>G</t>
        </is>
      </c>
      <c r="C3243" s="12" t="inlineStr">
        <is>
          <t>Carbon capture</t>
        </is>
      </c>
      <c r="D3243" s="12" t="inlineStr">
        <is>
          <t>Home run JB-CCS-CT-DI01 to the control / marshalling room</t>
        </is>
      </c>
      <c r="E3243" s="12" t="inlineStr"/>
      <c r="F3243" s="12" t="inlineStr">
        <is>
          <t>CCS F&amp;G / control</t>
        </is>
      </c>
      <c r="G3243" s="12" t="inlineStr">
        <is>
          <t>JB-CCS-CT-DI01</t>
        </is>
      </c>
      <c r="H3243" s="12" t="inlineStr">
        <is>
          <t>CCS cooling tower (~30 cells): CCS process cooling only</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7" t="n">
        <v>911</v>
      </c>
      <c r="U3243" s="17" t="n">
        <v>111</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G-I-0095</t>
        </is>
      </c>
      <c r="B3244" s="12" t="inlineStr">
        <is>
          <t>G</t>
        </is>
      </c>
      <c r="C3244" s="12" t="inlineStr">
        <is>
          <t>Carbon capture</t>
        </is>
      </c>
      <c r="D3244" s="12" t="inlineStr">
        <is>
          <t>Discrete device to JB JB-CCS-CT-DI02: 20 x 1 pr (field cables)</t>
        </is>
      </c>
      <c r="E3244" s="12" t="inlineStr">
        <is>
          <t>CCS-CT</t>
        </is>
      </c>
      <c r="F3244" s="12" t="inlineStr">
        <is>
          <t>CCS cooling tower (~30 cells): CCS process cooling only</t>
        </is>
      </c>
      <c r="G3244" s="12" t="inlineStr">
        <is>
          <t>JB-CCS-CT-DI02</t>
        </is>
      </c>
      <c r="H3244" s="12" t="inlineStr">
        <is>
          <t>CCS cooling tower (~30 cells): CCS process cooling only</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7" t="n">
        <v>250</v>
      </c>
      <c r="U3244" s="17" t="n">
        <v>10</v>
      </c>
      <c r="V3244" s="17">
        <f>ROUNDUP((T3244+U3244+2*'Read Me'!$B$13)*(1+'Read Me'!$B$12),-1)</f>
        <v/>
      </c>
      <c r="W3244" s="17">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G-I-0096</t>
        </is>
      </c>
      <c r="B3245" s="12" t="inlineStr">
        <is>
          <t>G</t>
        </is>
      </c>
      <c r="C3245" s="12" t="inlineStr">
        <is>
          <t>Carbon capture</t>
        </is>
      </c>
      <c r="D3245" s="12" t="inlineStr">
        <is>
          <t>Home run JB-CCS-CT-DI02 to the control / marshalling room</t>
        </is>
      </c>
      <c r="E3245" s="12" t="inlineStr"/>
      <c r="F3245" s="12" t="inlineStr">
        <is>
          <t>CCS F&amp;G / control</t>
        </is>
      </c>
      <c r="G3245" s="12" t="inlineStr">
        <is>
          <t>JB-CCS-CT-DI02</t>
        </is>
      </c>
      <c r="H3245" s="12" t="inlineStr">
        <is>
          <t>CCS cooling tower (~30 cells): CCS process cooling only</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7" t="n">
        <v>911</v>
      </c>
      <c r="U3245" s="17" t="n">
        <v>111</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G-I-0097</t>
        </is>
      </c>
      <c r="B3246" s="12" t="inlineStr">
        <is>
          <t>G</t>
        </is>
      </c>
      <c r="C3246" s="12" t="inlineStr">
        <is>
          <t>Carbon capture</t>
        </is>
      </c>
      <c r="D3246" s="12" t="inlineStr">
        <is>
          <t>Discrete device to JB JB-CCS-CT-DI03: 20 x 1 pr (field cables)</t>
        </is>
      </c>
      <c r="E3246" s="12" t="inlineStr">
        <is>
          <t>CCS-CT</t>
        </is>
      </c>
      <c r="F3246" s="12" t="inlineStr">
        <is>
          <t>CCS cooling tower (~30 cells): CCS process cooling only</t>
        </is>
      </c>
      <c r="G3246" s="12" t="inlineStr">
        <is>
          <t>JB-CCS-CT-DI03</t>
        </is>
      </c>
      <c r="H3246" s="12" t="inlineStr">
        <is>
          <t>CCS cooling tower (~30 cells): CCS process cooling only</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7" t="n">
        <v>250</v>
      </c>
      <c r="U3246" s="17" t="n">
        <v>10</v>
      </c>
      <c r="V3246" s="17">
        <f>ROUNDUP((T3246+U3246+2*'Read Me'!$B$13)*(1+'Read Me'!$B$12),-1)</f>
        <v/>
      </c>
      <c r="W3246" s="17">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G-I-0098</t>
        </is>
      </c>
      <c r="B3247" s="12" t="inlineStr">
        <is>
          <t>G</t>
        </is>
      </c>
      <c r="C3247" s="12" t="inlineStr">
        <is>
          <t>Carbon capture</t>
        </is>
      </c>
      <c r="D3247" s="12" t="inlineStr">
        <is>
          <t>Home run JB-CCS-CT-DI03 to the control / marshalling room</t>
        </is>
      </c>
      <c r="E3247" s="12" t="inlineStr"/>
      <c r="F3247" s="12" t="inlineStr">
        <is>
          <t>CCS F&amp;G / control</t>
        </is>
      </c>
      <c r="G3247" s="12" t="inlineStr">
        <is>
          <t>JB-CCS-CT-DI03</t>
        </is>
      </c>
      <c r="H3247" s="12" t="inlineStr">
        <is>
          <t>CCS cooling tower (~30 cells): CCS process cooling only</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7" t="n">
        <v>911</v>
      </c>
      <c r="U3247" s="17" t="n">
        <v>111</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G-I-0099</t>
        </is>
      </c>
      <c r="B3248" s="12" t="inlineStr">
        <is>
          <t>G</t>
        </is>
      </c>
      <c r="C3248" s="12" t="inlineStr">
        <is>
          <t>Carbon capture</t>
        </is>
      </c>
      <c r="D3248" s="12" t="inlineStr">
        <is>
          <t>Analog instrument to JB JB-CCS instrument air-AI01: 10 x 1 pr (field cables)</t>
        </is>
      </c>
      <c r="E3248" s="12" t="inlineStr"/>
      <c r="F3248" s="12" t="inlineStr">
        <is>
          <t>CCS instrument air</t>
        </is>
      </c>
      <c r="G3248" s="12" t="inlineStr">
        <is>
          <t>JB-CCS instrument air-AI01</t>
        </is>
      </c>
      <c r="H3248" s="12" t="inlineStr">
        <is>
          <t>CCS instrument air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7" t="n">
        <v>72</v>
      </c>
      <c r="U3248" s="17" t="n">
        <v>10</v>
      </c>
      <c r="V3248" s="17">
        <f>ROUNDUP((T3248+U3248+2*'Read Me'!$B$13)*(1+'Read Me'!$B$12),-1)</f>
        <v/>
      </c>
      <c r="W3248" s="17">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G-I-0100</t>
        </is>
      </c>
      <c r="B3249" s="12" t="inlineStr">
        <is>
          <t>G</t>
        </is>
      </c>
      <c r="C3249" s="12" t="inlineStr">
        <is>
          <t>Carbon capture</t>
        </is>
      </c>
      <c r="D3249" s="12" t="inlineStr">
        <is>
          <t>Home run JB-CCS instrument air-AI01 to the control / marshalling room</t>
        </is>
      </c>
      <c r="E3249" s="12" t="inlineStr"/>
      <c r="F3249" s="12" t="inlineStr">
        <is>
          <t>CCS F&amp;G / control</t>
        </is>
      </c>
      <c r="G3249" s="12" t="inlineStr">
        <is>
          <t>JB-CCS instrument air-AI01</t>
        </is>
      </c>
      <c r="H3249" s="12" t="inlineStr">
        <is>
          <t>CCS instrument air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7" t="n">
        <v>0</v>
      </c>
      <c r="U3249" s="17" t="n">
        <v>120</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G-I-0101</t>
        </is>
      </c>
      <c r="B3250" s="12" t="inlineStr">
        <is>
          <t>G</t>
        </is>
      </c>
      <c r="C3250" s="12" t="inlineStr">
        <is>
          <t>Carbon capture</t>
        </is>
      </c>
      <c r="D3250" s="12" t="inlineStr">
        <is>
          <t>Discrete device to JB JB-CCS instrument air-DI01: 10 x 1 pr (field cables)</t>
        </is>
      </c>
      <c r="E3250" s="12" t="inlineStr"/>
      <c r="F3250" s="12" t="inlineStr">
        <is>
          <t>CCS instrument air</t>
        </is>
      </c>
      <c r="G3250" s="12" t="inlineStr">
        <is>
          <t>JB-CCS instrument air-DI01</t>
        </is>
      </c>
      <c r="H3250" s="12" t="inlineStr">
        <is>
          <t>CCS instrument air</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10</v>
      </c>
      <c r="O3250" s="12" t="n">
        <v>1</v>
      </c>
      <c r="P3250" s="12" t="n"/>
      <c r="Q3250" s="12" t="n"/>
      <c r="R3250" s="12" t="n"/>
      <c r="S3250" s="12" t="inlineStr">
        <is>
          <t>Tray / conduit</t>
        </is>
      </c>
      <c r="T3250" s="17" t="n">
        <v>72</v>
      </c>
      <c r="U3250" s="17" t="n">
        <v>10</v>
      </c>
      <c r="V3250" s="17">
        <f>ROUNDUP((T3250+U3250+2*'Read Me'!$B$13)*(1+'Read Me'!$B$12),-1)</f>
        <v/>
      </c>
      <c r="W3250" s="17">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G-I-0102</t>
        </is>
      </c>
      <c r="B3251" s="12" t="inlineStr">
        <is>
          <t>G</t>
        </is>
      </c>
      <c r="C3251" s="12" t="inlineStr">
        <is>
          <t>Carbon capture</t>
        </is>
      </c>
      <c r="D3251" s="12" t="inlineStr">
        <is>
          <t>Home run JB-CCS instrument air-DI01 to the control / marshalling room</t>
        </is>
      </c>
      <c r="E3251" s="12" t="inlineStr"/>
      <c r="F3251" s="12" t="inlineStr">
        <is>
          <t>CCS F&amp;G / control</t>
        </is>
      </c>
      <c r="G3251" s="12" t="inlineStr">
        <is>
          <t>JB-CCS instrument air-DI01</t>
        </is>
      </c>
      <c r="H3251" s="12" t="inlineStr">
        <is>
          <t>CCS instrument air</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7" t="n">
        <v>0</v>
      </c>
      <c r="U3251" s="17" t="n">
        <v>120</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G-I-0103</t>
        </is>
      </c>
      <c r="B3252" s="12" t="inlineStr">
        <is>
          <t>G</t>
        </is>
      </c>
      <c r="C3252" s="12" t="inlineStr">
        <is>
          <t>Carbon capture</t>
        </is>
      </c>
      <c r="D3252" s="12" t="inlineStr">
        <is>
          <t>Analog instrument to JB JB-CCS wastewater (DC-AI01: 15 x 1 pr (field cables)</t>
        </is>
      </c>
      <c r="E3252" s="12" t="inlineStr"/>
      <c r="F3252" s="12" t="inlineStr">
        <is>
          <t>CCS wastewater (DCC + tower blowdown)</t>
        </is>
      </c>
      <c r="G3252" s="12" t="inlineStr">
        <is>
          <t>JB-CCS wastewater (DC-AI01</t>
        </is>
      </c>
      <c r="H3252" s="12" t="inlineStr">
        <is>
          <t>CCS wastewater (DCC + tower blowdown)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7" t="n">
        <v>140</v>
      </c>
      <c r="U3252" s="17" t="n">
        <v>10</v>
      </c>
      <c r="V3252" s="17">
        <f>ROUNDUP((T3252+U3252+2*'Read Me'!$B$13)*(1+'Read Me'!$B$12),-1)</f>
        <v/>
      </c>
      <c r="W3252" s="17">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G-I-0104</t>
        </is>
      </c>
      <c r="B3253" s="12" t="inlineStr">
        <is>
          <t>G</t>
        </is>
      </c>
      <c r="C3253" s="12" t="inlineStr">
        <is>
          <t>Carbon capture</t>
        </is>
      </c>
      <c r="D3253" s="12" t="inlineStr">
        <is>
          <t>Home run JB-CCS wastewater (DC-AI01 to the control / marshalling room</t>
        </is>
      </c>
      <c r="E3253" s="12" t="inlineStr"/>
      <c r="F3253" s="12" t="inlineStr">
        <is>
          <t>CCS F&amp;G / control</t>
        </is>
      </c>
      <c r="G3253" s="12" t="inlineStr">
        <is>
          <t>JB-CCS wastewater (DC-AI01</t>
        </is>
      </c>
      <c r="H3253" s="12" t="inlineStr">
        <is>
          <t>CCS wastewater (DCC + tower blowdown)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7" t="n">
        <v>656</v>
      </c>
      <c r="U3253" s="17" t="n">
        <v>121</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G-I-0105</t>
        </is>
      </c>
      <c r="B3254" s="12" t="inlineStr">
        <is>
          <t>G</t>
        </is>
      </c>
      <c r="C3254" s="12" t="inlineStr">
        <is>
          <t>Carbon capture</t>
        </is>
      </c>
      <c r="D3254" s="12" t="inlineStr">
        <is>
          <t>Discrete device to JB JB-CCS wastewater (DC-DI01: 15 x 1 pr (field cables)</t>
        </is>
      </c>
      <c r="E3254" s="12" t="inlineStr"/>
      <c r="F3254" s="12" t="inlineStr">
        <is>
          <t>CCS wastewater (DCC + tower blowdown)</t>
        </is>
      </c>
      <c r="G3254" s="12" t="inlineStr">
        <is>
          <t>JB-CCS wastewater (DC-DI01</t>
        </is>
      </c>
      <c r="H3254" s="12" t="inlineStr">
        <is>
          <t>CCS wastewater (DCC + tower blowdown)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7" t="n">
        <v>140</v>
      </c>
      <c r="U3254" s="17" t="n">
        <v>10</v>
      </c>
      <c r="V3254" s="17">
        <f>ROUNDUP((T3254+U3254+2*'Read Me'!$B$13)*(1+'Read Me'!$B$12),-1)</f>
        <v/>
      </c>
      <c r="W3254" s="17">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G-I-0106</t>
        </is>
      </c>
      <c r="B3255" s="12" t="inlineStr">
        <is>
          <t>G</t>
        </is>
      </c>
      <c r="C3255" s="12" t="inlineStr">
        <is>
          <t>Carbon capture</t>
        </is>
      </c>
      <c r="D3255" s="12" t="inlineStr">
        <is>
          <t>Home run JB-CCS wastewater (DC-DI01 to the control / marshalling room</t>
        </is>
      </c>
      <c r="E3255" s="12" t="inlineStr"/>
      <c r="F3255" s="12" t="inlineStr">
        <is>
          <t>CCS F&amp;G / control</t>
        </is>
      </c>
      <c r="G3255" s="12" t="inlineStr">
        <is>
          <t>JB-CCS wastewater (DC-DI01</t>
        </is>
      </c>
      <c r="H3255" s="12" t="inlineStr">
        <is>
          <t>CCS wastewater (DCC + tower blowdown)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7" t="n">
        <v>656</v>
      </c>
      <c r="U3255" s="17" t="n">
        <v>121</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G-I-0107</t>
        </is>
      </c>
      <c r="B3256" s="12" t="inlineStr">
        <is>
          <t>G</t>
        </is>
      </c>
      <c r="C3256" s="12" t="inlineStr">
        <is>
          <t>Carbon capture</t>
        </is>
      </c>
      <c r="D3256" s="12" t="inlineStr">
        <is>
          <t>Analog instrument to JB JB-CO2 compression 3 -AI01: 20 x 1 pr (field cables)</t>
        </is>
      </c>
      <c r="E3256" s="12" t="inlineStr"/>
      <c r="F3256" s="12" t="inlineStr">
        <is>
          <t>CO2 compression 3 x ~19 MW + dehydration</t>
        </is>
      </c>
      <c r="G3256" s="12" t="inlineStr">
        <is>
          <t>JB-CO2 compression 3 -AI01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7" t="n">
        <v>159</v>
      </c>
      <c r="U3256" s="17" t="n">
        <v>10</v>
      </c>
      <c r="V3256" s="17">
        <f>ROUNDUP((T3256+U3256+2*'Read Me'!$B$13)*(1+'Read Me'!$B$12),-1)</f>
        <v/>
      </c>
      <c r="W3256" s="17">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G-I-0108</t>
        </is>
      </c>
      <c r="B3257" s="12" t="inlineStr">
        <is>
          <t>G</t>
        </is>
      </c>
      <c r="C3257" s="12" t="inlineStr">
        <is>
          <t>Carbon capture</t>
        </is>
      </c>
      <c r="D3257" s="12" t="inlineStr">
        <is>
          <t>Home run JB-CO2 compression 3 -AI01 to the control / marshalling room</t>
        </is>
      </c>
      <c r="E3257" s="12" t="inlineStr"/>
      <c r="F3257" s="12" t="inlineStr">
        <is>
          <t>CCS F&amp;G / control</t>
        </is>
      </c>
      <c r="G3257" s="12" t="inlineStr">
        <is>
          <t>JB-CO2 compression 3 -AI01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7" t="n">
        <v>183</v>
      </c>
      <c r="U3257" s="17" t="n">
        <v>105</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G-I-0109</t>
        </is>
      </c>
      <c r="B3258" s="12" t="inlineStr">
        <is>
          <t>G</t>
        </is>
      </c>
      <c r="C3258" s="12" t="inlineStr">
        <is>
          <t>Carbon capture</t>
        </is>
      </c>
      <c r="D3258" s="12" t="inlineStr">
        <is>
          <t>Analog instrument to JB JB-CO2 compression 3 -AI02: 20 x 1 pr (field cables)</t>
        </is>
      </c>
      <c r="E3258" s="12" t="inlineStr"/>
      <c r="F3258" s="12" t="inlineStr">
        <is>
          <t>CO2 compression 3 x ~19 MW + dehydration</t>
        </is>
      </c>
      <c r="G3258" s="12" t="inlineStr">
        <is>
          <t>JB-CO2 compression 3 -AI02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7" t="n">
        <v>159</v>
      </c>
      <c r="U3258" s="17" t="n">
        <v>10</v>
      </c>
      <c r="V3258" s="17">
        <f>ROUNDUP((T3258+U3258+2*'Read Me'!$B$13)*(1+'Read Me'!$B$12),-1)</f>
        <v/>
      </c>
      <c r="W3258" s="17">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G-I-0110</t>
        </is>
      </c>
      <c r="B3259" s="12" t="inlineStr">
        <is>
          <t>G</t>
        </is>
      </c>
      <c r="C3259" s="12" t="inlineStr">
        <is>
          <t>Carbon capture</t>
        </is>
      </c>
      <c r="D3259" s="12" t="inlineStr">
        <is>
          <t>Home run JB-CO2 compression 3 -AI02 to the control / marshalling room</t>
        </is>
      </c>
      <c r="E3259" s="12" t="inlineStr"/>
      <c r="F3259" s="12" t="inlineStr">
        <is>
          <t>CCS F&amp;G / control</t>
        </is>
      </c>
      <c r="G3259" s="12" t="inlineStr">
        <is>
          <t>JB-CO2 compression 3 -AI02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7" t="n">
        <v>183</v>
      </c>
      <c r="U3259" s="17" t="n">
        <v>105</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G-I-0111</t>
        </is>
      </c>
      <c r="B3260" s="12" t="inlineStr">
        <is>
          <t>G</t>
        </is>
      </c>
      <c r="C3260" s="12" t="inlineStr">
        <is>
          <t>Carbon capture</t>
        </is>
      </c>
      <c r="D3260" s="12" t="inlineStr">
        <is>
          <t>Analog instrument to JB JB-CO2 compression 3 -AI03: 20 x 1 pr (field cables)</t>
        </is>
      </c>
      <c r="E3260" s="12" t="inlineStr"/>
      <c r="F3260" s="12" t="inlineStr">
        <is>
          <t>CO2 compression 3 x ~19 MW + dehydration</t>
        </is>
      </c>
      <c r="G3260" s="12" t="inlineStr">
        <is>
          <t>JB-CO2 compression 3 -AI03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7" t="n">
        <v>159</v>
      </c>
      <c r="U3260" s="17" t="n">
        <v>10</v>
      </c>
      <c r="V3260" s="17">
        <f>ROUNDUP((T3260+U3260+2*'Read Me'!$B$13)*(1+'Read Me'!$B$12),-1)</f>
        <v/>
      </c>
      <c r="W3260" s="17">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G-I-0112</t>
        </is>
      </c>
      <c r="B3261" s="12" t="inlineStr">
        <is>
          <t>G</t>
        </is>
      </c>
      <c r="C3261" s="12" t="inlineStr">
        <is>
          <t>Carbon capture</t>
        </is>
      </c>
      <c r="D3261" s="12" t="inlineStr">
        <is>
          <t>Home run JB-CO2 compression 3 -AI03 to the control / marshalling room</t>
        </is>
      </c>
      <c r="E3261" s="12" t="inlineStr"/>
      <c r="F3261" s="12" t="inlineStr">
        <is>
          <t>CCS F&amp;G / control</t>
        </is>
      </c>
      <c r="G3261" s="12" t="inlineStr">
        <is>
          <t>JB-CO2 compression 3 -AI03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7" t="n">
        <v>183</v>
      </c>
      <c r="U3261" s="17" t="n">
        <v>105</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G-I-0113</t>
        </is>
      </c>
      <c r="B3262" s="12" t="inlineStr">
        <is>
          <t>G</t>
        </is>
      </c>
      <c r="C3262" s="12" t="inlineStr">
        <is>
          <t>Carbon capture</t>
        </is>
      </c>
      <c r="D3262" s="12" t="inlineStr">
        <is>
          <t>Analog instrument to JB JB-CO2 compression 3 -AI04: 20 x 1 pr (field cables)</t>
        </is>
      </c>
      <c r="E3262" s="12" t="inlineStr"/>
      <c r="F3262" s="12" t="inlineStr">
        <is>
          <t>CO2 compression 3 x ~19 MW + dehydration</t>
        </is>
      </c>
      <c r="G3262" s="12" t="inlineStr">
        <is>
          <t>JB-CO2 compression 3 -AI04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7" t="n">
        <v>159</v>
      </c>
      <c r="U3262" s="17" t="n">
        <v>10</v>
      </c>
      <c r="V3262" s="17">
        <f>ROUNDUP((T3262+U3262+2*'Read Me'!$B$13)*(1+'Read Me'!$B$12),-1)</f>
        <v/>
      </c>
      <c r="W3262" s="17">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G-I-0114</t>
        </is>
      </c>
      <c r="B3263" s="12" t="inlineStr">
        <is>
          <t>G</t>
        </is>
      </c>
      <c r="C3263" s="12" t="inlineStr">
        <is>
          <t>Carbon capture</t>
        </is>
      </c>
      <c r="D3263" s="12" t="inlineStr">
        <is>
          <t>Home run JB-CO2 compression 3 -AI04 to the control / marshalling room</t>
        </is>
      </c>
      <c r="E3263" s="12" t="inlineStr"/>
      <c r="F3263" s="12" t="inlineStr">
        <is>
          <t>CCS F&amp;G / control</t>
        </is>
      </c>
      <c r="G3263" s="12" t="inlineStr">
        <is>
          <t>JB-CO2 compression 3 -AI04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7" t="n">
        <v>183</v>
      </c>
      <c r="U3263" s="17" t="n">
        <v>105</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G-I-0115</t>
        </is>
      </c>
      <c r="B3264" s="12" t="inlineStr">
        <is>
          <t>G</t>
        </is>
      </c>
      <c r="C3264" s="12" t="inlineStr">
        <is>
          <t>Carbon capture</t>
        </is>
      </c>
      <c r="D3264" s="12" t="inlineStr">
        <is>
          <t>Analog instrument to JB JB-CO2 compression 3 -AI05: 20 x 1 pr (field cables)</t>
        </is>
      </c>
      <c r="E3264" s="12" t="inlineStr"/>
      <c r="F3264" s="12" t="inlineStr">
        <is>
          <t>CO2 compression 3 x ~19 MW + dehydration</t>
        </is>
      </c>
      <c r="G3264" s="12" t="inlineStr">
        <is>
          <t>JB-CO2 compression 3 -AI05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7" t="n">
        <v>159</v>
      </c>
      <c r="U3264" s="17" t="n">
        <v>10</v>
      </c>
      <c r="V3264" s="17">
        <f>ROUNDUP((T3264+U3264+2*'Read Me'!$B$13)*(1+'Read Me'!$B$12),-1)</f>
        <v/>
      </c>
      <c r="W3264" s="17">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G-I-0116</t>
        </is>
      </c>
      <c r="B3265" s="12" t="inlineStr">
        <is>
          <t>G</t>
        </is>
      </c>
      <c r="C3265" s="12" t="inlineStr">
        <is>
          <t>Carbon capture</t>
        </is>
      </c>
      <c r="D3265" s="12" t="inlineStr">
        <is>
          <t>Home run JB-CO2 compression 3 -AI05 to the control / marshalling room</t>
        </is>
      </c>
      <c r="E3265" s="12" t="inlineStr"/>
      <c r="F3265" s="12" t="inlineStr">
        <is>
          <t>CCS F&amp;G / control</t>
        </is>
      </c>
      <c r="G3265" s="12" t="inlineStr">
        <is>
          <t>JB-CO2 compression 3 -AI05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7" t="n">
        <v>183</v>
      </c>
      <c r="U3265" s="17" t="n">
        <v>105</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G-I-0117</t>
        </is>
      </c>
      <c r="B3266" s="12" t="inlineStr">
        <is>
          <t>G</t>
        </is>
      </c>
      <c r="C3266" s="12" t="inlineStr">
        <is>
          <t>Carbon capture</t>
        </is>
      </c>
      <c r="D3266" s="12" t="inlineStr">
        <is>
          <t>Analog instrument to JB JB-CO2 compression 3 -AI06: 20 x 1 pr (field cables)</t>
        </is>
      </c>
      <c r="E3266" s="12" t="inlineStr"/>
      <c r="F3266" s="12" t="inlineStr">
        <is>
          <t>CO2 compression 3 x ~19 MW + dehydration</t>
        </is>
      </c>
      <c r="G3266" s="12" t="inlineStr">
        <is>
          <t>JB-CO2 compression 3 -AI06</t>
        </is>
      </c>
      <c r="H3266" s="12" t="inlineStr">
        <is>
          <t>CO2 compression 3 x ~19 MW + dehydration</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7" t="n">
        <v>159</v>
      </c>
      <c r="U3266" s="17" t="n">
        <v>10</v>
      </c>
      <c r="V3266" s="17">
        <f>ROUNDUP((T3266+U3266+2*'Read Me'!$B$13)*(1+'Read Me'!$B$12),-1)</f>
        <v/>
      </c>
      <c r="W3266" s="17">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G-I-0118</t>
        </is>
      </c>
      <c r="B3267" s="12" t="inlineStr">
        <is>
          <t>G</t>
        </is>
      </c>
      <c r="C3267" s="12" t="inlineStr">
        <is>
          <t>Carbon capture</t>
        </is>
      </c>
      <c r="D3267" s="12" t="inlineStr">
        <is>
          <t>Home run JB-CO2 compression 3 -AI06 to the control / marshalling room</t>
        </is>
      </c>
      <c r="E3267" s="12" t="inlineStr"/>
      <c r="F3267" s="12" t="inlineStr">
        <is>
          <t>CCS F&amp;G / control</t>
        </is>
      </c>
      <c r="G3267" s="12" t="inlineStr">
        <is>
          <t>JB-CO2 compression 3 -AI06</t>
        </is>
      </c>
      <c r="H3267" s="12" t="inlineStr">
        <is>
          <t>CO2 compression 3 x ~19 MW + dehydration</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7" t="n">
        <v>183</v>
      </c>
      <c r="U3267" s="17" t="n">
        <v>105</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G-I-0119</t>
        </is>
      </c>
      <c r="B3268" s="12" t="inlineStr">
        <is>
          <t>G</t>
        </is>
      </c>
      <c r="C3268" s="12" t="inlineStr">
        <is>
          <t>Carbon capture</t>
        </is>
      </c>
      <c r="D3268" s="12" t="inlineStr">
        <is>
          <t>Analog instrument to JB JB-CO2 compression 3 -AI07: 20 x 1 pr (field cables)</t>
        </is>
      </c>
      <c r="E3268" s="12" t="inlineStr"/>
      <c r="F3268" s="12" t="inlineStr">
        <is>
          <t>CO2 compression 3 x ~19 MW + dehydration</t>
        </is>
      </c>
      <c r="G3268" s="12" t="inlineStr">
        <is>
          <t>JB-CO2 compression 3 -AI07</t>
        </is>
      </c>
      <c r="H3268" s="12" t="inlineStr">
        <is>
          <t>CO2 compression 3 x ~19 MW + dehydration</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7" t="n">
        <v>159</v>
      </c>
      <c r="U3268" s="17" t="n">
        <v>10</v>
      </c>
      <c r="V3268" s="17">
        <f>ROUNDUP((T3268+U3268+2*'Read Me'!$B$13)*(1+'Read Me'!$B$12),-1)</f>
        <v/>
      </c>
      <c r="W3268" s="17">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G-I-0120</t>
        </is>
      </c>
      <c r="B3269" s="12" t="inlineStr">
        <is>
          <t>G</t>
        </is>
      </c>
      <c r="C3269" s="12" t="inlineStr">
        <is>
          <t>Carbon capture</t>
        </is>
      </c>
      <c r="D3269" s="12" t="inlineStr">
        <is>
          <t>Home run JB-CO2 compression 3 -AI07 to the control / marshalling room</t>
        </is>
      </c>
      <c r="E3269" s="12" t="inlineStr"/>
      <c r="F3269" s="12" t="inlineStr">
        <is>
          <t>CCS F&amp;G / control</t>
        </is>
      </c>
      <c r="G3269" s="12" t="inlineStr">
        <is>
          <t>JB-CO2 compression 3 -AI07</t>
        </is>
      </c>
      <c r="H3269" s="12" t="inlineStr">
        <is>
          <t>CO2 compression 3 x ~19 MW + dehydration</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7" t="n">
        <v>183</v>
      </c>
      <c r="U3269" s="17" t="n">
        <v>105</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G-I-0121</t>
        </is>
      </c>
      <c r="B3270" s="12" t="inlineStr">
        <is>
          <t>G</t>
        </is>
      </c>
      <c r="C3270" s="12" t="inlineStr">
        <is>
          <t>Carbon capture</t>
        </is>
      </c>
      <c r="D3270" s="12" t="inlineStr">
        <is>
          <t>Analog instrument to JB JB-CO2 compression 3 -AI08: 10 x 1 pr (field cables)</t>
        </is>
      </c>
      <c r="E3270" s="12" t="inlineStr"/>
      <c r="F3270" s="12" t="inlineStr">
        <is>
          <t>CO2 compression 3 x ~19 MW + dehydration</t>
        </is>
      </c>
      <c r="G3270" s="12" t="inlineStr">
        <is>
          <t>JB-CO2 compression 3 -AI08</t>
        </is>
      </c>
      <c r="H3270" s="12" t="inlineStr">
        <is>
          <t>CO2 compression 3 x ~19 MW + dehydration</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7" t="n">
        <v>159</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G-I-0122</t>
        </is>
      </c>
      <c r="B3271" s="12" t="inlineStr">
        <is>
          <t>G</t>
        </is>
      </c>
      <c r="C3271" s="12" t="inlineStr">
        <is>
          <t>Carbon capture</t>
        </is>
      </c>
      <c r="D3271" s="12" t="inlineStr">
        <is>
          <t>Home run JB-CO2 compression 3 -AI08 to the control / marshalling room</t>
        </is>
      </c>
      <c r="E3271" s="12" t="inlineStr"/>
      <c r="F3271" s="12" t="inlineStr">
        <is>
          <t>CCS F&amp;G / control</t>
        </is>
      </c>
      <c r="G3271" s="12" t="inlineStr">
        <is>
          <t>JB-CO2 compression 3 -AI08</t>
        </is>
      </c>
      <c r="H3271" s="12" t="inlineStr">
        <is>
          <t>CO2 compression 3 x ~19 MW + dehydration</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7" t="n">
        <v>183</v>
      </c>
      <c r="U3271" s="17" t="n">
        <v>105</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G-I-0123</t>
        </is>
      </c>
      <c r="B3272" s="12" t="inlineStr">
        <is>
          <t>G</t>
        </is>
      </c>
      <c r="C3272" s="12" t="inlineStr">
        <is>
          <t>Carbon capture</t>
        </is>
      </c>
      <c r="D3272" s="12" t="inlineStr">
        <is>
          <t>Discrete device to JB JB-CO2 compression 3 -DI01: 20 x 1 pr (field cables)</t>
        </is>
      </c>
      <c r="E3272" s="12" t="inlineStr"/>
      <c r="F3272" s="12" t="inlineStr">
        <is>
          <t>CO2 compression 3 x ~19 MW + dehydration</t>
        </is>
      </c>
      <c r="G3272" s="12" t="inlineStr">
        <is>
          <t>JB-CO2 compression 3 -DI01</t>
        </is>
      </c>
      <c r="H3272" s="12" t="inlineStr">
        <is>
          <t>CO2 compression 3 x ~19 MW + dehydration</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159</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G-I-0124</t>
        </is>
      </c>
      <c r="B3273" s="12" t="inlineStr">
        <is>
          <t>G</t>
        </is>
      </c>
      <c r="C3273" s="12" t="inlineStr">
        <is>
          <t>Carbon capture</t>
        </is>
      </c>
      <c r="D3273" s="12" t="inlineStr">
        <is>
          <t>Home run JB-CO2 compression 3 -DI01 to the control / marshalling room</t>
        </is>
      </c>
      <c r="E3273" s="12" t="inlineStr"/>
      <c r="F3273" s="12" t="inlineStr">
        <is>
          <t>CCS F&amp;G / control</t>
        </is>
      </c>
      <c r="G3273" s="12" t="inlineStr">
        <is>
          <t>JB-CO2 compression 3 -DI01</t>
        </is>
      </c>
      <c r="H3273" s="12" t="inlineStr">
        <is>
          <t>CO2 compression 3 x ~19 MW + dehydration</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7" t="n">
        <v>183</v>
      </c>
      <c r="U3273" s="17" t="n">
        <v>105</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G-I-0125</t>
        </is>
      </c>
      <c r="B3274" s="12" t="inlineStr">
        <is>
          <t>G</t>
        </is>
      </c>
      <c r="C3274" s="12" t="inlineStr">
        <is>
          <t>Carbon capture</t>
        </is>
      </c>
      <c r="D3274" s="12" t="inlineStr">
        <is>
          <t>Discrete device to JB JB-CO2 compression 3 -DI02: 20 x 1 pr (field cables)</t>
        </is>
      </c>
      <c r="E3274" s="12" t="inlineStr"/>
      <c r="F3274" s="12" t="inlineStr">
        <is>
          <t>CO2 compression 3 x ~19 MW + dehydration</t>
        </is>
      </c>
      <c r="G3274" s="12" t="inlineStr">
        <is>
          <t>JB-CO2 compression 3 -DI02</t>
        </is>
      </c>
      <c r="H3274" s="12" t="inlineStr">
        <is>
          <t>CO2 compression 3 x ~19 MW + dehydration</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159</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G-I-0126</t>
        </is>
      </c>
      <c r="B3275" s="12" t="inlineStr">
        <is>
          <t>G</t>
        </is>
      </c>
      <c r="C3275" s="12" t="inlineStr">
        <is>
          <t>Carbon capture</t>
        </is>
      </c>
      <c r="D3275" s="12" t="inlineStr">
        <is>
          <t>Home run JB-CO2 compression 3 -DI02 to the control / marshalling room</t>
        </is>
      </c>
      <c r="E3275" s="12" t="inlineStr"/>
      <c r="F3275" s="12" t="inlineStr">
        <is>
          <t>CCS F&amp;G / control</t>
        </is>
      </c>
      <c r="G3275" s="12" t="inlineStr">
        <is>
          <t>JB-CO2 compression 3 -DI02</t>
        </is>
      </c>
      <c r="H3275" s="12" t="inlineStr">
        <is>
          <t>CO2 compression 3 x ~19 MW + dehydration</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7" t="n">
        <v>183</v>
      </c>
      <c r="U3275" s="17" t="n">
        <v>105</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G-I-0127</t>
        </is>
      </c>
      <c r="B3276" s="12" t="inlineStr">
        <is>
          <t>G</t>
        </is>
      </c>
      <c r="C3276" s="12" t="inlineStr">
        <is>
          <t>Carbon capture</t>
        </is>
      </c>
      <c r="D3276" s="12" t="inlineStr">
        <is>
          <t>Discrete device to JB JB-CO2 compression 3 -DI03: 20 x 1 pr (field cables)</t>
        </is>
      </c>
      <c r="E3276" s="12" t="inlineStr"/>
      <c r="F3276" s="12" t="inlineStr">
        <is>
          <t>CO2 compression 3 x ~19 MW + dehydration</t>
        </is>
      </c>
      <c r="G3276" s="12" t="inlineStr">
        <is>
          <t>JB-CO2 compression 3 -DI03</t>
        </is>
      </c>
      <c r="H3276" s="12" t="inlineStr">
        <is>
          <t>CO2 compression 3 x ~19 MW + dehydration</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159</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G-I-0128</t>
        </is>
      </c>
      <c r="B3277" s="12" t="inlineStr">
        <is>
          <t>G</t>
        </is>
      </c>
      <c r="C3277" s="12" t="inlineStr">
        <is>
          <t>Carbon capture</t>
        </is>
      </c>
      <c r="D3277" s="12" t="inlineStr">
        <is>
          <t>Home run JB-CO2 compression 3 -DI03 to the control / marshalling room</t>
        </is>
      </c>
      <c r="E3277" s="12" t="inlineStr"/>
      <c r="F3277" s="12" t="inlineStr">
        <is>
          <t>CCS F&amp;G / control</t>
        </is>
      </c>
      <c r="G3277" s="12" t="inlineStr">
        <is>
          <t>JB-CO2 compression 3 -DI03</t>
        </is>
      </c>
      <c r="H3277" s="12" t="inlineStr">
        <is>
          <t>CO2 compression 3 x ~19 MW + dehydration</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7" t="n">
        <v>183</v>
      </c>
      <c r="U3277" s="17" t="n">
        <v>105</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G-I-0129</t>
        </is>
      </c>
      <c r="B3278" s="12" t="inlineStr">
        <is>
          <t>G</t>
        </is>
      </c>
      <c r="C3278" s="12" t="inlineStr">
        <is>
          <t>Carbon capture</t>
        </is>
      </c>
      <c r="D3278" s="12" t="inlineStr">
        <is>
          <t>Discrete device to JB JB-CO2 compression 3 -DI04: 20 x 1 pr (field cables)</t>
        </is>
      </c>
      <c r="E3278" s="12" t="inlineStr"/>
      <c r="F3278" s="12" t="inlineStr">
        <is>
          <t>CO2 compression 3 x ~19 MW + dehydration</t>
        </is>
      </c>
      <c r="G3278" s="12" t="inlineStr">
        <is>
          <t>JB-CO2 compression 3 -DI04</t>
        </is>
      </c>
      <c r="H3278" s="12" t="inlineStr">
        <is>
          <t>CO2 compression 3 x ~19 MW + dehydration</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159</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G-I-0130</t>
        </is>
      </c>
      <c r="B3279" s="12" t="inlineStr">
        <is>
          <t>G</t>
        </is>
      </c>
      <c r="C3279" s="12" t="inlineStr">
        <is>
          <t>Carbon capture</t>
        </is>
      </c>
      <c r="D3279" s="12" t="inlineStr">
        <is>
          <t>Home run JB-CO2 compression 3 -DI04 to the control / marshalling room</t>
        </is>
      </c>
      <c r="E3279" s="12" t="inlineStr"/>
      <c r="F3279" s="12" t="inlineStr">
        <is>
          <t>CCS F&amp;G / control</t>
        </is>
      </c>
      <c r="G3279" s="12" t="inlineStr">
        <is>
          <t>JB-CO2 compression 3 -DI04</t>
        </is>
      </c>
      <c r="H3279" s="12" t="inlineStr">
        <is>
          <t>CO2 compression 3 x ~19 MW + dehydration</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7" t="n">
        <v>183</v>
      </c>
      <c r="U3279" s="17" t="n">
        <v>105</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G-I-0131</t>
        </is>
      </c>
      <c r="B3280" s="12" t="inlineStr">
        <is>
          <t>G</t>
        </is>
      </c>
      <c r="C3280" s="12" t="inlineStr">
        <is>
          <t>Carbon capture</t>
        </is>
      </c>
      <c r="D3280" s="12" t="inlineStr">
        <is>
          <t>Discrete device to JB JB-CO2 compression 3 -DI05: 20 x 1 pr (field cables)</t>
        </is>
      </c>
      <c r="E3280" s="12" t="inlineStr"/>
      <c r="F3280" s="12" t="inlineStr">
        <is>
          <t>CO2 compression 3 x ~19 MW + dehydration</t>
        </is>
      </c>
      <c r="G3280" s="12" t="inlineStr">
        <is>
          <t>JB-CO2 compression 3 -DI05</t>
        </is>
      </c>
      <c r="H3280" s="12" t="inlineStr">
        <is>
          <t>CO2 compression 3 x ~19 MW + dehydration</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7" t="n">
        <v>159</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G-I-0132</t>
        </is>
      </c>
      <c r="B3281" s="12" t="inlineStr">
        <is>
          <t>G</t>
        </is>
      </c>
      <c r="C3281" s="12" t="inlineStr">
        <is>
          <t>Carbon capture</t>
        </is>
      </c>
      <c r="D3281" s="12" t="inlineStr">
        <is>
          <t>Home run JB-CO2 compression 3 -DI05 to the control / marshalling room</t>
        </is>
      </c>
      <c r="E3281" s="12" t="inlineStr"/>
      <c r="F3281" s="12" t="inlineStr">
        <is>
          <t>CCS F&amp;G / control</t>
        </is>
      </c>
      <c r="G3281" s="12" t="inlineStr">
        <is>
          <t>JB-CO2 compression 3 -DI05</t>
        </is>
      </c>
      <c r="H3281" s="12" t="inlineStr">
        <is>
          <t>CO2 compression 3 x ~19 MW + dehydration</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7" t="n">
        <v>183</v>
      </c>
      <c r="U3281" s="17" t="n">
        <v>105</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G-I-0133</t>
        </is>
      </c>
      <c r="B3282" s="12" t="inlineStr">
        <is>
          <t>G</t>
        </is>
      </c>
      <c r="C3282" s="12" t="inlineStr">
        <is>
          <t>Carbon capture</t>
        </is>
      </c>
      <c r="D3282" s="12" t="inlineStr">
        <is>
          <t>RTD to JB JB-CO2 compression 3 -RTD01: 10 x 1 tri (field cables)</t>
        </is>
      </c>
      <c r="E3282" s="12" t="inlineStr"/>
      <c r="F3282" s="12" t="inlineStr">
        <is>
          <t>CO2 compression 3 x ~19 MW + dehydration</t>
        </is>
      </c>
      <c r="G3282" s="12" t="inlineStr">
        <is>
          <t>JB-CO2 compression 3 -RTD01</t>
        </is>
      </c>
      <c r="H3282" s="12" t="inlineStr">
        <is>
          <t>CO2 compression 3 x ~19 MW + dehydration</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7" t="n">
        <v>159</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G-I-0134</t>
        </is>
      </c>
      <c r="B3283" s="12" t="inlineStr">
        <is>
          <t>G</t>
        </is>
      </c>
      <c r="C3283" s="12" t="inlineStr">
        <is>
          <t>Carbon capture</t>
        </is>
      </c>
      <c r="D3283" s="12" t="inlineStr">
        <is>
          <t>Home run JB-CO2 compression 3 -RTD01 to the control / marshalling room</t>
        </is>
      </c>
      <c r="E3283" s="12" t="inlineStr"/>
      <c r="F3283" s="12" t="inlineStr">
        <is>
          <t>CCS F&amp;G / control</t>
        </is>
      </c>
      <c r="G3283" s="12" t="inlineStr">
        <is>
          <t>JB-CO2 compression 3 -RTD01</t>
        </is>
      </c>
      <c r="H3283" s="12" t="inlineStr">
        <is>
          <t>CO2 compression 3 x ~19 MW + dehydration</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7" t="n">
        <v>183</v>
      </c>
      <c r="U3283" s="17" t="n">
        <v>105</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G-I-0135</t>
        </is>
      </c>
      <c r="B3284" s="12" t="inlineStr">
        <is>
          <t>G</t>
        </is>
      </c>
      <c r="C3284" s="12" t="inlineStr">
        <is>
          <t>Carbon capture</t>
        </is>
      </c>
      <c r="D3284" s="12" t="inlineStr">
        <is>
          <t>RTD to JB JB-CO2 compression 3 -RTD02: 10 x 1 tri (field cables)</t>
        </is>
      </c>
      <c r="E3284" s="12" t="inlineStr"/>
      <c r="F3284" s="12" t="inlineStr">
        <is>
          <t>CO2 compression 3 x ~19 MW + dehydration</t>
        </is>
      </c>
      <c r="G3284" s="12" t="inlineStr">
        <is>
          <t>JB-CO2 compression 3 -RTD02</t>
        </is>
      </c>
      <c r="H3284" s="12" t="inlineStr">
        <is>
          <t>CO2 compression 3 x ~19 MW + dehydration</t>
        </is>
      </c>
      <c r="I3284" s="12" t="inlineStr">
        <is>
          <t>Instrumentation</t>
        </is>
      </c>
      <c r="J3284" s="12" t="inlineStr">
        <is>
          <t>RTD cable, #18 shielded triads, PLTC</t>
        </is>
      </c>
      <c r="K3284" s="12" t="inlineStr">
        <is>
          <t>RTD|1 tri|18</t>
        </is>
      </c>
      <c r="L3284" s="12" t="inlineStr">
        <is>
          <t>1 tri</t>
        </is>
      </c>
      <c r="M3284" s="12" t="inlineStr">
        <is>
          <t>18</t>
        </is>
      </c>
      <c r="N3284" s="12" t="n">
        <v>10</v>
      </c>
      <c r="O3284" s="12" t="n">
        <v>1</v>
      </c>
      <c r="P3284" s="12" t="n"/>
      <c r="Q3284" s="12" t="n"/>
      <c r="R3284" s="12" t="n"/>
      <c r="S3284" s="12" t="inlineStr">
        <is>
          <t>Tray / conduit</t>
        </is>
      </c>
      <c r="T3284" s="17" t="n">
        <v>159</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G-I-0136</t>
        </is>
      </c>
      <c r="B3285" s="12" t="inlineStr">
        <is>
          <t>G</t>
        </is>
      </c>
      <c r="C3285" s="12" t="inlineStr">
        <is>
          <t>Carbon capture</t>
        </is>
      </c>
      <c r="D3285" s="12" t="inlineStr">
        <is>
          <t>Home run JB-CO2 compression 3 -RTD02 to the control / marshalling room</t>
        </is>
      </c>
      <c r="E3285" s="12" t="inlineStr"/>
      <c r="F3285" s="12" t="inlineStr">
        <is>
          <t>CCS F&amp;G / control</t>
        </is>
      </c>
      <c r="G3285" s="12" t="inlineStr">
        <is>
          <t>JB-CO2 compression 3 -RTD02</t>
        </is>
      </c>
      <c r="H3285" s="12" t="inlineStr">
        <is>
          <t>CO2 compression 3 x ~19 MW + dehydration</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7" t="n">
        <v>183</v>
      </c>
      <c r="U3285" s="17" t="n">
        <v>105</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G-I-0137</t>
        </is>
      </c>
      <c r="B3286" s="12" t="inlineStr">
        <is>
          <t>G</t>
        </is>
      </c>
      <c r="C3286" s="12" t="inlineStr">
        <is>
          <t>Carbon capture</t>
        </is>
      </c>
      <c r="D3286" s="12" t="inlineStr">
        <is>
          <t>RTD to JB JB-CO2 compression 3 -RTD03: 10 x 1 tri (field cables)</t>
        </is>
      </c>
      <c r="E3286" s="12" t="inlineStr"/>
      <c r="F3286" s="12" t="inlineStr">
        <is>
          <t>CO2 compression 3 x ~19 MW + dehydration</t>
        </is>
      </c>
      <c r="G3286" s="12" t="inlineStr">
        <is>
          <t>JB-CO2 compression 3 -RTD03</t>
        </is>
      </c>
      <c r="H3286" s="12" t="inlineStr">
        <is>
          <t>CO2 compression 3 x ~19 MW + dehydration</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7" t="n">
        <v>159</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G-I-0138</t>
        </is>
      </c>
      <c r="B3287" s="12" t="inlineStr">
        <is>
          <t>G</t>
        </is>
      </c>
      <c r="C3287" s="12" t="inlineStr">
        <is>
          <t>Carbon capture</t>
        </is>
      </c>
      <c r="D3287" s="12" t="inlineStr">
        <is>
          <t>Home run JB-CO2 compression 3 -RTD03 to the control / marshalling room</t>
        </is>
      </c>
      <c r="E3287" s="12" t="inlineStr"/>
      <c r="F3287" s="12" t="inlineStr">
        <is>
          <t>CCS F&amp;G / control</t>
        </is>
      </c>
      <c r="G3287" s="12" t="inlineStr">
        <is>
          <t>JB-CO2 compression 3 -RTD03</t>
        </is>
      </c>
      <c r="H3287" s="12" t="inlineStr">
        <is>
          <t>CO2 compression 3 x ~19 MW + dehydration</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7" t="n">
        <v>183</v>
      </c>
      <c r="U3287" s="17" t="n">
        <v>105</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G-I-0139</t>
        </is>
      </c>
      <c r="B3288" s="12" t="inlineStr">
        <is>
          <t>G</t>
        </is>
      </c>
      <c r="C3288" s="12" t="inlineStr">
        <is>
          <t>Carbon capture</t>
        </is>
      </c>
      <c r="D3288" s="12" t="inlineStr">
        <is>
          <t>RTD to JB JB-CO2 compression 3 -RTD04: 6 x 1 tri (field cables)</t>
        </is>
      </c>
      <c r="E3288" s="12" t="inlineStr"/>
      <c r="F3288" s="12" t="inlineStr">
        <is>
          <t>CO2 compression 3 x ~19 MW + dehydration</t>
        </is>
      </c>
      <c r="G3288" s="12" t="inlineStr">
        <is>
          <t>JB-CO2 compression 3 -RTD04</t>
        </is>
      </c>
      <c r="H3288" s="12" t="inlineStr">
        <is>
          <t>CO2 compression 3 x ~19 MW + dehydration</t>
        </is>
      </c>
      <c r="I3288" s="12" t="inlineStr">
        <is>
          <t>Instrumentation</t>
        </is>
      </c>
      <c r="J3288" s="12" t="inlineStr">
        <is>
          <t>RTD cable, #18 shielded triads, PLTC</t>
        </is>
      </c>
      <c r="K3288" s="12" t="inlineStr">
        <is>
          <t>RTD|1 tri|18</t>
        </is>
      </c>
      <c r="L3288" s="12" t="inlineStr">
        <is>
          <t>1 tri</t>
        </is>
      </c>
      <c r="M3288" s="12" t="inlineStr">
        <is>
          <t>18</t>
        </is>
      </c>
      <c r="N3288" s="12" t="n">
        <v>6</v>
      </c>
      <c r="O3288" s="12" t="n">
        <v>1</v>
      </c>
      <c r="P3288" s="12" t="n"/>
      <c r="Q3288" s="12" t="n"/>
      <c r="R3288" s="12" t="n"/>
      <c r="S3288" s="12" t="inlineStr">
        <is>
          <t>Tray / conduit</t>
        </is>
      </c>
      <c r="T3288" s="17" t="n">
        <v>159</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G-I-0140</t>
        </is>
      </c>
      <c r="B3289" s="12" t="inlineStr">
        <is>
          <t>G</t>
        </is>
      </c>
      <c r="C3289" s="12" t="inlineStr">
        <is>
          <t>Carbon capture</t>
        </is>
      </c>
      <c r="D3289" s="12" t="inlineStr">
        <is>
          <t>Home run JB-CO2 compression 3 -RTD04 to the control / marshalling room</t>
        </is>
      </c>
      <c r="E3289" s="12" t="inlineStr"/>
      <c r="F3289" s="12" t="inlineStr">
        <is>
          <t>CCS F&amp;G / control</t>
        </is>
      </c>
      <c r="G3289" s="12" t="inlineStr">
        <is>
          <t>JB-CO2 compression 3 -RTD04</t>
        </is>
      </c>
      <c r="H3289" s="12" t="inlineStr">
        <is>
          <t>CO2 compression 3 x ~19 MW + dehydration</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7" t="n">
        <v>183</v>
      </c>
      <c r="U3289" s="17" t="n">
        <v>105</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G-I-0141</t>
        </is>
      </c>
      <c r="B3290" s="12" t="inlineStr">
        <is>
          <t>G</t>
        </is>
      </c>
      <c r="C3290" s="12" t="inlineStr">
        <is>
          <t>Carbon capture</t>
        </is>
      </c>
      <c r="D3290" s="12" t="inlineStr">
        <is>
          <t>Analog instrument to JB JB-CO2 dehydration: m-AI01: 20 x 1 pr (field cables)</t>
        </is>
      </c>
      <c r="E3290" s="12" t="inlineStr"/>
      <c r="F3290" s="12" t="inlineStr">
        <is>
          <t>CO2 dehydration: molecular-sieve towers and regeneration heater</t>
        </is>
      </c>
      <c r="G3290" s="12" t="inlineStr">
        <is>
          <t>JB-CO2 dehydration: m-AI01</t>
        </is>
      </c>
      <c r="H3290" s="12" t="inlineStr">
        <is>
          <t>CO2 dehydration: molecular-sieve towers and regeneration heater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81</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G-I-0142</t>
        </is>
      </c>
      <c r="B3291" s="12" t="inlineStr">
        <is>
          <t>G</t>
        </is>
      </c>
      <c r="C3291" s="12" t="inlineStr">
        <is>
          <t>Carbon capture</t>
        </is>
      </c>
      <c r="D3291" s="12" t="inlineStr">
        <is>
          <t>Home run JB-CO2 dehydration: m-AI01 to the control / marshalling room</t>
        </is>
      </c>
      <c r="E3291" s="12" t="inlineStr"/>
      <c r="F3291" s="12" t="inlineStr">
        <is>
          <t>CCS F&amp;G / control</t>
        </is>
      </c>
      <c r="G3291" s="12" t="inlineStr">
        <is>
          <t>JB-CO2 dehydration: m-AI01</t>
        </is>
      </c>
      <c r="H3291" s="12" t="inlineStr">
        <is>
          <t>CO2 dehydration: molecular-sieve towers and regeneration heater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7" t="n">
        <v>197</v>
      </c>
      <c r="U3291" s="17" t="n">
        <v>229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G-I-0143</t>
        </is>
      </c>
      <c r="B3292" s="12" t="inlineStr">
        <is>
          <t>G</t>
        </is>
      </c>
      <c r="C3292" s="12" t="inlineStr">
        <is>
          <t>Carbon capture</t>
        </is>
      </c>
      <c r="D3292" s="12" t="inlineStr">
        <is>
          <t>Analog instrument to JB JB-CO2 dehydration: m-AI02: 10 x 1 pr (field cables)</t>
        </is>
      </c>
      <c r="E3292" s="12" t="inlineStr"/>
      <c r="F3292" s="12" t="inlineStr">
        <is>
          <t>CO2 dehydration: molecular-sieve towers and regeneration heater</t>
        </is>
      </c>
      <c r="G3292" s="12" t="inlineStr">
        <is>
          <t>JB-CO2 dehydration: m-AI02</t>
        </is>
      </c>
      <c r="H3292" s="12" t="inlineStr">
        <is>
          <t>CO2 dehydration: molecular-sieve towers and regeneration heater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7" t="n">
        <v>81</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G-I-0144</t>
        </is>
      </c>
      <c r="B3293" s="12" t="inlineStr">
        <is>
          <t>G</t>
        </is>
      </c>
      <c r="C3293" s="12" t="inlineStr">
        <is>
          <t>Carbon capture</t>
        </is>
      </c>
      <c r="D3293" s="12" t="inlineStr">
        <is>
          <t>Home run JB-CO2 dehydration: m-AI02 to the control / marshalling room</t>
        </is>
      </c>
      <c r="E3293" s="12" t="inlineStr"/>
      <c r="F3293" s="12" t="inlineStr">
        <is>
          <t>CCS F&amp;G / control</t>
        </is>
      </c>
      <c r="G3293" s="12" t="inlineStr">
        <is>
          <t>JB-CO2 dehydration: m-AI02</t>
        </is>
      </c>
      <c r="H3293" s="12" t="inlineStr">
        <is>
          <t>CO2 dehydration: molecular-sieve towers and regeneration heater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7" t="n">
        <v>197</v>
      </c>
      <c r="U3293" s="17" t="n">
        <v>229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G-I-0145</t>
        </is>
      </c>
      <c r="B3294" s="12" t="inlineStr">
        <is>
          <t>G</t>
        </is>
      </c>
      <c r="C3294" s="12" t="inlineStr">
        <is>
          <t>Carbon capture</t>
        </is>
      </c>
      <c r="D3294" s="12" t="inlineStr">
        <is>
          <t>Discrete device to JB JB-CO2 dehydration: m-DI01: 20 x 1 pr (field cables)</t>
        </is>
      </c>
      <c r="E3294" s="12" t="inlineStr"/>
      <c r="F3294" s="12" t="inlineStr">
        <is>
          <t>CO2 dehydration: molecular-sieve towers and regeneration heater</t>
        </is>
      </c>
      <c r="G3294" s="12" t="inlineStr">
        <is>
          <t>JB-CO2 dehydration: m-DI01</t>
        </is>
      </c>
      <c r="H3294" s="12" t="inlineStr">
        <is>
          <t>CO2 dehydration: molecular-sieve towers and regeneration heater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7" t="n">
        <v>81</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G-I-0146</t>
        </is>
      </c>
      <c r="B3295" s="12" t="inlineStr">
        <is>
          <t>G</t>
        </is>
      </c>
      <c r="C3295" s="12" t="inlineStr">
        <is>
          <t>Carbon capture</t>
        </is>
      </c>
      <c r="D3295" s="12" t="inlineStr">
        <is>
          <t>Home run JB-CO2 dehydration: m-DI01 to the control / marshalling room</t>
        </is>
      </c>
      <c r="E3295" s="12" t="inlineStr"/>
      <c r="F3295" s="12" t="inlineStr">
        <is>
          <t>CCS F&amp;G / control</t>
        </is>
      </c>
      <c r="G3295" s="12" t="inlineStr">
        <is>
          <t>JB-CO2 dehydration: m-DI01</t>
        </is>
      </c>
      <c r="H3295" s="12" t="inlineStr">
        <is>
          <t>CO2 dehydration: molecular-sieve towers and regeneration heater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7" t="n">
        <v>197</v>
      </c>
      <c r="U3295" s="17" t="n">
        <v>229</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G-I-0147</t>
        </is>
      </c>
      <c r="B3296" s="12" t="inlineStr">
        <is>
          <t>G</t>
        </is>
      </c>
      <c r="C3296" s="12" t="inlineStr">
        <is>
          <t>Carbon capture</t>
        </is>
      </c>
      <c r="D3296" s="12" t="inlineStr">
        <is>
          <t>Discrete device to JB JB-CO2 dehydration: m-DI02: 10 x 1 pr (field cables)</t>
        </is>
      </c>
      <c r="E3296" s="12" t="inlineStr"/>
      <c r="F3296" s="12" t="inlineStr">
        <is>
          <t>CO2 dehydration: molecular-sieve towers and regeneration heater</t>
        </is>
      </c>
      <c r="G3296" s="12" t="inlineStr">
        <is>
          <t>JB-CO2 dehydration: m-DI02</t>
        </is>
      </c>
      <c r="H3296" s="12" t="inlineStr">
        <is>
          <t>CO2 dehydration: molecular-sieve towers and regeneration heater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7" t="n">
        <v>81</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G-I-0148</t>
        </is>
      </c>
      <c r="B3297" s="12" t="inlineStr">
        <is>
          <t>G</t>
        </is>
      </c>
      <c r="C3297" s="12" t="inlineStr">
        <is>
          <t>Carbon capture</t>
        </is>
      </c>
      <c r="D3297" s="12" t="inlineStr">
        <is>
          <t>Home run JB-CO2 dehydration: m-DI02 to the control / marshalling room</t>
        </is>
      </c>
      <c r="E3297" s="12" t="inlineStr"/>
      <c r="F3297" s="12" t="inlineStr">
        <is>
          <t>CCS F&amp;G / control</t>
        </is>
      </c>
      <c r="G3297" s="12" t="inlineStr">
        <is>
          <t>JB-CO2 dehydration: m-DI02</t>
        </is>
      </c>
      <c r="H3297" s="12" t="inlineStr">
        <is>
          <t>CO2 dehydration: molecular-sieve towers and regeneration heater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7" t="n">
        <v>197</v>
      </c>
      <c r="U3297" s="17" t="n">
        <v>229</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G-I-0149</t>
        </is>
      </c>
      <c r="B3298" s="12" t="inlineStr">
        <is>
          <t>G</t>
        </is>
      </c>
      <c r="C3298" s="12" t="inlineStr">
        <is>
          <t>Carbon capture</t>
        </is>
      </c>
      <c r="D3298" s="12" t="inlineStr">
        <is>
          <t>Analog instrument to JB JB-CONDITIONAL: HP ex-AI01: 20 x 1 pr (field cables)</t>
        </is>
      </c>
      <c r="E3298" s="12" t="inlineStr"/>
      <c r="F3298" s="12" t="inlineStr">
        <is>
          <t>CONDITIONAL: HP export compressor + metering</t>
        </is>
      </c>
      <c r="G3298" s="12" t="inlineStr">
        <is>
          <t>JB-CONDITIONAL: HP ex-AI01</t>
        </is>
      </c>
      <c r="H3298" s="12" t="inlineStr">
        <is>
          <t>CONDITIONAL: HP export compressor + metering</t>
        </is>
      </c>
      <c r="I3298" s="12" t="inlineStr">
        <is>
          <t>Instrumentation</t>
        </is>
      </c>
      <c r="J3298" s="12" t="inlineStr">
        <is>
          <t>Instrumentation ITC / PLTC, IS, #18 shielded pairs, blue jacket</t>
        </is>
      </c>
      <c r="K3298" s="12" t="inlineStr">
        <is>
          <t>ITC|1 pr|16</t>
        </is>
      </c>
      <c r="L3298" s="12" t="inlineStr">
        <is>
          <t>1 pr</t>
        </is>
      </c>
      <c r="M3298" s="12" t="inlineStr">
        <is>
          <t>16</t>
        </is>
      </c>
      <c r="N3298" s="12" t="n">
        <v>20</v>
      </c>
      <c r="O3298" s="12" t="n">
        <v>1</v>
      </c>
      <c r="P3298" s="12" t="n"/>
      <c r="Q3298" s="12" t="n"/>
      <c r="R3298" s="12" t="n"/>
      <c r="S3298" s="12" t="inlineStr">
        <is>
          <t>Tray / conduit</t>
        </is>
      </c>
      <c r="T3298" s="17" t="n">
        <v>100</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G-I-0150</t>
        </is>
      </c>
      <c r="B3299" s="12" t="inlineStr">
        <is>
          <t>G</t>
        </is>
      </c>
      <c r="C3299" s="12" t="inlineStr">
        <is>
          <t>Carbon capture</t>
        </is>
      </c>
      <c r="D3299" s="12" t="inlineStr">
        <is>
          <t>Home run JB-CONDITIONAL: HP ex-AI01 to the control / marshalling room</t>
        </is>
      </c>
      <c r="E3299" s="12" t="inlineStr"/>
      <c r="F3299" s="12" t="inlineStr">
        <is>
          <t>CCS F&amp;G / control</t>
        </is>
      </c>
      <c r="G3299" s="12" t="inlineStr">
        <is>
          <t>JB-CONDITIONAL: HP ex-AI01</t>
        </is>
      </c>
      <c r="H3299" s="12" t="inlineStr">
        <is>
          <t>CONDITIONAL: HP export compressor + metering</t>
        </is>
      </c>
      <c r="I3299" s="12" t="inlineStr">
        <is>
          <t>Instrumentation</t>
        </is>
      </c>
      <c r="J3299" s="12" t="inlineStr">
        <is>
          <t>Instrumentation ITC / PLTC, IS, #18 shielded pairs, blue jacket</t>
        </is>
      </c>
      <c r="K3299" s="12" t="inlineStr">
        <is>
          <t>ITC|24 pr|18</t>
        </is>
      </c>
      <c r="L3299" s="12" t="inlineStr">
        <is>
          <t>24 pr</t>
        </is>
      </c>
      <c r="M3299" s="12" t="inlineStr">
        <is>
          <t>18</t>
        </is>
      </c>
      <c r="N3299" s="12" t="n">
        <v>1</v>
      </c>
      <c r="O3299" s="12" t="n">
        <v>1</v>
      </c>
      <c r="P3299" s="12" t="n"/>
      <c r="Q3299" s="12" t="n"/>
      <c r="R3299" s="12" t="n"/>
      <c r="S3299" s="12" t="inlineStr">
        <is>
          <t>Duct bank</t>
        </is>
      </c>
      <c r="T3299" s="17" t="n">
        <v>144</v>
      </c>
      <c r="U3299" s="17" t="n">
        <v>154</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G-I-0151</t>
        </is>
      </c>
      <c r="B3300" s="12" t="inlineStr">
        <is>
          <t>G</t>
        </is>
      </c>
      <c r="C3300" s="12" t="inlineStr">
        <is>
          <t>Carbon capture</t>
        </is>
      </c>
      <c r="D3300" s="12" t="inlineStr">
        <is>
          <t>Analog instrument to JB JB-CONDITIONAL: HP ex-AI02: 20 x 1 pr (field cables)</t>
        </is>
      </c>
      <c r="E3300" s="12" t="inlineStr"/>
      <c r="F3300" s="12" t="inlineStr">
        <is>
          <t>CONDITIONAL: HP export compressor + metering</t>
        </is>
      </c>
      <c r="G3300" s="12" t="inlineStr">
        <is>
          <t>JB-CONDITIONAL: HP ex-AI02</t>
        </is>
      </c>
      <c r="H3300" s="12" t="inlineStr">
        <is>
          <t>CONDITIONAL: HP export compressor + metering</t>
        </is>
      </c>
      <c r="I3300" s="12" t="inlineStr">
        <is>
          <t>Instrumentation</t>
        </is>
      </c>
      <c r="J3300" s="12" t="inlineStr">
        <is>
          <t>Instrumentation ITC / PLTC, IS, #18 shielded pairs, blue jacket</t>
        </is>
      </c>
      <c r="K3300" s="12" t="inlineStr">
        <is>
          <t>ITC|1 pr|16</t>
        </is>
      </c>
      <c r="L3300" s="12" t="inlineStr">
        <is>
          <t>1 pr</t>
        </is>
      </c>
      <c r="M3300" s="12" t="inlineStr">
        <is>
          <t>16</t>
        </is>
      </c>
      <c r="N3300" s="12" t="n">
        <v>20</v>
      </c>
      <c r="O3300" s="12" t="n">
        <v>1</v>
      </c>
      <c r="P3300" s="12" t="n"/>
      <c r="Q3300" s="12" t="n"/>
      <c r="R3300" s="12" t="n"/>
      <c r="S3300" s="12" t="inlineStr">
        <is>
          <t>Tray / conduit</t>
        </is>
      </c>
      <c r="T3300" s="17" t="n">
        <v>100</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G-I-0152</t>
        </is>
      </c>
      <c r="B3301" s="12" t="inlineStr">
        <is>
          <t>G</t>
        </is>
      </c>
      <c r="C3301" s="12" t="inlineStr">
        <is>
          <t>Carbon capture</t>
        </is>
      </c>
      <c r="D3301" s="12" t="inlineStr">
        <is>
          <t>Home run JB-CONDITIONAL: HP ex-AI02 to the control / marshalling room</t>
        </is>
      </c>
      <c r="E3301" s="12" t="inlineStr"/>
      <c r="F3301" s="12" t="inlineStr">
        <is>
          <t>CCS F&amp;G / control</t>
        </is>
      </c>
      <c r="G3301" s="12" t="inlineStr">
        <is>
          <t>JB-CONDITIONAL: HP ex-AI02</t>
        </is>
      </c>
      <c r="H3301" s="12" t="inlineStr">
        <is>
          <t>CONDITIONAL: HP export compressor + metering</t>
        </is>
      </c>
      <c r="I3301" s="12" t="inlineStr">
        <is>
          <t>Instrumentation</t>
        </is>
      </c>
      <c r="J3301" s="12" t="inlineStr">
        <is>
          <t>Instrumentation ITC / PLTC, IS, #18 shielded pairs, blue jacket</t>
        </is>
      </c>
      <c r="K3301" s="12" t="inlineStr">
        <is>
          <t>ITC|24 pr|18</t>
        </is>
      </c>
      <c r="L3301" s="12" t="inlineStr">
        <is>
          <t>24 pr</t>
        </is>
      </c>
      <c r="M3301" s="12" t="inlineStr">
        <is>
          <t>18</t>
        </is>
      </c>
      <c r="N3301" s="12" t="n">
        <v>1</v>
      </c>
      <c r="O3301" s="12" t="n">
        <v>1</v>
      </c>
      <c r="P3301" s="12" t="n"/>
      <c r="Q3301" s="12" t="n"/>
      <c r="R3301" s="12" t="n"/>
      <c r="S3301" s="12" t="inlineStr">
        <is>
          <t>Duct bank</t>
        </is>
      </c>
      <c r="T3301" s="17" t="n">
        <v>144</v>
      </c>
      <c r="U3301" s="17" t="n">
        <v>154</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G-I-0153</t>
        </is>
      </c>
      <c r="B3302" s="12" t="inlineStr">
        <is>
          <t>G</t>
        </is>
      </c>
      <c r="C3302" s="12" t="inlineStr">
        <is>
          <t>Carbon capture</t>
        </is>
      </c>
      <c r="D3302" s="12" t="inlineStr">
        <is>
          <t>Analog instrument to JB JB-CONDITIONAL: HP ex-AI03: 20 x 1 pr (field cables)</t>
        </is>
      </c>
      <c r="E3302" s="12" t="inlineStr"/>
      <c r="F3302" s="12" t="inlineStr">
        <is>
          <t>CONDITIONAL: HP export compressor + metering</t>
        </is>
      </c>
      <c r="G3302" s="12" t="inlineStr">
        <is>
          <t>JB-CONDITIONAL: HP ex-AI03</t>
        </is>
      </c>
      <c r="H3302" s="12" t="inlineStr">
        <is>
          <t>CONDITIONAL: HP export compressor + metering</t>
        </is>
      </c>
      <c r="I3302" s="12" t="inlineStr">
        <is>
          <t>Instrumentation</t>
        </is>
      </c>
      <c r="J3302" s="12" t="inlineStr">
        <is>
          <t>Instrumentation ITC / PLTC, IS, #18 shielded pairs, blue jacket</t>
        </is>
      </c>
      <c r="K3302" s="12" t="inlineStr">
        <is>
          <t>ITC|1 pr|16</t>
        </is>
      </c>
      <c r="L3302" s="12" t="inlineStr">
        <is>
          <t>1 pr</t>
        </is>
      </c>
      <c r="M3302" s="12" t="inlineStr">
        <is>
          <t>16</t>
        </is>
      </c>
      <c r="N3302" s="12" t="n">
        <v>20</v>
      </c>
      <c r="O3302" s="12" t="n">
        <v>1</v>
      </c>
      <c r="P3302" s="12" t="n"/>
      <c r="Q3302" s="12" t="n"/>
      <c r="R3302" s="12" t="n"/>
      <c r="S3302" s="12" t="inlineStr">
        <is>
          <t>Tray / conduit</t>
        </is>
      </c>
      <c r="T3302" s="17" t="n">
        <v>100</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G-I-0154</t>
        </is>
      </c>
      <c r="B3303" s="12" t="inlineStr">
        <is>
          <t>G</t>
        </is>
      </c>
      <c r="C3303" s="12" t="inlineStr">
        <is>
          <t>Carbon capture</t>
        </is>
      </c>
      <c r="D3303" s="12" t="inlineStr">
        <is>
          <t>Home run JB-CONDITIONAL: HP ex-AI03 to the control / marshalling room</t>
        </is>
      </c>
      <c r="E3303" s="12" t="inlineStr"/>
      <c r="F3303" s="12" t="inlineStr">
        <is>
          <t>CCS F&amp;G / control</t>
        </is>
      </c>
      <c r="G3303" s="12" t="inlineStr">
        <is>
          <t>JB-CONDITIONAL: HP ex-AI03</t>
        </is>
      </c>
      <c r="H3303" s="12" t="inlineStr">
        <is>
          <t>CONDITIONAL: HP export compressor + metering</t>
        </is>
      </c>
      <c r="I3303" s="12" t="inlineStr">
        <is>
          <t>Instrumentation</t>
        </is>
      </c>
      <c r="J3303" s="12" t="inlineStr">
        <is>
          <t>Instrumentation ITC / PLTC, IS, #18 shielded pairs, blue jacket</t>
        </is>
      </c>
      <c r="K3303" s="12" t="inlineStr">
        <is>
          <t>ITC|24 pr|18</t>
        </is>
      </c>
      <c r="L3303" s="12" t="inlineStr">
        <is>
          <t>24 pr</t>
        </is>
      </c>
      <c r="M3303" s="12" t="inlineStr">
        <is>
          <t>18</t>
        </is>
      </c>
      <c r="N3303" s="12" t="n">
        <v>1</v>
      </c>
      <c r="O3303" s="12" t="n">
        <v>1</v>
      </c>
      <c r="P3303" s="12" t="n"/>
      <c r="Q3303" s="12" t="n"/>
      <c r="R3303" s="12" t="n"/>
      <c r="S3303" s="12" t="inlineStr">
        <is>
          <t>Duct bank</t>
        </is>
      </c>
      <c r="T3303" s="17" t="n">
        <v>144</v>
      </c>
      <c r="U3303" s="17" t="n">
        <v>154</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G-I-0155</t>
        </is>
      </c>
      <c r="B3304" s="12" t="inlineStr">
        <is>
          <t>G</t>
        </is>
      </c>
      <c r="C3304" s="12" t="inlineStr">
        <is>
          <t>Carbon capture</t>
        </is>
      </c>
      <c r="D3304" s="12" t="inlineStr">
        <is>
          <t>Discrete device to JB JB-CONDITIONAL: HP ex-DI01: 20 x 1 pr (field cables)</t>
        </is>
      </c>
      <c r="E3304" s="12" t="inlineStr"/>
      <c r="F3304" s="12" t="inlineStr">
        <is>
          <t>CONDITIONAL: HP export compressor + metering</t>
        </is>
      </c>
      <c r="G3304" s="12" t="inlineStr">
        <is>
          <t>JB-CONDITIONAL: HP ex-DI01</t>
        </is>
      </c>
      <c r="H3304" s="12" t="inlineStr">
        <is>
          <t>CONDITIONAL: HP export compressor + metering</t>
        </is>
      </c>
      <c r="I3304" s="12" t="inlineStr">
        <is>
          <t>Instrumentation</t>
        </is>
      </c>
      <c r="J3304" s="12" t="inlineStr">
        <is>
          <t>Instrumentation ITC / PLTC, IS, #18 shielded pairs, blue jacket</t>
        </is>
      </c>
      <c r="K3304" s="12" t="inlineStr">
        <is>
          <t>ITC|1 pr|16</t>
        </is>
      </c>
      <c r="L3304" s="12" t="inlineStr">
        <is>
          <t>1 pr</t>
        </is>
      </c>
      <c r="M3304" s="12" t="inlineStr">
        <is>
          <t>16</t>
        </is>
      </c>
      <c r="N3304" s="12" t="n">
        <v>20</v>
      </c>
      <c r="O3304" s="12" t="n">
        <v>1</v>
      </c>
      <c r="P3304" s="12" t="n"/>
      <c r="Q3304" s="12" t="n"/>
      <c r="R3304" s="12" t="n"/>
      <c r="S3304" s="12" t="inlineStr">
        <is>
          <t>Tray / conduit</t>
        </is>
      </c>
      <c r="T3304" s="17" t="n">
        <v>100</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G-I-0156</t>
        </is>
      </c>
      <c r="B3305" s="12" t="inlineStr">
        <is>
          <t>G</t>
        </is>
      </c>
      <c r="C3305" s="12" t="inlineStr">
        <is>
          <t>Carbon capture</t>
        </is>
      </c>
      <c r="D3305" s="12" t="inlineStr">
        <is>
          <t>Home run JB-CONDITIONAL: HP ex-DI01 to the control / marshalling room</t>
        </is>
      </c>
      <c r="E3305" s="12" t="inlineStr"/>
      <c r="F3305" s="12" t="inlineStr">
        <is>
          <t>CCS F&amp;G / control</t>
        </is>
      </c>
      <c r="G3305" s="12" t="inlineStr">
        <is>
          <t>JB-CONDITIONAL: HP ex-DI01</t>
        </is>
      </c>
      <c r="H3305" s="12" t="inlineStr">
        <is>
          <t>CONDITIONAL: HP export compressor + metering</t>
        </is>
      </c>
      <c r="I3305" s="12" t="inlineStr">
        <is>
          <t>Instrumentation</t>
        </is>
      </c>
      <c r="J3305" s="12" t="inlineStr">
        <is>
          <t>Instrumentation ITC / PLTC, IS, #18 shielded pairs, blue jacket</t>
        </is>
      </c>
      <c r="K3305" s="12" t="inlineStr">
        <is>
          <t>ITC|24 pr|18</t>
        </is>
      </c>
      <c r="L3305" s="12" t="inlineStr">
        <is>
          <t>24 pr</t>
        </is>
      </c>
      <c r="M3305" s="12" t="inlineStr">
        <is>
          <t>18</t>
        </is>
      </c>
      <c r="N3305" s="12" t="n">
        <v>1</v>
      </c>
      <c r="O3305" s="12" t="n">
        <v>1</v>
      </c>
      <c r="P3305" s="12" t="n"/>
      <c r="Q3305" s="12" t="n"/>
      <c r="R3305" s="12" t="n"/>
      <c r="S3305" s="12" t="inlineStr">
        <is>
          <t>Duct bank</t>
        </is>
      </c>
      <c r="T3305" s="17" t="n">
        <v>144</v>
      </c>
      <c r="U3305" s="17" t="n">
        <v>154</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G-I-0157</t>
        </is>
      </c>
      <c r="B3306" s="12" t="inlineStr">
        <is>
          <t>G</t>
        </is>
      </c>
      <c r="C3306" s="12" t="inlineStr">
        <is>
          <t>Carbon capture</t>
        </is>
      </c>
      <c r="D3306" s="12" t="inlineStr">
        <is>
          <t>Discrete device to JB JB-CONDITIONAL: HP ex-DI02: 20 x 1 pr (field cables)</t>
        </is>
      </c>
      <c r="E3306" s="12" t="inlineStr"/>
      <c r="F3306" s="12" t="inlineStr">
        <is>
          <t>CONDITIONAL: HP export compressor + metering</t>
        </is>
      </c>
      <c r="G3306" s="12" t="inlineStr">
        <is>
          <t>JB-CONDITIONAL: HP ex-DI02</t>
        </is>
      </c>
      <c r="H3306" s="12" t="inlineStr">
        <is>
          <t>CONDITIONAL: HP export compressor + metering</t>
        </is>
      </c>
      <c r="I3306" s="12" t="inlineStr">
        <is>
          <t>Instrumentation</t>
        </is>
      </c>
      <c r="J3306" s="12" t="inlineStr">
        <is>
          <t>Instrumentation ITC / PLTC, IS, #18 shielded pairs, blue jacket</t>
        </is>
      </c>
      <c r="K3306" s="12" t="inlineStr">
        <is>
          <t>ITC|1 pr|16</t>
        </is>
      </c>
      <c r="L3306" s="12" t="inlineStr">
        <is>
          <t>1 pr</t>
        </is>
      </c>
      <c r="M3306" s="12" t="inlineStr">
        <is>
          <t>16</t>
        </is>
      </c>
      <c r="N3306" s="12" t="n">
        <v>20</v>
      </c>
      <c r="O3306" s="12" t="n">
        <v>1</v>
      </c>
      <c r="P3306" s="12" t="n"/>
      <c r="Q3306" s="12" t="n"/>
      <c r="R3306" s="12" t="n"/>
      <c r="S3306" s="12" t="inlineStr">
        <is>
          <t>Tray / conduit</t>
        </is>
      </c>
      <c r="T3306" s="17" t="n">
        <v>100</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G-I-0158</t>
        </is>
      </c>
      <c r="B3307" s="12" t="inlineStr">
        <is>
          <t>G</t>
        </is>
      </c>
      <c r="C3307" s="12" t="inlineStr">
        <is>
          <t>Carbon capture</t>
        </is>
      </c>
      <c r="D3307" s="12" t="inlineStr">
        <is>
          <t>Home run JB-CONDITIONAL: HP ex-DI02 to the control / marshalling room</t>
        </is>
      </c>
      <c r="E3307" s="12" t="inlineStr"/>
      <c r="F3307" s="12" t="inlineStr">
        <is>
          <t>CCS F&amp;G / control</t>
        </is>
      </c>
      <c r="G3307" s="12" t="inlineStr">
        <is>
          <t>JB-CONDITIONAL: HP ex-DI02</t>
        </is>
      </c>
      <c r="H3307" s="12" t="inlineStr">
        <is>
          <t>CONDITIONAL: HP export compressor + metering</t>
        </is>
      </c>
      <c r="I3307" s="12" t="inlineStr">
        <is>
          <t>Instrumentation</t>
        </is>
      </c>
      <c r="J3307" s="12" t="inlineStr">
        <is>
          <t>Instrumentation ITC / PLTC, IS, #18 shielded pairs, blue jacket</t>
        </is>
      </c>
      <c r="K3307" s="12" t="inlineStr">
        <is>
          <t>ITC|24 pr|18</t>
        </is>
      </c>
      <c r="L3307" s="12" t="inlineStr">
        <is>
          <t>24 pr</t>
        </is>
      </c>
      <c r="M3307" s="12" t="inlineStr">
        <is>
          <t>18</t>
        </is>
      </c>
      <c r="N3307" s="12" t="n">
        <v>1</v>
      </c>
      <c r="O3307" s="12" t="n">
        <v>1</v>
      </c>
      <c r="P3307" s="12" t="n"/>
      <c r="Q3307" s="12" t="n"/>
      <c r="R3307" s="12" t="n"/>
      <c r="S3307" s="12" t="inlineStr">
        <is>
          <t>Duct bank</t>
        </is>
      </c>
      <c r="T3307" s="17" t="n">
        <v>144</v>
      </c>
      <c r="U3307" s="17" t="n">
        <v>154</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G-I-0159</t>
        </is>
      </c>
      <c r="B3308" s="12" t="inlineStr">
        <is>
          <t>G</t>
        </is>
      </c>
      <c r="C3308" s="12" t="inlineStr">
        <is>
          <t>Carbon capture</t>
        </is>
      </c>
      <c r="D3308" s="12" t="inlineStr">
        <is>
          <t>RTD to JB JB-CONDITIONAL: HP ex-RTD01: 10 x 1 tri (field cables)</t>
        </is>
      </c>
      <c r="E3308" s="12" t="inlineStr"/>
      <c r="F3308" s="12" t="inlineStr">
        <is>
          <t>CONDITIONAL: HP export compressor + metering</t>
        </is>
      </c>
      <c r="G3308" s="12" t="inlineStr">
        <is>
          <t>JB-CONDITIONAL: HP ex-RTD01</t>
        </is>
      </c>
      <c r="H3308" s="12" t="inlineStr">
        <is>
          <t>CONDITIONAL: HP export compressor + metering</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7" t="n">
        <v>100</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G-I-0160</t>
        </is>
      </c>
      <c r="B3309" s="12" t="inlineStr">
        <is>
          <t>G</t>
        </is>
      </c>
      <c r="C3309" s="12" t="inlineStr">
        <is>
          <t>Carbon capture</t>
        </is>
      </c>
      <c r="D3309" s="12" t="inlineStr">
        <is>
          <t>Home run JB-CONDITIONAL: HP ex-RTD01 to the control / marshalling room</t>
        </is>
      </c>
      <c r="E3309" s="12" t="inlineStr"/>
      <c r="F3309" s="12" t="inlineStr">
        <is>
          <t>CCS F&amp;G / control</t>
        </is>
      </c>
      <c r="G3309" s="12" t="inlineStr">
        <is>
          <t>JB-CONDITIONAL: HP ex-RTD01</t>
        </is>
      </c>
      <c r="H3309" s="12" t="inlineStr">
        <is>
          <t>CONDITIONAL: HP export compressor + metering</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7" t="n">
        <v>144</v>
      </c>
      <c r="U3309" s="17" t="n">
        <v>154</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G-I-0161</t>
        </is>
      </c>
      <c r="B3310" s="12" t="inlineStr">
        <is>
          <t>G</t>
        </is>
      </c>
      <c r="C3310" s="12" t="inlineStr">
        <is>
          <t>Carbon capture</t>
        </is>
      </c>
      <c r="D3310" s="12" t="inlineStr">
        <is>
          <t>RTD to JB JB-CONDITIONAL: HP ex-RTD02: 2 x 1 tri (field cables)</t>
        </is>
      </c>
      <c r="E3310" s="12" t="inlineStr"/>
      <c r="F3310" s="12" t="inlineStr">
        <is>
          <t>CONDITIONAL: HP export compressor + metering</t>
        </is>
      </c>
      <c r="G3310" s="12" t="inlineStr">
        <is>
          <t>JB-CONDITIONAL: HP ex-RTD02</t>
        </is>
      </c>
      <c r="H3310" s="12" t="inlineStr">
        <is>
          <t>CONDITIONAL: HP export compressor + metering</t>
        </is>
      </c>
      <c r="I3310" s="12" t="inlineStr">
        <is>
          <t>Instrumentation</t>
        </is>
      </c>
      <c r="J3310" s="12" t="inlineStr">
        <is>
          <t>RTD cable, #18 shielded triads, PLTC</t>
        </is>
      </c>
      <c r="K3310" s="12" t="inlineStr">
        <is>
          <t>RTD|1 tri|18</t>
        </is>
      </c>
      <c r="L3310" s="12" t="inlineStr">
        <is>
          <t>1 tri</t>
        </is>
      </c>
      <c r="M3310" s="12" t="inlineStr">
        <is>
          <t>18</t>
        </is>
      </c>
      <c r="N3310" s="12" t="n">
        <v>2</v>
      </c>
      <c r="O3310" s="12" t="n">
        <v>1</v>
      </c>
      <c r="P3310" s="12" t="n"/>
      <c r="Q3310" s="12" t="n"/>
      <c r="R3310" s="12" t="n"/>
      <c r="S3310" s="12" t="inlineStr">
        <is>
          <t>Tray / conduit</t>
        </is>
      </c>
      <c r="T3310" s="17" t="n">
        <v>100</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G-I-0162</t>
        </is>
      </c>
      <c r="B3311" s="12" t="inlineStr">
        <is>
          <t>G</t>
        </is>
      </c>
      <c r="C3311" s="12" t="inlineStr">
        <is>
          <t>Carbon capture</t>
        </is>
      </c>
      <c r="D3311" s="12" t="inlineStr">
        <is>
          <t>Home run JB-CONDITIONAL: HP ex-RTD02 to the control / marshalling room</t>
        </is>
      </c>
      <c r="E3311" s="12" t="inlineStr"/>
      <c r="F3311" s="12" t="inlineStr">
        <is>
          <t>CCS F&amp;G / control</t>
        </is>
      </c>
      <c r="G3311" s="12" t="inlineStr">
        <is>
          <t>JB-CONDITIONAL: HP ex-RTD02</t>
        </is>
      </c>
      <c r="H3311" s="12" t="inlineStr">
        <is>
          <t>CONDITIONAL: HP export compressor + metering</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7" t="n">
        <v>144</v>
      </c>
      <c r="U3311" s="17" t="n">
        <v>154</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G-I-0163</t>
        </is>
      </c>
      <c r="B3312" s="12" t="inlineStr">
        <is>
          <t>G</t>
        </is>
      </c>
      <c r="C3312" s="12" t="inlineStr">
        <is>
          <t>Carbon capture</t>
        </is>
      </c>
      <c r="D3312" s="12" t="inlineStr">
        <is>
          <t>Analog instrument to JB JB-DCC-A pumps + wate-AI01: 10 x 1 pr (field cables)</t>
        </is>
      </c>
      <c r="E3312" s="12" t="inlineStr"/>
      <c r="F3312" s="12" t="inlineStr">
        <is>
          <t>DCC-A pumps + water filter</t>
        </is>
      </c>
      <c r="G3312" s="12" t="inlineStr">
        <is>
          <t>JB-DCC-A pumps + wate-AI01</t>
        </is>
      </c>
      <c r="H3312" s="12" t="inlineStr">
        <is>
          <t>DCC-A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7" t="n">
        <v>60</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G-I-0164</t>
        </is>
      </c>
      <c r="B3313" s="12" t="inlineStr">
        <is>
          <t>G</t>
        </is>
      </c>
      <c r="C3313" s="12" t="inlineStr">
        <is>
          <t>Carbon capture</t>
        </is>
      </c>
      <c r="D3313" s="12" t="inlineStr">
        <is>
          <t>Home run JB-DCC-A pumps + wate-AI01 to the control / marshalling room</t>
        </is>
      </c>
      <c r="E3313" s="12" t="inlineStr"/>
      <c r="F3313" s="12" t="inlineStr">
        <is>
          <t>CCS F&amp;G / control</t>
        </is>
      </c>
      <c r="G3313" s="12" t="inlineStr">
        <is>
          <t>JB-DCC-A pumps + wate-AI01</t>
        </is>
      </c>
      <c r="H3313" s="12" t="inlineStr">
        <is>
          <t>DCC-A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7" t="n">
        <v>884</v>
      </c>
      <c r="U3313" s="17" t="n">
        <v>233</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G-I-0165</t>
        </is>
      </c>
      <c r="B3314" s="12" t="inlineStr">
        <is>
          <t>G</t>
        </is>
      </c>
      <c r="C3314" s="12" t="inlineStr">
        <is>
          <t>Carbon capture</t>
        </is>
      </c>
      <c r="D3314" s="12" t="inlineStr">
        <is>
          <t>Discrete device to JB JB-DCC-A pumps + wate-DI01: 10 x 1 pr (field cables)</t>
        </is>
      </c>
      <c r="E3314" s="12" t="inlineStr"/>
      <c r="F3314" s="12" t="inlineStr">
        <is>
          <t>DCC-A pumps + water filter</t>
        </is>
      </c>
      <c r="G3314" s="12" t="inlineStr">
        <is>
          <t>JB-DCC-A pumps + wate-DI01</t>
        </is>
      </c>
      <c r="H3314" s="12" t="inlineStr">
        <is>
          <t>DCC-A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7" t="n">
        <v>60</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G-I-0166</t>
        </is>
      </c>
      <c r="B3315" s="12" t="inlineStr">
        <is>
          <t>G</t>
        </is>
      </c>
      <c r="C3315" s="12" t="inlineStr">
        <is>
          <t>Carbon capture</t>
        </is>
      </c>
      <c r="D3315" s="12" t="inlineStr">
        <is>
          <t>Home run JB-DCC-A pumps + wate-DI01 to the control / marshalling room</t>
        </is>
      </c>
      <c r="E3315" s="12" t="inlineStr"/>
      <c r="F3315" s="12" t="inlineStr">
        <is>
          <t>CCS F&amp;G / control</t>
        </is>
      </c>
      <c r="G3315" s="12" t="inlineStr">
        <is>
          <t>JB-DCC-A pumps + wate-DI01</t>
        </is>
      </c>
      <c r="H3315" s="12" t="inlineStr">
        <is>
          <t>DCC-A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Tray</t>
        </is>
      </c>
      <c r="T3315" s="17" t="n">
        <v>884</v>
      </c>
      <c r="U3315" s="17" t="n">
        <v>233</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G-I-0167</t>
        </is>
      </c>
      <c r="B3316" s="12" t="inlineStr">
        <is>
          <t>G</t>
        </is>
      </c>
      <c r="C3316" s="12" t="inlineStr">
        <is>
          <t>Carbon capture</t>
        </is>
      </c>
      <c r="D3316" s="12" t="inlineStr">
        <is>
          <t>Analog instrument to JB JB-DCC-A-AI01: 20 x 1 pr (field cables)</t>
        </is>
      </c>
      <c r="E3316" s="12" t="inlineStr">
        <is>
          <t>DCC-A</t>
        </is>
      </c>
      <c r="F3316" s="12" t="inlineStr">
        <is>
          <t>DCC-A: direct-contact cooler (quench)</t>
        </is>
      </c>
      <c r="G3316" s="12" t="inlineStr">
        <is>
          <t>JB-DCC-A-AI01</t>
        </is>
      </c>
      <c r="H3316" s="12" t="inlineStr">
        <is>
          <t>DCC-A: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121</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G-I-0168</t>
        </is>
      </c>
      <c r="B3317" s="12" t="inlineStr">
        <is>
          <t>G</t>
        </is>
      </c>
      <c r="C3317" s="12" t="inlineStr">
        <is>
          <t>Carbon capture</t>
        </is>
      </c>
      <c r="D3317" s="12" t="inlineStr">
        <is>
          <t>Home run JB-DCC-A-AI01 to the control / marshalling room</t>
        </is>
      </c>
      <c r="E3317" s="12" t="inlineStr"/>
      <c r="F3317" s="12" t="inlineStr">
        <is>
          <t>CCS F&amp;G / control</t>
        </is>
      </c>
      <c r="G3317" s="12" t="inlineStr">
        <is>
          <t>JB-DCC-A-AI01</t>
        </is>
      </c>
      <c r="H3317" s="12" t="inlineStr">
        <is>
          <t>DCC-A: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129</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G-I-0169</t>
        </is>
      </c>
      <c r="B3318" s="12" t="inlineStr">
        <is>
          <t>G</t>
        </is>
      </c>
      <c r="C3318" s="12" t="inlineStr">
        <is>
          <t>Carbon capture</t>
        </is>
      </c>
      <c r="D3318" s="12" t="inlineStr">
        <is>
          <t>Discrete device to JB JB-DCC-A-DI01: 10 x 1 pr (field cables)</t>
        </is>
      </c>
      <c r="E3318" s="12" t="inlineStr">
        <is>
          <t>DCC-A</t>
        </is>
      </c>
      <c r="F3318" s="12" t="inlineStr">
        <is>
          <t>DCC-A: direct-contact cooler (quench)</t>
        </is>
      </c>
      <c r="G3318" s="12" t="inlineStr">
        <is>
          <t>JB-DCC-A-DI01</t>
        </is>
      </c>
      <c r="H3318" s="12" t="inlineStr">
        <is>
          <t>DCC-A: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121</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G-I-0170</t>
        </is>
      </c>
      <c r="B3319" s="12" t="inlineStr">
        <is>
          <t>G</t>
        </is>
      </c>
      <c r="C3319" s="12" t="inlineStr">
        <is>
          <t>Carbon capture</t>
        </is>
      </c>
      <c r="D3319" s="12" t="inlineStr">
        <is>
          <t>Home run JB-DCC-A-DI01 to the control / marshalling room</t>
        </is>
      </c>
      <c r="E3319" s="12" t="inlineStr"/>
      <c r="F3319" s="12" t="inlineStr">
        <is>
          <t>CCS F&amp;G / control</t>
        </is>
      </c>
      <c r="G3319" s="12" t="inlineStr">
        <is>
          <t>JB-DCC-A-DI01</t>
        </is>
      </c>
      <c r="H3319" s="12" t="inlineStr">
        <is>
          <t>DCC-A: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129</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G-I-0171</t>
        </is>
      </c>
      <c r="B3320" s="12" t="inlineStr">
        <is>
          <t>G</t>
        </is>
      </c>
      <c r="C3320" s="12" t="inlineStr">
        <is>
          <t>Carbon capture</t>
        </is>
      </c>
      <c r="D3320" s="12" t="inlineStr">
        <is>
          <t>Analog instrument to JB JB-DCC-B pumps + wate-AI01: 10 x 1 pr (field cables)</t>
        </is>
      </c>
      <c r="E3320" s="12" t="inlineStr"/>
      <c r="F3320" s="12" t="inlineStr">
        <is>
          <t>DCC-B pumps + water filter</t>
        </is>
      </c>
      <c r="G3320" s="12" t="inlineStr">
        <is>
          <t>JB-DCC-B pumps + wate-AI01</t>
        </is>
      </c>
      <c r="H3320" s="12" t="inlineStr">
        <is>
          <t>DCC-B pumps + water filter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7" t="n">
        <v>60</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G-I-0172</t>
        </is>
      </c>
      <c r="B3321" s="12" t="inlineStr">
        <is>
          <t>G</t>
        </is>
      </c>
      <c r="C3321" s="12" t="inlineStr">
        <is>
          <t>Carbon capture</t>
        </is>
      </c>
      <c r="D3321" s="12" t="inlineStr">
        <is>
          <t>Home run JB-DCC-B pumps + wate-AI01 to the control / marshalling room</t>
        </is>
      </c>
      <c r="E3321" s="12" t="inlineStr"/>
      <c r="F3321" s="12" t="inlineStr">
        <is>
          <t>CCS F&amp;G / control</t>
        </is>
      </c>
      <c r="G3321" s="12" t="inlineStr">
        <is>
          <t>JB-DCC-B pumps + wate-AI01</t>
        </is>
      </c>
      <c r="H3321" s="12" t="inlineStr">
        <is>
          <t>DCC-B pumps + water filter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7" t="n">
        <v>784</v>
      </c>
      <c r="U3321" s="17" t="n">
        <v>191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G-I-0173</t>
        </is>
      </c>
      <c r="B3322" s="12" t="inlineStr">
        <is>
          <t>G</t>
        </is>
      </c>
      <c r="C3322" s="12" t="inlineStr">
        <is>
          <t>Carbon capture</t>
        </is>
      </c>
      <c r="D3322" s="12" t="inlineStr">
        <is>
          <t>Discrete device to JB JB-DCC-B pumps + wate-DI01: 10 x 1 pr (field cables)</t>
        </is>
      </c>
      <c r="E3322" s="12" t="inlineStr"/>
      <c r="F3322" s="12" t="inlineStr">
        <is>
          <t>DCC-B pumps + water filter</t>
        </is>
      </c>
      <c r="G3322" s="12" t="inlineStr">
        <is>
          <t>JB-DCC-B pumps + wate-DI01</t>
        </is>
      </c>
      <c r="H3322" s="12" t="inlineStr">
        <is>
          <t>DCC-B pumps + water filter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10</v>
      </c>
      <c r="O3322" s="12" t="n">
        <v>1</v>
      </c>
      <c r="P3322" s="12" t="n"/>
      <c r="Q3322" s="12" t="n"/>
      <c r="R3322" s="12" t="n"/>
      <c r="S3322" s="12" t="inlineStr">
        <is>
          <t>Tray / conduit</t>
        </is>
      </c>
      <c r="T3322" s="17" t="n">
        <v>60</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G-I-0174</t>
        </is>
      </c>
      <c r="B3323" s="12" t="inlineStr">
        <is>
          <t>G</t>
        </is>
      </c>
      <c r="C3323" s="12" t="inlineStr">
        <is>
          <t>Carbon capture</t>
        </is>
      </c>
      <c r="D3323" s="12" t="inlineStr">
        <is>
          <t>Home run JB-DCC-B pumps + wate-DI01 to the control / marshalling room</t>
        </is>
      </c>
      <c r="E3323" s="12" t="inlineStr"/>
      <c r="F3323" s="12" t="inlineStr">
        <is>
          <t>CCS F&amp;G / control</t>
        </is>
      </c>
      <c r="G3323" s="12" t="inlineStr">
        <is>
          <t>JB-DCC-B pumps + wate-DI01</t>
        </is>
      </c>
      <c r="H3323" s="12" t="inlineStr">
        <is>
          <t>DCC-B pumps + water filter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7" t="n">
        <v>784</v>
      </c>
      <c r="U3323" s="17" t="n">
        <v>191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G-I-0175</t>
        </is>
      </c>
      <c r="B3324" s="12" t="inlineStr">
        <is>
          <t>G</t>
        </is>
      </c>
      <c r="C3324" s="12" t="inlineStr">
        <is>
          <t>Carbon capture</t>
        </is>
      </c>
      <c r="D3324" s="12" t="inlineStr">
        <is>
          <t>Analog instrument to JB JB-DCC-B-AI01: 20 x 1 pr (field cables)</t>
        </is>
      </c>
      <c r="E3324" s="12" t="inlineStr">
        <is>
          <t>DCC-B</t>
        </is>
      </c>
      <c r="F3324" s="12" t="inlineStr">
        <is>
          <t>DCC-B: direct-contact cooler (quench)</t>
        </is>
      </c>
      <c r="G3324" s="12" t="inlineStr">
        <is>
          <t>JB-DCC-B-AI01</t>
        </is>
      </c>
      <c r="H3324" s="12" t="inlineStr">
        <is>
          <t>DCC-B: direct-contact cooler (quench)</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7" t="n">
        <v>121</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G-I-0176</t>
        </is>
      </c>
      <c r="B3325" s="12" t="inlineStr">
        <is>
          <t>G</t>
        </is>
      </c>
      <c r="C3325" s="12" t="inlineStr">
        <is>
          <t>Carbon capture</t>
        </is>
      </c>
      <c r="D3325" s="12" t="inlineStr">
        <is>
          <t>Home run JB-DCC-B-AI01 to the control / marshalling room</t>
        </is>
      </c>
      <c r="E3325" s="12" t="inlineStr"/>
      <c r="F3325" s="12" t="inlineStr">
        <is>
          <t>CCS F&amp;G / control</t>
        </is>
      </c>
      <c r="G3325" s="12" t="inlineStr">
        <is>
          <t>JB-DCC-B-AI01</t>
        </is>
      </c>
      <c r="H3325" s="12" t="inlineStr">
        <is>
          <t>DCC-B: direct-contact cooler (quench)</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7" t="n">
        <v>701</v>
      </c>
      <c r="U3325" s="17" t="n">
        <v>129</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G-I-0177</t>
        </is>
      </c>
      <c r="B3326" s="12" t="inlineStr">
        <is>
          <t>G</t>
        </is>
      </c>
      <c r="C3326" s="12" t="inlineStr">
        <is>
          <t>Carbon capture</t>
        </is>
      </c>
      <c r="D3326" s="12" t="inlineStr">
        <is>
          <t>Discrete device to JB JB-DCC-B-DI01: 10 x 1 pr (field cables)</t>
        </is>
      </c>
      <c r="E3326" s="12" t="inlineStr">
        <is>
          <t>DCC-B</t>
        </is>
      </c>
      <c r="F3326" s="12" t="inlineStr">
        <is>
          <t>DCC-B: direct-contact cooler (quench)</t>
        </is>
      </c>
      <c r="G3326" s="12" t="inlineStr">
        <is>
          <t>JB-DCC-B-DI01</t>
        </is>
      </c>
      <c r="H3326" s="12" t="inlineStr">
        <is>
          <t>DCC-B: direct-contact cooler (quench)</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7" t="n">
        <v>121</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G-I-0178</t>
        </is>
      </c>
      <c r="B3327" s="12" t="inlineStr">
        <is>
          <t>G</t>
        </is>
      </c>
      <c r="C3327" s="12" t="inlineStr">
        <is>
          <t>Carbon capture</t>
        </is>
      </c>
      <c r="D3327" s="12" t="inlineStr">
        <is>
          <t>Home run JB-DCC-B-DI01 to the control / marshalling room</t>
        </is>
      </c>
      <c r="E3327" s="12" t="inlineStr"/>
      <c r="F3327" s="12" t="inlineStr">
        <is>
          <t>CCS F&amp;G / control</t>
        </is>
      </c>
      <c r="G3327" s="12" t="inlineStr">
        <is>
          <t>JB-DCC-B-DI01</t>
        </is>
      </c>
      <c r="H3327" s="12" t="inlineStr">
        <is>
          <t>DCC-B: direct-contact cooler (quench)</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129</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G-I-0179</t>
        </is>
      </c>
      <c r="B3328" s="12" t="inlineStr">
        <is>
          <t>G</t>
        </is>
      </c>
      <c r="C3328" s="12" t="inlineStr">
        <is>
          <t>Carbon capture</t>
        </is>
      </c>
      <c r="D3328" s="12" t="inlineStr">
        <is>
          <t>Analog instrument to JB JB-DCC-C pumps + wate-AI01: 10 x 1 pr (field cables)</t>
        </is>
      </c>
      <c r="E3328" s="12" t="inlineStr"/>
      <c r="F3328" s="12" t="inlineStr">
        <is>
          <t>DCC-C pumps + water filter</t>
        </is>
      </c>
      <c r="G3328" s="12" t="inlineStr">
        <is>
          <t>JB-DCC-C pumps + wate-AI01</t>
        </is>
      </c>
      <c r="H3328" s="12" t="inlineStr">
        <is>
          <t>DCC-C pumps + water filter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60</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G-I-0180</t>
        </is>
      </c>
      <c r="B3329" s="12" t="inlineStr">
        <is>
          <t>G</t>
        </is>
      </c>
      <c r="C3329" s="12" t="inlineStr">
        <is>
          <t>Carbon capture</t>
        </is>
      </c>
      <c r="D3329" s="12" t="inlineStr">
        <is>
          <t>Home run JB-DCC-C pumps + wate-AI01 to the control / marshalling room</t>
        </is>
      </c>
      <c r="E3329" s="12" t="inlineStr"/>
      <c r="F3329" s="12" t="inlineStr">
        <is>
          <t>CCS F&amp;G / control</t>
        </is>
      </c>
      <c r="G3329" s="12" t="inlineStr">
        <is>
          <t>JB-DCC-C pumps + wate-AI01</t>
        </is>
      </c>
      <c r="H3329" s="12" t="inlineStr">
        <is>
          <t>DCC-C pumps + water filter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564</v>
      </c>
      <c r="U3329" s="17" t="n">
        <v>233</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G-I-0181</t>
        </is>
      </c>
      <c r="B3330" s="12" t="inlineStr">
        <is>
          <t>G</t>
        </is>
      </c>
      <c r="C3330" s="12" t="inlineStr">
        <is>
          <t>Carbon capture</t>
        </is>
      </c>
      <c r="D3330" s="12" t="inlineStr">
        <is>
          <t>Discrete device to JB JB-DCC-C pumps + wate-DI01: 10 x 1 pr (field cables)</t>
        </is>
      </c>
      <c r="E3330" s="12" t="inlineStr"/>
      <c r="F3330" s="12" t="inlineStr">
        <is>
          <t>DCC-C pumps + water filter</t>
        </is>
      </c>
      <c r="G3330" s="12" t="inlineStr">
        <is>
          <t>JB-DCC-C pumps + wate-DI01</t>
        </is>
      </c>
      <c r="H3330" s="12" t="inlineStr">
        <is>
          <t>DCC-C pumps + water filter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7" t="n">
        <v>60</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G-I-0182</t>
        </is>
      </c>
      <c r="B3331" s="12" t="inlineStr">
        <is>
          <t>G</t>
        </is>
      </c>
      <c r="C3331" s="12" t="inlineStr">
        <is>
          <t>Carbon capture</t>
        </is>
      </c>
      <c r="D3331" s="12" t="inlineStr">
        <is>
          <t>Home run JB-DCC-C pumps + wate-DI01 to the control / marshalling room</t>
        </is>
      </c>
      <c r="E3331" s="12" t="inlineStr"/>
      <c r="F3331" s="12" t="inlineStr">
        <is>
          <t>CCS F&amp;G / control</t>
        </is>
      </c>
      <c r="G3331" s="12" t="inlineStr">
        <is>
          <t>JB-DCC-C pumps + wate-DI01</t>
        </is>
      </c>
      <c r="H3331" s="12" t="inlineStr">
        <is>
          <t>DCC-C pumps + water filter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564</v>
      </c>
      <c r="U3331" s="17" t="n">
        <v>233</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G-I-0183</t>
        </is>
      </c>
      <c r="B3332" s="12" t="inlineStr">
        <is>
          <t>G</t>
        </is>
      </c>
      <c r="C3332" s="12" t="inlineStr">
        <is>
          <t>Carbon capture</t>
        </is>
      </c>
      <c r="D3332" s="12" t="inlineStr">
        <is>
          <t>Analog instrument to JB JB-DCC-C-AI01: 20 x 1 pr (field cables)</t>
        </is>
      </c>
      <c r="E3332" s="12" t="inlineStr">
        <is>
          <t>DCC-C</t>
        </is>
      </c>
      <c r="F3332" s="12" t="inlineStr">
        <is>
          <t>DCC-C: direct-contact cooler (quench)</t>
        </is>
      </c>
      <c r="G3332" s="12" t="inlineStr">
        <is>
          <t>JB-DCC-C-AI01</t>
        </is>
      </c>
      <c r="H3332" s="12" t="inlineStr">
        <is>
          <t>DCC-C: direct-contact cooler (quench)</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7" t="n">
        <v>121</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G-I-0184</t>
        </is>
      </c>
      <c r="B3333" s="12" t="inlineStr">
        <is>
          <t>G</t>
        </is>
      </c>
      <c r="C3333" s="12" t="inlineStr">
        <is>
          <t>Carbon capture</t>
        </is>
      </c>
      <c r="D3333" s="12" t="inlineStr">
        <is>
          <t>Home run JB-DCC-C-AI01 to the control / marshalling room</t>
        </is>
      </c>
      <c r="E3333" s="12" t="inlineStr"/>
      <c r="F3333" s="12" t="inlineStr">
        <is>
          <t>CCS F&amp;G / control</t>
        </is>
      </c>
      <c r="G3333" s="12" t="inlineStr">
        <is>
          <t>JB-DCC-C-AI01</t>
        </is>
      </c>
      <c r="H3333" s="12" t="inlineStr">
        <is>
          <t>DCC-C: direct-contact cooler (quench)</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7" t="n">
        <v>541</v>
      </c>
      <c r="U3333" s="17" t="n">
        <v>129</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G-I-0185</t>
        </is>
      </c>
      <c r="B3334" s="12" t="inlineStr">
        <is>
          <t>G</t>
        </is>
      </c>
      <c r="C3334" s="12" t="inlineStr">
        <is>
          <t>Carbon capture</t>
        </is>
      </c>
      <c r="D3334" s="12" t="inlineStr">
        <is>
          <t>Discrete device to JB JB-DCC-C-DI01: 10 x 1 pr (field cables)</t>
        </is>
      </c>
      <c r="E3334" s="12" t="inlineStr">
        <is>
          <t>DCC-C</t>
        </is>
      </c>
      <c r="F3334" s="12" t="inlineStr">
        <is>
          <t>DCC-C: direct-contact cooler (quench)</t>
        </is>
      </c>
      <c r="G3334" s="12" t="inlineStr">
        <is>
          <t>JB-DCC-C-DI01</t>
        </is>
      </c>
      <c r="H3334" s="12" t="inlineStr">
        <is>
          <t>DCC-C: direct-contact cooler (quench)</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7" t="n">
        <v>121</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G-I-0186</t>
        </is>
      </c>
      <c r="B3335" s="12" t="inlineStr">
        <is>
          <t>G</t>
        </is>
      </c>
      <c r="C3335" s="12" t="inlineStr">
        <is>
          <t>Carbon capture</t>
        </is>
      </c>
      <c r="D3335" s="12" t="inlineStr">
        <is>
          <t>Home run JB-DCC-C-DI01 to the control / marshalling room</t>
        </is>
      </c>
      <c r="E3335" s="12" t="inlineStr"/>
      <c r="F3335" s="12" t="inlineStr">
        <is>
          <t>CCS F&amp;G / control</t>
        </is>
      </c>
      <c r="G3335" s="12" t="inlineStr">
        <is>
          <t>JB-DCC-C-DI01</t>
        </is>
      </c>
      <c r="H3335" s="12" t="inlineStr">
        <is>
          <t>DCC-C: direct-contact cooler (quench)</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7" t="n">
        <v>541</v>
      </c>
      <c r="U3335" s="17" t="n">
        <v>129</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G-I-0187</t>
        </is>
      </c>
      <c r="B3336" s="12" t="inlineStr">
        <is>
          <t>G</t>
        </is>
      </c>
      <c r="C3336" s="12" t="inlineStr">
        <is>
          <t>Carbon capture</t>
        </is>
      </c>
      <c r="D3336" s="12" t="inlineStr">
        <is>
          <t>Analog instrument to JB JB-DMP-A-AI01: 8 x 1 pr (field cables)</t>
        </is>
      </c>
      <c r="E3336" s="12" t="inlineStr">
        <is>
          <t>DMP-A</t>
        </is>
      </c>
      <c r="F3336" s="12" t="inlineStr">
        <is>
          <t>DMP-A: diverter / bypass damper</t>
        </is>
      </c>
      <c r="G3336" s="12" t="inlineStr">
        <is>
          <t>JB-DMP-A-AI01</t>
        </is>
      </c>
      <c r="H3336" s="12" t="inlineStr">
        <is>
          <t>DMP-A: diverter / bypass damper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8</v>
      </c>
      <c r="O3336" s="12" t="n">
        <v>1</v>
      </c>
      <c r="P3336" s="12" t="n"/>
      <c r="Q3336" s="12" t="n"/>
      <c r="R3336" s="12" t="n"/>
      <c r="S3336" s="12" t="inlineStr">
        <is>
          <t>Tray / conduit</t>
        </is>
      </c>
      <c r="T3336" s="17" t="n">
        <v>74</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G-I-0188</t>
        </is>
      </c>
      <c r="B3337" s="12" t="inlineStr">
        <is>
          <t>G</t>
        </is>
      </c>
      <c r="C3337" s="12" t="inlineStr">
        <is>
          <t>Carbon capture</t>
        </is>
      </c>
      <c r="D3337" s="12" t="inlineStr">
        <is>
          <t>Home run JB-DMP-A-AI01 to the control / marshalling room</t>
        </is>
      </c>
      <c r="E3337" s="12" t="inlineStr"/>
      <c r="F3337" s="12" t="inlineStr">
        <is>
          <t>CCS F&amp;G / control</t>
        </is>
      </c>
      <c r="G3337" s="12" t="inlineStr">
        <is>
          <t>JB-DMP-A-AI01</t>
        </is>
      </c>
      <c r="H3337" s="12" t="inlineStr">
        <is>
          <t>DMP-A: diverter / bypass damper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7" t="n">
        <v>1230</v>
      </c>
      <c r="U3337" s="17" t="n">
        <v>193</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G-I-0189</t>
        </is>
      </c>
      <c r="B3338" s="12" t="inlineStr">
        <is>
          <t>G</t>
        </is>
      </c>
      <c r="C3338" s="12" t="inlineStr">
        <is>
          <t>Carbon capture</t>
        </is>
      </c>
      <c r="D3338" s="12" t="inlineStr">
        <is>
          <t>Discrete device to JB JB-DMP-A-DI01: 16 x 1 pr (field cables)</t>
        </is>
      </c>
      <c r="E3338" s="12" t="inlineStr">
        <is>
          <t>DMP-A</t>
        </is>
      </c>
      <c r="F3338" s="12" t="inlineStr">
        <is>
          <t>DMP-A: diverter / bypass damper</t>
        </is>
      </c>
      <c r="G3338" s="12" t="inlineStr">
        <is>
          <t>JB-DMP-A-DI01</t>
        </is>
      </c>
      <c r="H3338" s="12" t="inlineStr">
        <is>
          <t>DMP-A: diverter / bypass damper</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16</v>
      </c>
      <c r="O3338" s="12" t="n">
        <v>1</v>
      </c>
      <c r="P3338" s="12" t="n"/>
      <c r="Q3338" s="12" t="n"/>
      <c r="R3338" s="12" t="n"/>
      <c r="S3338" s="12" t="inlineStr">
        <is>
          <t>Tray / conduit</t>
        </is>
      </c>
      <c r="T3338" s="17" t="n">
        <v>74</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G-I-0190</t>
        </is>
      </c>
      <c r="B3339" s="12" t="inlineStr">
        <is>
          <t>G</t>
        </is>
      </c>
      <c r="C3339" s="12" t="inlineStr">
        <is>
          <t>Carbon capture</t>
        </is>
      </c>
      <c r="D3339" s="12" t="inlineStr">
        <is>
          <t>Home run JB-DMP-A-DI01 to the control / marshalling room</t>
        </is>
      </c>
      <c r="E3339" s="12" t="inlineStr"/>
      <c r="F3339" s="12" t="inlineStr">
        <is>
          <t>CCS F&amp;G / control</t>
        </is>
      </c>
      <c r="G3339" s="12" t="inlineStr">
        <is>
          <t>JB-DMP-A-DI01</t>
        </is>
      </c>
      <c r="H3339" s="12" t="inlineStr">
        <is>
          <t>DMP-A: diverter / bypass damper</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Tray</t>
        </is>
      </c>
      <c r="T3339" s="17" t="n">
        <v>1230</v>
      </c>
      <c r="U3339" s="17" t="n">
        <v>193</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G-I-0191</t>
        </is>
      </c>
      <c r="B3340" s="12" t="inlineStr">
        <is>
          <t>G</t>
        </is>
      </c>
      <c r="C3340" s="12" t="inlineStr">
        <is>
          <t>Carbon capture</t>
        </is>
      </c>
      <c r="D3340" s="12" t="inlineStr">
        <is>
          <t>Analog instrument to JB JB-DMP-B-AI01: 8 x 1 pr (field cables)</t>
        </is>
      </c>
      <c r="E3340" s="12" t="inlineStr">
        <is>
          <t>DMP-B</t>
        </is>
      </c>
      <c r="F3340" s="12" t="inlineStr">
        <is>
          <t>DMP-B: diverter / bypass damper</t>
        </is>
      </c>
      <c r="G3340" s="12" t="inlineStr">
        <is>
          <t>JB-DMP-B-AI01</t>
        </is>
      </c>
      <c r="H3340" s="12" t="inlineStr">
        <is>
          <t>DMP-B: diverter / bypass damper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8</v>
      </c>
      <c r="O3340" s="12" t="n">
        <v>1</v>
      </c>
      <c r="P3340" s="12" t="n"/>
      <c r="Q3340" s="12" t="n"/>
      <c r="R3340" s="12" t="n"/>
      <c r="S3340" s="12" t="inlineStr">
        <is>
          <t>Tray / conduit</t>
        </is>
      </c>
      <c r="T3340" s="17" t="n">
        <v>74</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G-I-0192</t>
        </is>
      </c>
      <c r="B3341" s="12" t="inlineStr">
        <is>
          <t>G</t>
        </is>
      </c>
      <c r="C3341" s="12" t="inlineStr">
        <is>
          <t>Carbon capture</t>
        </is>
      </c>
      <c r="D3341" s="12" t="inlineStr">
        <is>
          <t>Home run JB-DMP-B-AI01 to the control / marshalling room</t>
        </is>
      </c>
      <c r="E3341" s="12" t="inlineStr"/>
      <c r="F3341" s="12" t="inlineStr">
        <is>
          <t>CCS F&amp;G / control</t>
        </is>
      </c>
      <c r="G3341" s="12" t="inlineStr">
        <is>
          <t>JB-DMP-B-AI01</t>
        </is>
      </c>
      <c r="H3341" s="12" t="inlineStr">
        <is>
          <t>DMP-B: diverter / bypass damper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1074</v>
      </c>
      <c r="U3341" s="17" t="n">
        <v>189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G-I-0193</t>
        </is>
      </c>
      <c r="B3342" s="12" t="inlineStr">
        <is>
          <t>G</t>
        </is>
      </c>
      <c r="C3342" s="12" t="inlineStr">
        <is>
          <t>Carbon capture</t>
        </is>
      </c>
      <c r="D3342" s="12" t="inlineStr">
        <is>
          <t>Discrete device to JB JB-DMP-B-DI01: 16 x 1 pr (field cables)</t>
        </is>
      </c>
      <c r="E3342" s="12" t="inlineStr">
        <is>
          <t>DMP-B</t>
        </is>
      </c>
      <c r="F3342" s="12" t="inlineStr">
        <is>
          <t>DMP-B: diverter / bypass damper</t>
        </is>
      </c>
      <c r="G3342" s="12" t="inlineStr">
        <is>
          <t>JB-DMP-B-DI01</t>
        </is>
      </c>
      <c r="H3342" s="12" t="inlineStr">
        <is>
          <t>DMP-B: diverter / bypass damper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16</v>
      </c>
      <c r="O3342" s="12" t="n">
        <v>1</v>
      </c>
      <c r="P3342" s="12" t="n"/>
      <c r="Q3342" s="12" t="n"/>
      <c r="R3342" s="12" t="n"/>
      <c r="S3342" s="12" t="inlineStr">
        <is>
          <t>Tray / conduit</t>
        </is>
      </c>
      <c r="T3342" s="17" t="n">
        <v>74</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G-I-0194</t>
        </is>
      </c>
      <c r="B3343" s="12" t="inlineStr">
        <is>
          <t>G</t>
        </is>
      </c>
      <c r="C3343" s="12" t="inlineStr">
        <is>
          <t>Carbon capture</t>
        </is>
      </c>
      <c r="D3343" s="12" t="inlineStr">
        <is>
          <t>Home run JB-DMP-B-DI01 to the control / marshalling room</t>
        </is>
      </c>
      <c r="E3343" s="12" t="inlineStr"/>
      <c r="F3343" s="12" t="inlineStr">
        <is>
          <t>CCS F&amp;G / control</t>
        </is>
      </c>
      <c r="G3343" s="12" t="inlineStr">
        <is>
          <t>JB-DMP-B-DI01</t>
        </is>
      </c>
      <c r="H3343" s="12" t="inlineStr">
        <is>
          <t>DMP-B: diverter / bypass damper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7" t="n">
        <v>1074</v>
      </c>
      <c r="U3343" s="17" t="n">
        <v>189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G-I-0195</t>
        </is>
      </c>
      <c r="B3344" s="12" t="inlineStr">
        <is>
          <t>G</t>
        </is>
      </c>
      <c r="C3344" s="12" t="inlineStr">
        <is>
          <t>Carbon capture</t>
        </is>
      </c>
      <c r="D3344" s="12" t="inlineStr">
        <is>
          <t>Analog instrument to JB JB-DMP-C-AI01: 8 x 1 pr (field cables)</t>
        </is>
      </c>
      <c r="E3344" s="12" t="inlineStr">
        <is>
          <t>DMP-C</t>
        </is>
      </c>
      <c r="F3344" s="12" t="inlineStr">
        <is>
          <t>DMP-C: diverter / bypass damper</t>
        </is>
      </c>
      <c r="G3344" s="12" t="inlineStr">
        <is>
          <t>JB-DMP-C-AI01</t>
        </is>
      </c>
      <c r="H3344" s="12" t="inlineStr">
        <is>
          <t>DMP-C: diverter / bypass damper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8</v>
      </c>
      <c r="O3344" s="12" t="n">
        <v>1</v>
      </c>
      <c r="P3344" s="12" t="n"/>
      <c r="Q3344" s="12" t="n"/>
      <c r="R3344" s="12" t="n"/>
      <c r="S3344" s="12" t="inlineStr">
        <is>
          <t>Tray / conduit</t>
        </is>
      </c>
      <c r="T3344" s="17" t="n">
        <v>74</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G-I-0196</t>
        </is>
      </c>
      <c r="B3345" s="12" t="inlineStr">
        <is>
          <t>G</t>
        </is>
      </c>
      <c r="C3345" s="12" t="inlineStr">
        <is>
          <t>Carbon capture</t>
        </is>
      </c>
      <c r="D3345" s="12" t="inlineStr">
        <is>
          <t>Home run JB-DMP-C-AI01 to the control / marshalling room</t>
        </is>
      </c>
      <c r="E3345" s="12" t="inlineStr"/>
      <c r="F3345" s="12" t="inlineStr">
        <is>
          <t>CCS F&amp;G / control</t>
        </is>
      </c>
      <c r="G3345" s="12" t="inlineStr">
        <is>
          <t>JB-DMP-C-AI01</t>
        </is>
      </c>
      <c r="H3345" s="12" t="inlineStr">
        <is>
          <t>DMP-C: diverter / bypass damper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7" t="n">
        <v>910</v>
      </c>
      <c r="U3345" s="17" t="n">
        <v>193</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G-I-0197</t>
        </is>
      </c>
      <c r="B3346" s="12" t="inlineStr">
        <is>
          <t>G</t>
        </is>
      </c>
      <c r="C3346" s="12" t="inlineStr">
        <is>
          <t>Carbon capture</t>
        </is>
      </c>
      <c r="D3346" s="12" t="inlineStr">
        <is>
          <t>Discrete device to JB JB-DMP-C-DI01: 16 x 1 pr (field cables)</t>
        </is>
      </c>
      <c r="E3346" s="12" t="inlineStr">
        <is>
          <t>DMP-C</t>
        </is>
      </c>
      <c r="F3346" s="12" t="inlineStr">
        <is>
          <t>DMP-C: diverter / bypass damper</t>
        </is>
      </c>
      <c r="G3346" s="12" t="inlineStr">
        <is>
          <t>JB-DMP-C-DI01</t>
        </is>
      </c>
      <c r="H3346" s="12" t="inlineStr">
        <is>
          <t>DMP-C: diverter / bypass damper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16</v>
      </c>
      <c r="O3346" s="12" t="n">
        <v>1</v>
      </c>
      <c r="P3346" s="12" t="n"/>
      <c r="Q3346" s="12" t="n"/>
      <c r="R3346" s="12" t="n"/>
      <c r="S3346" s="12" t="inlineStr">
        <is>
          <t>Tray / conduit</t>
        </is>
      </c>
      <c r="T3346" s="17" t="n">
        <v>74</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G-I-0198</t>
        </is>
      </c>
      <c r="B3347" s="12" t="inlineStr">
        <is>
          <t>G</t>
        </is>
      </c>
      <c r="C3347" s="12" t="inlineStr">
        <is>
          <t>Carbon capture</t>
        </is>
      </c>
      <c r="D3347" s="12" t="inlineStr">
        <is>
          <t>Home run JB-DMP-C-DI01 to the control / marshalling room</t>
        </is>
      </c>
      <c r="E3347" s="12" t="inlineStr"/>
      <c r="F3347" s="12" t="inlineStr">
        <is>
          <t>CCS F&amp;G / control</t>
        </is>
      </c>
      <c r="G3347" s="12" t="inlineStr">
        <is>
          <t>JB-DMP-C-DI01</t>
        </is>
      </c>
      <c r="H3347" s="12" t="inlineStr">
        <is>
          <t>DMP-C: diverter / bypass damper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7" t="n">
        <v>910</v>
      </c>
      <c r="U3347" s="17" t="n">
        <v>193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G-I-0199</t>
        </is>
      </c>
      <c r="B3348" s="12" t="inlineStr">
        <is>
          <t>G</t>
        </is>
      </c>
      <c r="C3348" s="12" t="inlineStr">
        <is>
          <t>Carbon capture</t>
        </is>
      </c>
      <c r="D3348" s="12" t="inlineStr">
        <is>
          <t>Analog instrument to JB JB-RB-A: reboiler (LP-AI01: 15 x 1 pr (field cables)</t>
        </is>
      </c>
      <c r="E3348" s="12" t="inlineStr"/>
      <c r="F3348" s="12" t="inlineStr">
        <is>
          <t>RB-A: reboiler (LP steam from ST extraction)</t>
        </is>
      </c>
      <c r="G3348" s="12" t="inlineStr">
        <is>
          <t>JB-RB-A: reboiler (LP-AI01</t>
        </is>
      </c>
      <c r="H3348" s="12" t="inlineStr">
        <is>
          <t>RB-A: reboiler (LP steam from ST extraction)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15</v>
      </c>
      <c r="O3348" s="12" t="n">
        <v>1</v>
      </c>
      <c r="P3348" s="12" t="n"/>
      <c r="Q3348" s="12" t="n"/>
      <c r="R3348" s="12" t="n"/>
      <c r="S3348" s="12" t="inlineStr">
        <is>
          <t>Tray / conduit</t>
        </is>
      </c>
      <c r="T3348" s="17" t="n">
        <v>80</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G-I-0200</t>
        </is>
      </c>
      <c r="B3349" s="12" t="inlineStr">
        <is>
          <t>G</t>
        </is>
      </c>
      <c r="C3349" s="12" t="inlineStr">
        <is>
          <t>Carbon capture</t>
        </is>
      </c>
      <c r="D3349" s="12" t="inlineStr">
        <is>
          <t>Home run JB-RB-A: reboiler (LP-AI01 to the control / marshalling room</t>
        </is>
      </c>
      <c r="E3349" s="12" t="inlineStr"/>
      <c r="F3349" s="12" t="inlineStr">
        <is>
          <t>CCS F&amp;G / control</t>
        </is>
      </c>
      <c r="G3349" s="12" t="inlineStr">
        <is>
          <t>JB-RB-A: reboiler (LP-AI01</t>
        </is>
      </c>
      <c r="H3349" s="12" t="inlineStr">
        <is>
          <t>RB-A: reboiler (LP steam from ST extraction)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7" t="n">
        <v>266</v>
      </c>
      <c r="U3349" s="17" t="n">
        <v>111</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G-I-0201</t>
        </is>
      </c>
      <c r="B3350" s="12" t="inlineStr">
        <is>
          <t>G</t>
        </is>
      </c>
      <c r="C3350" s="12" t="inlineStr">
        <is>
          <t>Carbon capture</t>
        </is>
      </c>
      <c r="D3350" s="12" t="inlineStr">
        <is>
          <t>Discrete device to JB JB-RB-A: reboiler (LP-DI01: 10 x 1 pr (field cables)</t>
        </is>
      </c>
      <c r="E3350" s="12" t="inlineStr"/>
      <c r="F3350" s="12" t="inlineStr">
        <is>
          <t>RB-A: reboiler (LP steam from ST extraction)</t>
        </is>
      </c>
      <c r="G3350" s="12" t="inlineStr">
        <is>
          <t>JB-RB-A: reboiler (LP-DI01</t>
        </is>
      </c>
      <c r="H3350" s="12" t="inlineStr">
        <is>
          <t>RB-A: reboiler (LP steam from ST extraction)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7" t="n">
        <v>80</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G-I-0202</t>
        </is>
      </c>
      <c r="B3351" s="12" t="inlineStr">
        <is>
          <t>G</t>
        </is>
      </c>
      <c r="C3351" s="12" t="inlineStr">
        <is>
          <t>Carbon capture</t>
        </is>
      </c>
      <c r="D3351" s="12" t="inlineStr">
        <is>
          <t>Home run JB-RB-A: reboiler (LP-DI01 to the control / marshalling room</t>
        </is>
      </c>
      <c r="E3351" s="12" t="inlineStr"/>
      <c r="F3351" s="12" t="inlineStr">
        <is>
          <t>CCS F&amp;G / control</t>
        </is>
      </c>
      <c r="G3351" s="12" t="inlineStr">
        <is>
          <t>JB-RB-A: reboiler (LP-DI01</t>
        </is>
      </c>
      <c r="H3351" s="12" t="inlineStr">
        <is>
          <t>RB-A: reboiler (LP steam from ST extraction)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7" t="n">
        <v>266</v>
      </c>
      <c r="U3351" s="17" t="n">
        <v>111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G-I-0203</t>
        </is>
      </c>
      <c r="B3352" s="12" t="inlineStr">
        <is>
          <t>G</t>
        </is>
      </c>
      <c r="C3352" s="12" t="inlineStr">
        <is>
          <t>Carbon capture</t>
        </is>
      </c>
      <c r="D3352" s="12" t="inlineStr">
        <is>
          <t>Analog instrument to JB JB-RB-B: reboiler (LP-AI01: 15 x 1 pr (field cables)</t>
        </is>
      </c>
      <c r="E3352" s="12" t="inlineStr"/>
      <c r="F3352" s="12" t="inlineStr">
        <is>
          <t>RB-B: reboiler (LP steam from ST extraction)</t>
        </is>
      </c>
      <c r="G3352" s="12" t="inlineStr">
        <is>
          <t>JB-RB-B: reboiler (LP-AI01</t>
        </is>
      </c>
      <c r="H3352" s="12" t="inlineStr">
        <is>
          <t>RB-B: reboiler (LP steam from ST extraction)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7" t="n">
        <v>80</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G-I-0204</t>
        </is>
      </c>
      <c r="B3353" s="12" t="inlineStr">
        <is>
          <t>G</t>
        </is>
      </c>
      <c r="C3353" s="12" t="inlineStr">
        <is>
          <t>Carbon capture</t>
        </is>
      </c>
      <c r="D3353" s="12" t="inlineStr">
        <is>
          <t>Home run JB-RB-B: reboiler (LP-AI01 to the control / marshalling room</t>
        </is>
      </c>
      <c r="E3353" s="12" t="inlineStr"/>
      <c r="F3353" s="12" t="inlineStr">
        <is>
          <t>CCS F&amp;G / control</t>
        </is>
      </c>
      <c r="G3353" s="12" t="inlineStr">
        <is>
          <t>JB-RB-B: reboiler (LP-AI01</t>
        </is>
      </c>
      <c r="H3353" s="12" t="inlineStr">
        <is>
          <t>RB-B: reboiler (LP steam from ST extraction)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7" t="n">
        <v>216</v>
      </c>
      <c r="U3353" s="17" t="n">
        <v>111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G-I-0205</t>
        </is>
      </c>
      <c r="B3354" s="12" t="inlineStr">
        <is>
          <t>G</t>
        </is>
      </c>
      <c r="C3354" s="12" t="inlineStr">
        <is>
          <t>Carbon capture</t>
        </is>
      </c>
      <c r="D3354" s="12" t="inlineStr">
        <is>
          <t>Discrete device to JB JB-RB-B: reboiler (LP-DI01: 10 x 1 pr (field cables)</t>
        </is>
      </c>
      <c r="E3354" s="12" t="inlineStr"/>
      <c r="F3354" s="12" t="inlineStr">
        <is>
          <t>RB-B: reboiler (LP steam from ST extraction)</t>
        </is>
      </c>
      <c r="G3354" s="12" t="inlineStr">
        <is>
          <t>JB-RB-B: reboiler (LP-DI01</t>
        </is>
      </c>
      <c r="H3354" s="12" t="inlineStr">
        <is>
          <t>RB-B: reboiler (LP steam from ST extraction)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10</v>
      </c>
      <c r="O3354" s="12" t="n">
        <v>1</v>
      </c>
      <c r="P3354" s="12" t="n"/>
      <c r="Q3354" s="12" t="n"/>
      <c r="R3354" s="12" t="n"/>
      <c r="S3354" s="12" t="inlineStr">
        <is>
          <t>Tray / conduit</t>
        </is>
      </c>
      <c r="T3354" s="17" t="n">
        <v>80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G-I-0206</t>
        </is>
      </c>
      <c r="B3355" s="12" t="inlineStr">
        <is>
          <t>G</t>
        </is>
      </c>
      <c r="C3355" s="12" t="inlineStr">
        <is>
          <t>Carbon capture</t>
        </is>
      </c>
      <c r="D3355" s="12" t="inlineStr">
        <is>
          <t>Home run JB-RB-B: reboiler (LP-DI01 to the control / marshalling room</t>
        </is>
      </c>
      <c r="E3355" s="12" t="inlineStr"/>
      <c r="F3355" s="12" t="inlineStr">
        <is>
          <t>CCS F&amp;G / control</t>
        </is>
      </c>
      <c r="G3355" s="12" t="inlineStr">
        <is>
          <t>JB-RB-B: reboiler (LP-DI01</t>
        </is>
      </c>
      <c r="H3355" s="12" t="inlineStr">
        <is>
          <t>RB-B: reboiler (LP steam from ST extraction)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216</v>
      </c>
      <c r="U3355" s="17" t="n">
        <v>111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G-I-0207</t>
        </is>
      </c>
      <c r="B3356" s="12" t="inlineStr">
        <is>
          <t>G</t>
        </is>
      </c>
      <c r="C3356" s="12" t="inlineStr">
        <is>
          <t>Carbon capture</t>
        </is>
      </c>
      <c r="D3356" s="12" t="inlineStr">
        <is>
          <t>Analog instrument to JB JB-RB-C: reboiler (LP-AI01: 15 x 1 pr (field cables)</t>
        </is>
      </c>
      <c r="E3356" s="12" t="inlineStr"/>
      <c r="F3356" s="12" t="inlineStr">
        <is>
          <t>RB-C: reboiler (LP steam from ST extraction)</t>
        </is>
      </c>
      <c r="G3356" s="12" t="inlineStr">
        <is>
          <t>JB-RB-C: reboiler (LP-AI01</t>
        </is>
      </c>
      <c r="H3356" s="12" t="inlineStr">
        <is>
          <t>RB-C: reboiler (LP steam from ST extraction)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15</v>
      </c>
      <c r="O3356" s="12" t="n">
        <v>1</v>
      </c>
      <c r="P3356" s="12" t="n"/>
      <c r="Q3356" s="12" t="n"/>
      <c r="R3356" s="12" t="n"/>
      <c r="S3356" s="12" t="inlineStr">
        <is>
          <t>Tray / conduit</t>
        </is>
      </c>
      <c r="T3356" s="17" t="n">
        <v>80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G-I-0208</t>
        </is>
      </c>
      <c r="B3357" s="12" t="inlineStr">
        <is>
          <t>G</t>
        </is>
      </c>
      <c r="C3357" s="12" t="inlineStr">
        <is>
          <t>Carbon capture</t>
        </is>
      </c>
      <c r="D3357" s="12" t="inlineStr">
        <is>
          <t>Home run JB-RB-C: reboiler (LP-AI01 to the control / marshalling room</t>
        </is>
      </c>
      <c r="E3357" s="12" t="inlineStr"/>
      <c r="F3357" s="12" t="inlineStr">
        <is>
          <t>CCS F&amp;G / control</t>
        </is>
      </c>
      <c r="G3357" s="12" t="inlineStr">
        <is>
          <t>JB-RB-C: reboiler (LP-AI01</t>
        </is>
      </c>
      <c r="H3357" s="12" t="inlineStr">
        <is>
          <t>RB-C: reboiler (LP steam from ST extraction)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161</v>
      </c>
      <c r="U3357" s="17" t="n">
        <v>116</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G-I-0209</t>
        </is>
      </c>
      <c r="B3358" s="12" t="inlineStr">
        <is>
          <t>G</t>
        </is>
      </c>
      <c r="C3358" s="12" t="inlineStr">
        <is>
          <t>Carbon capture</t>
        </is>
      </c>
      <c r="D3358" s="12" t="inlineStr">
        <is>
          <t>Discrete device to JB JB-RB-C: reboiler (LP-DI01: 10 x 1 pr (field cables)</t>
        </is>
      </c>
      <c r="E3358" s="12" t="inlineStr"/>
      <c r="F3358" s="12" t="inlineStr">
        <is>
          <t>RB-C: reboiler (LP steam from ST extraction)</t>
        </is>
      </c>
      <c r="G3358" s="12" t="inlineStr">
        <is>
          <t>JB-RB-C: reboiler (LP-DI01</t>
        </is>
      </c>
      <c r="H3358" s="12" t="inlineStr">
        <is>
          <t>RB-C: reboiler (LP steam from ST extraction)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10</v>
      </c>
      <c r="O3358" s="12" t="n">
        <v>1</v>
      </c>
      <c r="P3358" s="12" t="n"/>
      <c r="Q3358" s="12" t="n"/>
      <c r="R3358" s="12" t="n"/>
      <c r="S3358" s="12" t="inlineStr">
        <is>
          <t>Tray / conduit</t>
        </is>
      </c>
      <c r="T3358" s="17" t="n">
        <v>80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G-I-0210</t>
        </is>
      </c>
      <c r="B3359" s="12" t="inlineStr">
        <is>
          <t>G</t>
        </is>
      </c>
      <c r="C3359" s="12" t="inlineStr">
        <is>
          <t>Carbon capture</t>
        </is>
      </c>
      <c r="D3359" s="12" t="inlineStr">
        <is>
          <t>Home run JB-RB-C: reboiler (LP-DI01 to the control / marshalling room</t>
        </is>
      </c>
      <c r="E3359" s="12" t="inlineStr"/>
      <c r="F3359" s="12" t="inlineStr">
        <is>
          <t>CCS F&amp;G / control</t>
        </is>
      </c>
      <c r="G3359" s="12" t="inlineStr">
        <is>
          <t>JB-RB-C: reboiler (LP-DI01</t>
        </is>
      </c>
      <c r="H3359" s="12" t="inlineStr">
        <is>
          <t>RB-C: reboiler (LP steam from ST extraction)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161</v>
      </c>
      <c r="U3359" s="17" t="n">
        <v>116</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G-I-0211</t>
        </is>
      </c>
      <c r="B3360" s="12" t="inlineStr">
        <is>
          <t>G</t>
        </is>
      </c>
      <c r="C3360" s="12" t="inlineStr">
        <is>
          <t>Carbon capture</t>
        </is>
      </c>
      <c r="D3360" s="12" t="inlineStr">
        <is>
          <t>Analog instrument to JB JB-Reclaimer (thermal-AI01: 15 x 1 pr (field cables)</t>
        </is>
      </c>
      <c r="E3360" s="12" t="inlineStr"/>
      <c r="F3360" s="12" t="inlineStr">
        <is>
          <t>Reclaimer (thermal, intermittent)</t>
        </is>
      </c>
      <c r="G3360" s="12" t="inlineStr">
        <is>
          <t>JB-Reclaimer (thermal-AI01</t>
        </is>
      </c>
      <c r="H3360" s="12" t="inlineStr">
        <is>
          <t>Reclaimer (thermal, intermittent)</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15</v>
      </c>
      <c r="O3360" s="12" t="n">
        <v>1</v>
      </c>
      <c r="P3360" s="12" t="n"/>
      <c r="Q3360" s="12" t="n"/>
      <c r="R3360" s="12" t="n"/>
      <c r="S3360" s="12" t="inlineStr">
        <is>
          <t>Tray / conduit</t>
        </is>
      </c>
      <c r="T3360" s="17" t="n">
        <v>82</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G-I-0212</t>
        </is>
      </c>
      <c r="B3361" s="12" t="inlineStr">
        <is>
          <t>G</t>
        </is>
      </c>
      <c r="C3361" s="12" t="inlineStr">
        <is>
          <t>Carbon capture</t>
        </is>
      </c>
      <c r="D3361" s="12" t="inlineStr">
        <is>
          <t>Home run JB-Reclaimer (thermal-AI01 to the control / marshalling room</t>
        </is>
      </c>
      <c r="E3361" s="12" t="inlineStr"/>
      <c r="F3361" s="12" t="inlineStr">
        <is>
          <t>CCS F&amp;G / control</t>
        </is>
      </c>
      <c r="G3361" s="12" t="inlineStr">
        <is>
          <t>JB-Reclaimer (thermal-AI01</t>
        </is>
      </c>
      <c r="H3361" s="12" t="inlineStr">
        <is>
          <t>Reclaimer (thermal, intermittent)</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130</v>
      </c>
      <c r="U3361" s="17" t="n">
        <v>102</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G-I-0213</t>
        </is>
      </c>
      <c r="B3362" s="12" t="inlineStr">
        <is>
          <t>G</t>
        </is>
      </c>
      <c r="C3362" s="12" t="inlineStr">
        <is>
          <t>Carbon capture</t>
        </is>
      </c>
      <c r="D3362" s="12" t="inlineStr">
        <is>
          <t>Discrete device to JB JB-Reclaimer (thermal-DI01: 10 x 1 pr (field cables)</t>
        </is>
      </c>
      <c r="E3362" s="12" t="inlineStr"/>
      <c r="F3362" s="12" t="inlineStr">
        <is>
          <t>Reclaimer (thermal, intermittent)</t>
        </is>
      </c>
      <c r="G3362" s="12" t="inlineStr">
        <is>
          <t>JB-Reclaimer (thermal-DI01</t>
        </is>
      </c>
      <c r="H3362" s="12" t="inlineStr">
        <is>
          <t>Reclaimer (thermal, intermittent)</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7" t="n">
        <v>82</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G-I-0214</t>
        </is>
      </c>
      <c r="B3363" s="12" t="inlineStr">
        <is>
          <t>G</t>
        </is>
      </c>
      <c r="C3363" s="12" t="inlineStr">
        <is>
          <t>Carbon capture</t>
        </is>
      </c>
      <c r="D3363" s="12" t="inlineStr">
        <is>
          <t>Home run JB-Reclaimer (thermal-DI01 to the control / marshalling room</t>
        </is>
      </c>
      <c r="E3363" s="12" t="inlineStr"/>
      <c r="F3363" s="12" t="inlineStr">
        <is>
          <t>CCS F&amp;G / control</t>
        </is>
      </c>
      <c r="G3363" s="12" t="inlineStr">
        <is>
          <t>JB-Reclaimer (thermal-DI01</t>
        </is>
      </c>
      <c r="H3363" s="12" t="inlineStr">
        <is>
          <t>Reclaimer (thermal, intermittent)</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130</v>
      </c>
      <c r="U3363" s="17" t="n">
        <v>102</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G-I-0215</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A</t>
        </is>
      </c>
      <c r="G3364" s="12" t="inlineStr">
        <is>
          <t>JB-Rich/lean pumps, c-AI01</t>
        </is>
      </c>
      <c r="H3364" s="12" t="inlineStr">
        <is>
          <t>Rich/lean pumps, cross exchanger, lean cooler A</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84</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G-I-0216</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A</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7" t="n">
        <v>834</v>
      </c>
      <c r="U3365" s="17" t="n">
        <v>181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G-I-0217</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A</t>
        </is>
      </c>
      <c r="G3366" s="12" t="inlineStr">
        <is>
          <t>JB-Rich/lean pumps, c-DI01</t>
        </is>
      </c>
      <c r="H3366" s="12" t="inlineStr">
        <is>
          <t>Rich/lean pumps, cross exchanger, lean cooler A</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84</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G-I-0218</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A</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Tray</t>
        </is>
      </c>
      <c r="T3367" s="17" t="n">
        <v>834</v>
      </c>
      <c r="U3367" s="17" t="n">
        <v>181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G-I-0219</t>
        </is>
      </c>
      <c r="B3368" s="12" t="inlineStr">
        <is>
          <t>G</t>
        </is>
      </c>
      <c r="C3368" s="12" t="inlineStr">
        <is>
          <t>Carbon capture</t>
        </is>
      </c>
      <c r="D3368" s="12" t="inlineStr">
        <is>
          <t>RTD to JB JB-Rich/lean pumps, c-RTD01: 10 x 1 tri (field cables)</t>
        </is>
      </c>
      <c r="E3368" s="12" t="inlineStr"/>
      <c r="F3368" s="12" t="inlineStr">
        <is>
          <t>Rich/lean pumps, cross exchanger, lean cooler A</t>
        </is>
      </c>
      <c r="G3368" s="12" t="inlineStr">
        <is>
          <t>JB-Rich/lean pumps, c-RTD01</t>
        </is>
      </c>
      <c r="H3368" s="12" t="inlineStr">
        <is>
          <t>Rich/lean pumps, cross exchanger, lean cooler A</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7" t="n">
        <v>84</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G-I-0220</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A</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Tray</t>
        </is>
      </c>
      <c r="T3369" s="17" t="n">
        <v>834</v>
      </c>
      <c r="U3369" s="17" t="n">
        <v>181</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G-I-0221</t>
        </is>
      </c>
      <c r="B3370" s="12" t="inlineStr">
        <is>
          <t>G</t>
        </is>
      </c>
      <c r="C3370" s="12" t="inlineStr">
        <is>
          <t>Carbon capture</t>
        </is>
      </c>
      <c r="D3370" s="12" t="inlineStr">
        <is>
          <t>RTD to JB JB-Rich/lean pumps, c-RTD02: 2 x 1 tri (field cables)</t>
        </is>
      </c>
      <c r="E3370" s="12" t="inlineStr"/>
      <c r="F3370" s="12" t="inlineStr">
        <is>
          <t>Rich/lean pumps, cross exchanger, lean cooler A</t>
        </is>
      </c>
      <c r="G3370" s="12" t="inlineStr">
        <is>
          <t>JB-Rich/lean pumps, c-RTD02</t>
        </is>
      </c>
      <c r="H3370" s="12" t="inlineStr">
        <is>
          <t>Rich/lean pumps, cross exchanger, lean cooler A</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7" t="n">
        <v>84</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G-I-0222</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A</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Tray</t>
        </is>
      </c>
      <c r="T3371" s="17" t="n">
        <v>834</v>
      </c>
      <c r="U3371" s="17" t="n">
        <v>181</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G-I-0223</t>
        </is>
      </c>
      <c r="B3372" s="12" t="inlineStr">
        <is>
          <t>G</t>
        </is>
      </c>
      <c r="C3372" s="12" t="inlineStr">
        <is>
          <t>Carbon capture</t>
        </is>
      </c>
      <c r="D3372" s="12" t="inlineStr">
        <is>
          <t>Analog instrument to JB JB-Rich/lean pumps, c-AI01: 20 x 1 pr (field cables)</t>
        </is>
      </c>
      <c r="E3372" s="12" t="inlineStr"/>
      <c r="F3372" s="12" t="inlineStr">
        <is>
          <t>Rich/lean pumps, cross exchanger, lean cooler B</t>
        </is>
      </c>
      <c r="G3372" s="12" t="inlineStr">
        <is>
          <t>JB-Rich/lean pumps, c-AI01</t>
        </is>
      </c>
      <c r="H3372" s="12" t="inlineStr">
        <is>
          <t>Rich/lean pumps, cross exchanger, lean cooler B</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7" t="n">
        <v>84</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G-I-0224</t>
        </is>
      </c>
      <c r="B3373" s="12" t="inlineStr">
        <is>
          <t>G</t>
        </is>
      </c>
      <c r="C3373" s="12" t="inlineStr">
        <is>
          <t>Carbon capture</t>
        </is>
      </c>
      <c r="D3373" s="12" t="inlineStr">
        <is>
          <t>Home run JB-Rich/lean pumps, c-AI01 to the control / marshalling room</t>
        </is>
      </c>
      <c r="E3373" s="12" t="inlineStr"/>
      <c r="F3373" s="12" t="inlineStr">
        <is>
          <t>CCS F&amp;G / control</t>
        </is>
      </c>
      <c r="G3373" s="12" t="inlineStr">
        <is>
          <t>JB-Rich/lean pumps, c-AI01</t>
        </is>
      </c>
      <c r="H3373" s="12" t="inlineStr">
        <is>
          <t>Rich/lean pumps, cross exchanger, lean cooler B</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674</v>
      </c>
      <c r="U3373" s="17" t="n">
        <v>181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G-I-0225</t>
        </is>
      </c>
      <c r="B3374" s="12" t="inlineStr">
        <is>
          <t>G</t>
        </is>
      </c>
      <c r="C3374" s="12" t="inlineStr">
        <is>
          <t>Carbon capture</t>
        </is>
      </c>
      <c r="D3374" s="12" t="inlineStr">
        <is>
          <t>Discrete device to JB JB-Rich/lean pumps, c-DI01: 20 x 1 pr (field cables)</t>
        </is>
      </c>
      <c r="E3374" s="12" t="inlineStr"/>
      <c r="F3374" s="12" t="inlineStr">
        <is>
          <t>Rich/lean pumps, cross exchanger, lean cooler B</t>
        </is>
      </c>
      <c r="G3374" s="12" t="inlineStr">
        <is>
          <t>JB-Rich/lean pumps, c-DI01</t>
        </is>
      </c>
      <c r="H3374" s="12" t="inlineStr">
        <is>
          <t>Rich/lean pumps, cross exchanger, lean cooler B</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7" t="n">
        <v>84</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G-I-0226</t>
        </is>
      </c>
      <c r="B3375" s="12" t="inlineStr">
        <is>
          <t>G</t>
        </is>
      </c>
      <c r="C3375" s="12" t="inlineStr">
        <is>
          <t>Carbon capture</t>
        </is>
      </c>
      <c r="D3375" s="12" t="inlineStr">
        <is>
          <t>Home run JB-Rich/lean pumps, c-DI01 to the control / marshalling room</t>
        </is>
      </c>
      <c r="E3375" s="12" t="inlineStr"/>
      <c r="F3375" s="12" t="inlineStr">
        <is>
          <t>CCS F&amp;G / control</t>
        </is>
      </c>
      <c r="G3375" s="12" t="inlineStr">
        <is>
          <t>JB-Rich/lean pumps, c-DI01</t>
        </is>
      </c>
      <c r="H3375" s="12" t="inlineStr">
        <is>
          <t>Rich/lean pumps, cross exchanger, lean cooler B</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674</v>
      </c>
      <c r="U3375" s="17" t="n">
        <v>181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G-I-0227</t>
        </is>
      </c>
      <c r="B3376" s="12" t="inlineStr">
        <is>
          <t>G</t>
        </is>
      </c>
      <c r="C3376" s="12" t="inlineStr">
        <is>
          <t>Carbon capture</t>
        </is>
      </c>
      <c r="D3376" s="12" t="inlineStr">
        <is>
          <t>RTD to JB JB-Rich/lean pumps, c-RTD01: 10 x 1 tri (field cables)</t>
        </is>
      </c>
      <c r="E3376" s="12" t="inlineStr"/>
      <c r="F3376" s="12" t="inlineStr">
        <is>
          <t>Rich/lean pumps, cross exchanger, lean cooler B</t>
        </is>
      </c>
      <c r="G3376" s="12" t="inlineStr">
        <is>
          <t>JB-Rich/lean pumps, c-RTD01</t>
        </is>
      </c>
      <c r="H3376" s="12" t="inlineStr">
        <is>
          <t>Rich/lean pumps, cross exchanger, lean cooler B</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7" t="n">
        <v>84</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G-I-0228</t>
        </is>
      </c>
      <c r="B3377" s="12" t="inlineStr">
        <is>
          <t>G</t>
        </is>
      </c>
      <c r="C3377" s="12" t="inlineStr">
        <is>
          <t>Carbon capture</t>
        </is>
      </c>
      <c r="D3377" s="12" t="inlineStr">
        <is>
          <t>Home run JB-Rich/lean pumps, c-RTD01 to the control / marshalling room</t>
        </is>
      </c>
      <c r="E3377" s="12" t="inlineStr"/>
      <c r="F3377" s="12" t="inlineStr">
        <is>
          <t>CCS F&amp;G / control</t>
        </is>
      </c>
      <c r="G3377" s="12" t="inlineStr">
        <is>
          <t>JB-Rich/lean pumps, c-RTD01</t>
        </is>
      </c>
      <c r="H3377" s="12" t="inlineStr">
        <is>
          <t>Rich/lean pumps, cross exchanger, lean cooler B</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7" t="n">
        <v>674</v>
      </c>
      <c r="U3377" s="17" t="n">
        <v>181</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G-I-0229</t>
        </is>
      </c>
      <c r="B3378" s="12" t="inlineStr">
        <is>
          <t>G</t>
        </is>
      </c>
      <c r="C3378" s="12" t="inlineStr">
        <is>
          <t>Carbon capture</t>
        </is>
      </c>
      <c r="D3378" s="12" t="inlineStr">
        <is>
          <t>RTD to JB JB-Rich/lean pumps, c-RTD02: 2 x 1 tri (field cables)</t>
        </is>
      </c>
      <c r="E3378" s="12" t="inlineStr"/>
      <c r="F3378" s="12" t="inlineStr">
        <is>
          <t>Rich/lean pumps, cross exchanger, lean cooler B</t>
        </is>
      </c>
      <c r="G3378" s="12" t="inlineStr">
        <is>
          <t>JB-Rich/lean pumps, c-RTD02</t>
        </is>
      </c>
      <c r="H3378" s="12" t="inlineStr">
        <is>
          <t>Rich/lean pumps, cross exchanger, lean cooler B</t>
        </is>
      </c>
      <c r="I3378" s="12" t="inlineStr">
        <is>
          <t>Instrumentation</t>
        </is>
      </c>
      <c r="J3378" s="12" t="inlineStr">
        <is>
          <t>RTD cable, #18 shielded triads, PLTC</t>
        </is>
      </c>
      <c r="K3378" s="12" t="inlineStr">
        <is>
          <t>RTD|1 tri|18</t>
        </is>
      </c>
      <c r="L3378" s="12" t="inlineStr">
        <is>
          <t>1 tri</t>
        </is>
      </c>
      <c r="M3378" s="12" t="inlineStr">
        <is>
          <t>18</t>
        </is>
      </c>
      <c r="N3378" s="12" t="n">
        <v>2</v>
      </c>
      <c r="O3378" s="12" t="n">
        <v>1</v>
      </c>
      <c r="P3378" s="12" t="n"/>
      <c r="Q3378" s="12" t="n"/>
      <c r="R3378" s="12" t="n"/>
      <c r="S3378" s="12" t="inlineStr">
        <is>
          <t>Tray / conduit</t>
        </is>
      </c>
      <c r="T3378" s="17" t="n">
        <v>84</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G-I-0230</t>
        </is>
      </c>
      <c r="B3379" s="12" t="inlineStr">
        <is>
          <t>G</t>
        </is>
      </c>
      <c r="C3379" s="12" t="inlineStr">
        <is>
          <t>Carbon capture</t>
        </is>
      </c>
      <c r="D3379" s="12" t="inlineStr">
        <is>
          <t>Home run JB-Rich/lean pumps, c-RTD02 to the control / marshalling room</t>
        </is>
      </c>
      <c r="E3379" s="12" t="inlineStr"/>
      <c r="F3379" s="12" t="inlineStr">
        <is>
          <t>CCS F&amp;G / control</t>
        </is>
      </c>
      <c r="G3379" s="12" t="inlineStr">
        <is>
          <t>JB-Rich/lean pumps, c-RTD02</t>
        </is>
      </c>
      <c r="H3379" s="12" t="inlineStr">
        <is>
          <t>Rich/lean pumps, cross exchanger, lean cooler B</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7" t="n">
        <v>674</v>
      </c>
      <c r="U3379" s="17" t="n">
        <v>181</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G-I-0231</t>
        </is>
      </c>
      <c r="B3380" s="12" t="inlineStr">
        <is>
          <t>G</t>
        </is>
      </c>
      <c r="C3380" s="12" t="inlineStr">
        <is>
          <t>Carbon capture</t>
        </is>
      </c>
      <c r="D3380" s="12" t="inlineStr">
        <is>
          <t>Analog instrument to JB JB-Rich/lean pumps, c-AI01: 20 x 1 pr (field cables)</t>
        </is>
      </c>
      <c r="E3380" s="12" t="inlineStr"/>
      <c r="F3380" s="12" t="inlineStr">
        <is>
          <t>Rich/lean pumps, cross exchanger, lean cooler C</t>
        </is>
      </c>
      <c r="G3380" s="12" t="inlineStr">
        <is>
          <t>JB-Rich/lean pumps, c-AI01</t>
        </is>
      </c>
      <c r="H3380" s="12" t="inlineStr">
        <is>
          <t>Rich/lean pumps, cross exchanger, lean cooler C</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84</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G-I-0232</t>
        </is>
      </c>
      <c r="B3381" s="12" t="inlineStr">
        <is>
          <t>G</t>
        </is>
      </c>
      <c r="C3381" s="12" t="inlineStr">
        <is>
          <t>Carbon capture</t>
        </is>
      </c>
      <c r="D3381" s="12" t="inlineStr">
        <is>
          <t>Home run JB-Rich/lean pumps, c-AI01 to the control / marshalling room</t>
        </is>
      </c>
      <c r="E3381" s="12" t="inlineStr"/>
      <c r="F3381" s="12" t="inlineStr">
        <is>
          <t>CCS F&amp;G / control</t>
        </is>
      </c>
      <c r="G3381" s="12" t="inlineStr">
        <is>
          <t>JB-Rich/lean pumps, c-AI01</t>
        </is>
      </c>
      <c r="H3381" s="12" t="inlineStr">
        <is>
          <t>Rich/lean pumps, cross exchanger, lean cooler C</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299</v>
      </c>
      <c r="U3381" s="17" t="n">
        <v>138</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G-I-0233</t>
        </is>
      </c>
      <c r="B3382" s="12" t="inlineStr">
        <is>
          <t>G</t>
        </is>
      </c>
      <c r="C3382" s="12" t="inlineStr">
        <is>
          <t>Carbon capture</t>
        </is>
      </c>
      <c r="D3382" s="12" t="inlineStr">
        <is>
          <t>Discrete device to JB JB-Rich/lean pumps, c-DI01: 20 x 1 pr (field cables)</t>
        </is>
      </c>
      <c r="E3382" s="12" t="inlineStr"/>
      <c r="F3382" s="12" t="inlineStr">
        <is>
          <t>Rich/lean pumps, cross exchanger, lean cooler C</t>
        </is>
      </c>
      <c r="G3382" s="12" t="inlineStr">
        <is>
          <t>JB-Rich/lean pumps, c-DI01</t>
        </is>
      </c>
      <c r="H3382" s="12" t="inlineStr">
        <is>
          <t>Rich/lean pumps, cross exchanger, lean cooler C</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84</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G-I-0234</t>
        </is>
      </c>
      <c r="B3383" s="12" t="inlineStr">
        <is>
          <t>G</t>
        </is>
      </c>
      <c r="C3383" s="12" t="inlineStr">
        <is>
          <t>Carbon capture</t>
        </is>
      </c>
      <c r="D3383" s="12" t="inlineStr">
        <is>
          <t>Home run JB-Rich/lean pumps, c-DI01 to the control / marshalling room</t>
        </is>
      </c>
      <c r="E3383" s="12" t="inlineStr"/>
      <c r="F3383" s="12" t="inlineStr">
        <is>
          <t>CCS F&amp;G / control</t>
        </is>
      </c>
      <c r="G3383" s="12" t="inlineStr">
        <is>
          <t>JB-Rich/lean pumps, c-DI01</t>
        </is>
      </c>
      <c r="H3383" s="12" t="inlineStr">
        <is>
          <t>Rich/lean pumps, cross exchanger, lean cooler C</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299</v>
      </c>
      <c r="U3383" s="17" t="n">
        <v>138</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G-I-0235</t>
        </is>
      </c>
      <c r="B3384" s="12" t="inlineStr">
        <is>
          <t>G</t>
        </is>
      </c>
      <c r="C3384" s="12" t="inlineStr">
        <is>
          <t>Carbon capture</t>
        </is>
      </c>
      <c r="D3384" s="12" t="inlineStr">
        <is>
          <t>RTD to JB JB-Rich/lean pumps, c-RTD01: 10 x 1 tri (field cables)</t>
        </is>
      </c>
      <c r="E3384" s="12" t="inlineStr"/>
      <c r="F3384" s="12" t="inlineStr">
        <is>
          <t>Rich/lean pumps, cross exchanger, lean cooler C</t>
        </is>
      </c>
      <c r="G3384" s="12" t="inlineStr">
        <is>
          <t>JB-Rich/lean pumps, c-RTD01</t>
        </is>
      </c>
      <c r="H3384" s="12" t="inlineStr">
        <is>
          <t>Rich/lean pumps, cross exchanger, lean cooler C</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7" t="n">
        <v>84</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G-I-0236</t>
        </is>
      </c>
      <c r="B3385" s="12" t="inlineStr">
        <is>
          <t>G</t>
        </is>
      </c>
      <c r="C3385" s="12" t="inlineStr">
        <is>
          <t>Carbon capture</t>
        </is>
      </c>
      <c r="D3385" s="12" t="inlineStr">
        <is>
          <t>Home run JB-Rich/lean pumps, c-RTD01 to the control / marshalling room</t>
        </is>
      </c>
      <c r="E3385" s="12" t="inlineStr"/>
      <c r="F3385" s="12" t="inlineStr">
        <is>
          <t>CCS F&amp;G / control</t>
        </is>
      </c>
      <c r="G3385" s="12" t="inlineStr">
        <is>
          <t>JB-Rich/lean pumps, c-RTD01</t>
        </is>
      </c>
      <c r="H3385" s="12" t="inlineStr">
        <is>
          <t>Rich/lean pumps, cross exchanger, lean cooler C</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7" t="n">
        <v>299</v>
      </c>
      <c r="U3385" s="17" t="n">
        <v>138</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G-I-0237</t>
        </is>
      </c>
      <c r="B3386" s="12" t="inlineStr">
        <is>
          <t>G</t>
        </is>
      </c>
      <c r="C3386" s="12" t="inlineStr">
        <is>
          <t>Carbon capture</t>
        </is>
      </c>
      <c r="D3386" s="12" t="inlineStr">
        <is>
          <t>RTD to JB JB-Rich/lean pumps, c-RTD02: 2 x 1 tri (field cables)</t>
        </is>
      </c>
      <c r="E3386" s="12" t="inlineStr"/>
      <c r="F3386" s="12" t="inlineStr">
        <is>
          <t>Rich/lean pumps, cross exchanger, lean cooler C</t>
        </is>
      </c>
      <c r="G3386" s="12" t="inlineStr">
        <is>
          <t>JB-Rich/lean pumps, c-RTD02</t>
        </is>
      </c>
      <c r="H3386" s="12" t="inlineStr">
        <is>
          <t>Rich/lean pumps, cross exchanger, lean cooler C</t>
        </is>
      </c>
      <c r="I3386" s="12" t="inlineStr">
        <is>
          <t>Instrumentation</t>
        </is>
      </c>
      <c r="J3386" s="12" t="inlineStr">
        <is>
          <t>RTD cable, #18 shielded triads, PLTC</t>
        </is>
      </c>
      <c r="K3386" s="12" t="inlineStr">
        <is>
          <t>RTD|1 tri|18</t>
        </is>
      </c>
      <c r="L3386" s="12" t="inlineStr">
        <is>
          <t>1 tri</t>
        </is>
      </c>
      <c r="M3386" s="12" t="inlineStr">
        <is>
          <t>18</t>
        </is>
      </c>
      <c r="N3386" s="12" t="n">
        <v>2</v>
      </c>
      <c r="O3386" s="12" t="n">
        <v>1</v>
      </c>
      <c r="P3386" s="12" t="n"/>
      <c r="Q3386" s="12" t="n"/>
      <c r="R3386" s="12" t="n"/>
      <c r="S3386" s="12" t="inlineStr">
        <is>
          <t>Tray / conduit</t>
        </is>
      </c>
      <c r="T3386" s="17" t="n">
        <v>84</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G-I-0238</t>
        </is>
      </c>
      <c r="B3387" s="12" t="inlineStr">
        <is>
          <t>G</t>
        </is>
      </c>
      <c r="C3387" s="12" t="inlineStr">
        <is>
          <t>Carbon capture</t>
        </is>
      </c>
      <c r="D3387" s="12" t="inlineStr">
        <is>
          <t>Home run JB-Rich/lean pumps, c-RTD02 to the control / marshalling room</t>
        </is>
      </c>
      <c r="E3387" s="12" t="inlineStr"/>
      <c r="F3387" s="12" t="inlineStr">
        <is>
          <t>CCS F&amp;G / control</t>
        </is>
      </c>
      <c r="G3387" s="12" t="inlineStr">
        <is>
          <t>JB-Rich/lean pumps, c-RTD02</t>
        </is>
      </c>
      <c r="H3387" s="12" t="inlineStr">
        <is>
          <t>Rich/lean pumps, cross exchanger, lean cooler C</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7" t="n">
        <v>299</v>
      </c>
      <c r="U3387" s="17" t="n">
        <v>138</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G-I-0239</t>
        </is>
      </c>
      <c r="B3388" s="12" t="inlineStr">
        <is>
          <t>G</t>
        </is>
      </c>
      <c r="C3388" s="12" t="inlineStr">
        <is>
          <t>Carbon capture</t>
        </is>
      </c>
      <c r="D3388" s="12" t="inlineStr">
        <is>
          <t>Analog instrument to JB JB-STR-A-AI01: 20 x 1 pr (field cables)</t>
        </is>
      </c>
      <c r="E3388" s="12" t="inlineStr">
        <is>
          <t>STR-A</t>
        </is>
      </c>
      <c r="F3388" s="12" t="inlineStr">
        <is>
          <t>STR-A: stripper / regenerator (45 ft dia x 207 ft)</t>
        </is>
      </c>
      <c r="G3388" s="12" t="inlineStr">
        <is>
          <t>JB-STR-A-AI01</t>
        </is>
      </c>
      <c r="H3388" s="12" t="inlineStr">
        <is>
          <t>STR-A: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153</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G-I-0240</t>
        </is>
      </c>
      <c r="B3389" s="12" t="inlineStr">
        <is>
          <t>G</t>
        </is>
      </c>
      <c r="C3389" s="12" t="inlineStr">
        <is>
          <t>Carbon capture</t>
        </is>
      </c>
      <c r="D3389" s="12" t="inlineStr">
        <is>
          <t>Home run JB-STR-A-AI01 to the control / marshalling room</t>
        </is>
      </c>
      <c r="E3389" s="12" t="inlineStr"/>
      <c r="F3389" s="12" t="inlineStr">
        <is>
          <t>CCS F&amp;G / control</t>
        </is>
      </c>
      <c r="G3389" s="12" t="inlineStr">
        <is>
          <t>JB-STR-A-AI01</t>
        </is>
      </c>
      <c r="H3389" s="12" t="inlineStr">
        <is>
          <t>STR-A: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329</v>
      </c>
      <c r="U3389" s="17" t="n">
        <v>106</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G-I-0241</t>
        </is>
      </c>
      <c r="B3390" s="12" t="inlineStr">
        <is>
          <t>G</t>
        </is>
      </c>
      <c r="C3390" s="12" t="inlineStr">
        <is>
          <t>Carbon capture</t>
        </is>
      </c>
      <c r="D3390" s="12" t="inlineStr">
        <is>
          <t>Analog instrument to JB JB-STR-A-AI02: 20 x 1 pr (field cables)</t>
        </is>
      </c>
      <c r="E3390" s="12" t="inlineStr">
        <is>
          <t>STR-A</t>
        </is>
      </c>
      <c r="F3390" s="12" t="inlineStr">
        <is>
          <t>STR-A: stripper / regenerator (45 ft dia x 207 ft)</t>
        </is>
      </c>
      <c r="G3390" s="12" t="inlineStr">
        <is>
          <t>JB-STR-A-AI02</t>
        </is>
      </c>
      <c r="H3390" s="12" t="inlineStr">
        <is>
          <t>STR-A: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7" t="n">
        <v>153</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G-I-0242</t>
        </is>
      </c>
      <c r="B3391" s="12" t="inlineStr">
        <is>
          <t>G</t>
        </is>
      </c>
      <c r="C3391" s="12" t="inlineStr">
        <is>
          <t>Carbon capture</t>
        </is>
      </c>
      <c r="D3391" s="12" t="inlineStr">
        <is>
          <t>Home run JB-STR-A-AI02 to the control / marshalling room</t>
        </is>
      </c>
      <c r="E3391" s="12" t="inlineStr"/>
      <c r="F3391" s="12" t="inlineStr">
        <is>
          <t>CCS F&amp;G / control</t>
        </is>
      </c>
      <c r="G3391" s="12" t="inlineStr">
        <is>
          <t>JB-STR-A-AI02</t>
        </is>
      </c>
      <c r="H3391" s="12" t="inlineStr">
        <is>
          <t>STR-A: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329</v>
      </c>
      <c r="U3391" s="17" t="n">
        <v>106</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G-I-0243</t>
        </is>
      </c>
      <c r="B3392" s="12" t="inlineStr">
        <is>
          <t>G</t>
        </is>
      </c>
      <c r="C3392" s="12" t="inlineStr">
        <is>
          <t>Carbon capture</t>
        </is>
      </c>
      <c r="D3392" s="12" t="inlineStr">
        <is>
          <t>Analog instrument to JB JB-STR-A-AI03: 10 x 1 pr (field cables)</t>
        </is>
      </c>
      <c r="E3392" s="12" t="inlineStr">
        <is>
          <t>STR-A</t>
        </is>
      </c>
      <c r="F3392" s="12" t="inlineStr">
        <is>
          <t>STR-A: stripper / regenerator (45 ft dia x 207 ft)</t>
        </is>
      </c>
      <c r="G3392" s="12" t="inlineStr">
        <is>
          <t>JB-STR-A-AI03</t>
        </is>
      </c>
      <c r="H3392" s="12" t="inlineStr">
        <is>
          <t>STR-A: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7" t="n">
        <v>153</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G-I-0244</t>
        </is>
      </c>
      <c r="B3393" s="12" t="inlineStr">
        <is>
          <t>G</t>
        </is>
      </c>
      <c r="C3393" s="12" t="inlineStr">
        <is>
          <t>Carbon capture</t>
        </is>
      </c>
      <c r="D3393" s="12" t="inlineStr">
        <is>
          <t>Home run JB-STR-A-AI03 to the control / marshalling room</t>
        </is>
      </c>
      <c r="E3393" s="12" t="inlineStr"/>
      <c r="F3393" s="12" t="inlineStr">
        <is>
          <t>CCS F&amp;G / control</t>
        </is>
      </c>
      <c r="G3393" s="12" t="inlineStr">
        <is>
          <t>JB-STR-A-AI03</t>
        </is>
      </c>
      <c r="H3393" s="12" t="inlineStr">
        <is>
          <t>STR-A: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329</v>
      </c>
      <c r="U3393" s="17" t="n">
        <v>106</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G-I-0245</t>
        </is>
      </c>
      <c r="B3394" s="12" t="inlineStr">
        <is>
          <t>G</t>
        </is>
      </c>
      <c r="C3394" s="12" t="inlineStr">
        <is>
          <t>Carbon capture</t>
        </is>
      </c>
      <c r="D3394" s="12" t="inlineStr">
        <is>
          <t>Discrete device to JB JB-STR-A-DI01: 20 x 1 pr (field cables)</t>
        </is>
      </c>
      <c r="E3394" s="12" t="inlineStr">
        <is>
          <t>STR-A</t>
        </is>
      </c>
      <c r="F3394" s="12" t="inlineStr">
        <is>
          <t>STR-A: stripper / regenerator (45 ft dia x 207 ft)</t>
        </is>
      </c>
      <c r="G3394" s="12" t="inlineStr">
        <is>
          <t>JB-STR-A-DI01</t>
        </is>
      </c>
      <c r="H3394" s="12" t="inlineStr">
        <is>
          <t>STR-A: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153</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G-I-0246</t>
        </is>
      </c>
      <c r="B3395" s="12" t="inlineStr">
        <is>
          <t>G</t>
        </is>
      </c>
      <c r="C3395" s="12" t="inlineStr">
        <is>
          <t>Carbon capture</t>
        </is>
      </c>
      <c r="D3395" s="12" t="inlineStr">
        <is>
          <t>Home run JB-STR-A-DI01 to the control / marshalling room</t>
        </is>
      </c>
      <c r="E3395" s="12" t="inlineStr"/>
      <c r="F3395" s="12" t="inlineStr">
        <is>
          <t>CCS F&amp;G / control</t>
        </is>
      </c>
      <c r="G3395" s="12" t="inlineStr">
        <is>
          <t>JB-STR-A-DI01</t>
        </is>
      </c>
      <c r="H3395" s="12" t="inlineStr">
        <is>
          <t>STR-A: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329</v>
      </c>
      <c r="U3395" s="17" t="n">
        <v>106</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G-I-0247</t>
        </is>
      </c>
      <c r="B3396" s="12" t="inlineStr">
        <is>
          <t>G</t>
        </is>
      </c>
      <c r="C3396" s="12" t="inlineStr">
        <is>
          <t>Carbon capture</t>
        </is>
      </c>
      <c r="D3396" s="12" t="inlineStr">
        <is>
          <t>Discrete device to JB JB-STR-A-DI02: 10 x 1 pr (field cables)</t>
        </is>
      </c>
      <c r="E3396" s="12" t="inlineStr">
        <is>
          <t>STR-A</t>
        </is>
      </c>
      <c r="F3396" s="12" t="inlineStr">
        <is>
          <t>STR-A: stripper / regenerator (45 ft dia x 207 ft)</t>
        </is>
      </c>
      <c r="G3396" s="12" t="inlineStr">
        <is>
          <t>JB-STR-A-DI02</t>
        </is>
      </c>
      <c r="H3396" s="12" t="inlineStr">
        <is>
          <t>STR-A: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7" t="n">
        <v>153</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G-I-0248</t>
        </is>
      </c>
      <c r="B3397" s="12" t="inlineStr">
        <is>
          <t>G</t>
        </is>
      </c>
      <c r="C3397" s="12" t="inlineStr">
        <is>
          <t>Carbon capture</t>
        </is>
      </c>
      <c r="D3397" s="12" t="inlineStr">
        <is>
          <t>Home run JB-STR-A-DI02 to the control / marshalling room</t>
        </is>
      </c>
      <c r="E3397" s="12" t="inlineStr"/>
      <c r="F3397" s="12" t="inlineStr">
        <is>
          <t>CCS F&amp;G / control</t>
        </is>
      </c>
      <c r="G3397" s="12" t="inlineStr">
        <is>
          <t>JB-STR-A-DI02</t>
        </is>
      </c>
      <c r="H3397" s="12" t="inlineStr">
        <is>
          <t>STR-A: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329</v>
      </c>
      <c r="U3397" s="17" t="n">
        <v>106</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G-I-0249</t>
        </is>
      </c>
      <c r="B3398" s="12" t="inlineStr">
        <is>
          <t>G</t>
        </is>
      </c>
      <c r="C3398" s="12" t="inlineStr">
        <is>
          <t>Carbon capture</t>
        </is>
      </c>
      <c r="D3398" s="12" t="inlineStr">
        <is>
          <t>Analog instrument to JB JB-STR-B-AI01: 20 x 1 pr (field cables)</t>
        </is>
      </c>
      <c r="E3398" s="12" t="inlineStr">
        <is>
          <t>STR-B</t>
        </is>
      </c>
      <c r="F3398" s="12" t="inlineStr">
        <is>
          <t>STR-B: stripper / regenerator (45 ft dia x 207 ft)</t>
        </is>
      </c>
      <c r="G3398" s="12" t="inlineStr">
        <is>
          <t>JB-STR-B-AI01</t>
        </is>
      </c>
      <c r="H3398" s="12" t="inlineStr">
        <is>
          <t>STR-B: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153</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G-I-0250</t>
        </is>
      </c>
      <c r="B3399" s="12" t="inlineStr">
        <is>
          <t>G</t>
        </is>
      </c>
      <c r="C3399" s="12" t="inlineStr">
        <is>
          <t>Carbon capture</t>
        </is>
      </c>
      <c r="D3399" s="12" t="inlineStr">
        <is>
          <t>Home run JB-STR-B-AI01 to the control / marshalling room</t>
        </is>
      </c>
      <c r="E3399" s="12" t="inlineStr"/>
      <c r="F3399" s="12" t="inlineStr">
        <is>
          <t>CCS F&amp;G / control</t>
        </is>
      </c>
      <c r="G3399" s="12" t="inlineStr">
        <is>
          <t>JB-STR-B-AI01</t>
        </is>
      </c>
      <c r="H3399" s="12" t="inlineStr">
        <is>
          <t>STR-B: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279</v>
      </c>
      <c r="U3399" s="17" t="n">
        <v>106</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G-I-0251</t>
        </is>
      </c>
      <c r="B3400" s="12" t="inlineStr">
        <is>
          <t>G</t>
        </is>
      </c>
      <c r="C3400" s="12" t="inlineStr">
        <is>
          <t>Carbon capture</t>
        </is>
      </c>
      <c r="D3400" s="12" t="inlineStr">
        <is>
          <t>Analog instrument to JB JB-STR-B-AI02: 20 x 1 pr (field cables)</t>
        </is>
      </c>
      <c r="E3400" s="12" t="inlineStr">
        <is>
          <t>STR-B</t>
        </is>
      </c>
      <c r="F3400" s="12" t="inlineStr">
        <is>
          <t>STR-B: stripper / regenerator (45 ft dia x 207 ft)</t>
        </is>
      </c>
      <c r="G3400" s="12" t="inlineStr">
        <is>
          <t>JB-STR-B-AI02</t>
        </is>
      </c>
      <c r="H3400" s="12" t="inlineStr">
        <is>
          <t>STR-B: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153</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G-I-0252</t>
        </is>
      </c>
      <c r="B3401" s="12" t="inlineStr">
        <is>
          <t>G</t>
        </is>
      </c>
      <c r="C3401" s="12" t="inlineStr">
        <is>
          <t>Carbon capture</t>
        </is>
      </c>
      <c r="D3401" s="12" t="inlineStr">
        <is>
          <t>Home run JB-STR-B-AI02 to the control / marshalling room</t>
        </is>
      </c>
      <c r="E3401" s="12" t="inlineStr"/>
      <c r="F3401" s="12" t="inlineStr">
        <is>
          <t>CCS F&amp;G / control</t>
        </is>
      </c>
      <c r="G3401" s="12" t="inlineStr">
        <is>
          <t>JB-STR-B-AI02</t>
        </is>
      </c>
      <c r="H3401" s="12" t="inlineStr">
        <is>
          <t>STR-B: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279</v>
      </c>
      <c r="U3401" s="17" t="n">
        <v>106</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G-I-0253</t>
        </is>
      </c>
      <c r="B3402" s="12" t="inlineStr">
        <is>
          <t>G</t>
        </is>
      </c>
      <c r="C3402" s="12" t="inlineStr">
        <is>
          <t>Carbon capture</t>
        </is>
      </c>
      <c r="D3402" s="12" t="inlineStr">
        <is>
          <t>Analog instrument to JB JB-STR-B-AI03: 10 x 1 pr (field cables)</t>
        </is>
      </c>
      <c r="E3402" s="12" t="inlineStr">
        <is>
          <t>STR-B</t>
        </is>
      </c>
      <c r="F3402" s="12" t="inlineStr">
        <is>
          <t>STR-B: stripper / regenerator (45 ft dia x 207 ft)</t>
        </is>
      </c>
      <c r="G3402" s="12" t="inlineStr">
        <is>
          <t>JB-STR-B-AI03</t>
        </is>
      </c>
      <c r="H3402" s="12" t="inlineStr">
        <is>
          <t>STR-B: stripper / regenerator (45 ft dia x 207 ft)</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7" t="n">
        <v>153</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G-I-0254</t>
        </is>
      </c>
      <c r="B3403" s="12" t="inlineStr">
        <is>
          <t>G</t>
        </is>
      </c>
      <c r="C3403" s="12" t="inlineStr">
        <is>
          <t>Carbon capture</t>
        </is>
      </c>
      <c r="D3403" s="12" t="inlineStr">
        <is>
          <t>Home run JB-STR-B-AI03 to the control / marshalling room</t>
        </is>
      </c>
      <c r="E3403" s="12" t="inlineStr"/>
      <c r="F3403" s="12" t="inlineStr">
        <is>
          <t>CCS F&amp;G / control</t>
        </is>
      </c>
      <c r="G3403" s="12" t="inlineStr">
        <is>
          <t>JB-STR-B-AI03</t>
        </is>
      </c>
      <c r="H3403" s="12" t="inlineStr">
        <is>
          <t>STR-B: stripper / regenerator (45 ft dia x 207 ft)</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7" t="n">
        <v>279</v>
      </c>
      <c r="U3403" s="17" t="n">
        <v>106</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G-I-0255</t>
        </is>
      </c>
      <c r="B3404" s="12" t="inlineStr">
        <is>
          <t>G</t>
        </is>
      </c>
      <c r="C3404" s="12" t="inlineStr">
        <is>
          <t>Carbon capture</t>
        </is>
      </c>
      <c r="D3404" s="12" t="inlineStr">
        <is>
          <t>Discrete device to JB JB-STR-B-DI01: 20 x 1 pr (field cables)</t>
        </is>
      </c>
      <c r="E3404" s="12" t="inlineStr">
        <is>
          <t>STR-B</t>
        </is>
      </c>
      <c r="F3404" s="12" t="inlineStr">
        <is>
          <t>STR-B: stripper / regenerator (45 ft dia x 207 ft)</t>
        </is>
      </c>
      <c r="G3404" s="12" t="inlineStr">
        <is>
          <t>JB-STR-B-DI01</t>
        </is>
      </c>
      <c r="H3404" s="12" t="inlineStr">
        <is>
          <t>STR-B: stripper / regenerator (45 ft dia x 207 ft)</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7" t="n">
        <v>153</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G-I-0256</t>
        </is>
      </c>
      <c r="B3405" s="12" t="inlineStr">
        <is>
          <t>G</t>
        </is>
      </c>
      <c r="C3405" s="12" t="inlineStr">
        <is>
          <t>Carbon capture</t>
        </is>
      </c>
      <c r="D3405" s="12" t="inlineStr">
        <is>
          <t>Home run JB-STR-B-DI01 to the control / marshalling room</t>
        </is>
      </c>
      <c r="E3405" s="12" t="inlineStr"/>
      <c r="F3405" s="12" t="inlineStr">
        <is>
          <t>CCS F&amp;G / control</t>
        </is>
      </c>
      <c r="G3405" s="12" t="inlineStr">
        <is>
          <t>JB-STR-B-DI01</t>
        </is>
      </c>
      <c r="H3405" s="12" t="inlineStr">
        <is>
          <t>STR-B: stripper / regenerator (45 ft dia x 207 ft)</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7" t="n">
        <v>279</v>
      </c>
      <c r="U3405" s="17" t="n">
        <v>106</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G-I-0257</t>
        </is>
      </c>
      <c r="B3406" s="12" t="inlineStr">
        <is>
          <t>G</t>
        </is>
      </c>
      <c r="C3406" s="12" t="inlineStr">
        <is>
          <t>Carbon capture</t>
        </is>
      </c>
      <c r="D3406" s="12" t="inlineStr">
        <is>
          <t>Discrete device to JB JB-STR-B-DI02: 10 x 1 pr (field cables)</t>
        </is>
      </c>
      <c r="E3406" s="12" t="inlineStr">
        <is>
          <t>STR-B</t>
        </is>
      </c>
      <c r="F3406" s="12" t="inlineStr">
        <is>
          <t>STR-B: stripper / regenerator (45 ft dia x 207 ft)</t>
        </is>
      </c>
      <c r="G3406" s="12" t="inlineStr">
        <is>
          <t>JB-STR-B-DI02</t>
        </is>
      </c>
      <c r="H3406" s="12" t="inlineStr">
        <is>
          <t>STR-B: stripper / regenerator (45 ft dia x 207 ft)</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7" t="n">
        <v>153</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G-I-0258</t>
        </is>
      </c>
      <c r="B3407" s="12" t="inlineStr">
        <is>
          <t>G</t>
        </is>
      </c>
      <c r="C3407" s="12" t="inlineStr">
        <is>
          <t>Carbon capture</t>
        </is>
      </c>
      <c r="D3407" s="12" t="inlineStr">
        <is>
          <t>Home run JB-STR-B-DI02 to the control / marshalling room</t>
        </is>
      </c>
      <c r="E3407" s="12" t="inlineStr"/>
      <c r="F3407" s="12" t="inlineStr">
        <is>
          <t>CCS F&amp;G / control</t>
        </is>
      </c>
      <c r="G3407" s="12" t="inlineStr">
        <is>
          <t>JB-STR-B-DI02</t>
        </is>
      </c>
      <c r="H3407" s="12" t="inlineStr">
        <is>
          <t>STR-B: stripper / regenerator (45 ft dia x 207 ft)</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7" t="n">
        <v>279</v>
      </c>
      <c r="U3407" s="17" t="n">
        <v>106</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G-I-0259</t>
        </is>
      </c>
      <c r="B3408" s="12" t="inlineStr">
        <is>
          <t>G</t>
        </is>
      </c>
      <c r="C3408" s="12" t="inlineStr">
        <is>
          <t>Carbon capture</t>
        </is>
      </c>
      <c r="D3408" s="12" t="inlineStr">
        <is>
          <t>Analog instrument to JB JB-STR-C-AI01: 20 x 1 pr (field cables)</t>
        </is>
      </c>
      <c r="E3408" s="12" t="inlineStr">
        <is>
          <t>STR-C</t>
        </is>
      </c>
      <c r="F3408" s="12" t="inlineStr">
        <is>
          <t>STR-C: stripper / regenerator (45 ft dia x 207 ft)</t>
        </is>
      </c>
      <c r="G3408" s="12" t="inlineStr">
        <is>
          <t>JB-STR-C-AI01</t>
        </is>
      </c>
      <c r="H3408" s="12" t="inlineStr">
        <is>
          <t>STR-C: stripper / regenerator (45 ft dia x 207 ft)</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7" t="n">
        <v>153</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G-I-0260</t>
        </is>
      </c>
      <c r="B3409" s="12" t="inlineStr">
        <is>
          <t>G</t>
        </is>
      </c>
      <c r="C3409" s="12" t="inlineStr">
        <is>
          <t>Carbon capture</t>
        </is>
      </c>
      <c r="D3409" s="12" t="inlineStr">
        <is>
          <t>Home run JB-STR-C-AI01 to the control / marshalling room</t>
        </is>
      </c>
      <c r="E3409" s="12" t="inlineStr"/>
      <c r="F3409" s="12" t="inlineStr">
        <is>
          <t>CCS F&amp;G / control</t>
        </is>
      </c>
      <c r="G3409" s="12" t="inlineStr">
        <is>
          <t>JB-STR-C-AI01</t>
        </is>
      </c>
      <c r="H3409" s="12" t="inlineStr">
        <is>
          <t>STR-C: stripper / regenerator (45 ft dia x 207 ft)</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7" t="n">
        <v>195</v>
      </c>
      <c r="U3409" s="17" t="n">
        <v>162</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G-I-0261</t>
        </is>
      </c>
      <c r="B3410" s="12" t="inlineStr">
        <is>
          <t>G</t>
        </is>
      </c>
      <c r="C3410" s="12" t="inlineStr">
        <is>
          <t>Carbon capture</t>
        </is>
      </c>
      <c r="D3410" s="12" t="inlineStr">
        <is>
          <t>Analog instrument to JB JB-STR-C-AI02: 20 x 1 pr (field cables)</t>
        </is>
      </c>
      <c r="E3410" s="12" t="inlineStr">
        <is>
          <t>STR-C</t>
        </is>
      </c>
      <c r="F3410" s="12" t="inlineStr">
        <is>
          <t>STR-C: stripper / regenerator (45 ft dia x 207 ft)</t>
        </is>
      </c>
      <c r="G3410" s="12" t="inlineStr">
        <is>
          <t>JB-STR-C-AI02</t>
        </is>
      </c>
      <c r="H3410" s="12" t="inlineStr">
        <is>
          <t>STR-C: stripper / regenerator (45 ft dia x 207 ft)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153</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G-I-0262</t>
        </is>
      </c>
      <c r="B3411" s="12" t="inlineStr">
        <is>
          <t>G</t>
        </is>
      </c>
      <c r="C3411" s="12" t="inlineStr">
        <is>
          <t>Carbon capture</t>
        </is>
      </c>
      <c r="D3411" s="12" t="inlineStr">
        <is>
          <t>Home run JB-STR-C-AI02 to the control / marshalling room</t>
        </is>
      </c>
      <c r="E3411" s="12" t="inlineStr"/>
      <c r="F3411" s="12" t="inlineStr">
        <is>
          <t>CCS F&amp;G / control</t>
        </is>
      </c>
      <c r="G3411" s="12" t="inlineStr">
        <is>
          <t>JB-STR-C-AI02</t>
        </is>
      </c>
      <c r="H3411" s="12" t="inlineStr">
        <is>
          <t>STR-C: stripper / regenerator (45 ft dia x 207 ft)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195</v>
      </c>
      <c r="U3411" s="17" t="n">
        <v>162</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G-I-0263</t>
        </is>
      </c>
      <c r="B3412" s="12" t="inlineStr">
        <is>
          <t>G</t>
        </is>
      </c>
      <c r="C3412" s="12" t="inlineStr">
        <is>
          <t>Carbon capture</t>
        </is>
      </c>
      <c r="D3412" s="12" t="inlineStr">
        <is>
          <t>Analog instrument to JB JB-STR-C-AI03: 10 x 1 pr (field cables)</t>
        </is>
      </c>
      <c r="E3412" s="12" t="inlineStr">
        <is>
          <t>STR-C</t>
        </is>
      </c>
      <c r="F3412" s="12" t="inlineStr">
        <is>
          <t>STR-C: stripper / regenerator (45 ft dia x 207 ft)</t>
        </is>
      </c>
      <c r="G3412" s="12" t="inlineStr">
        <is>
          <t>JB-STR-C-AI03</t>
        </is>
      </c>
      <c r="H3412" s="12" t="inlineStr">
        <is>
          <t>STR-C: stripper / regenerator (45 ft dia x 207 ft)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153</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G-I-0264</t>
        </is>
      </c>
      <c r="B3413" s="12" t="inlineStr">
        <is>
          <t>G</t>
        </is>
      </c>
      <c r="C3413" s="12" t="inlineStr">
        <is>
          <t>Carbon capture</t>
        </is>
      </c>
      <c r="D3413" s="12" t="inlineStr">
        <is>
          <t>Home run JB-STR-C-AI03 to the control / marshalling room</t>
        </is>
      </c>
      <c r="E3413" s="12" t="inlineStr"/>
      <c r="F3413" s="12" t="inlineStr">
        <is>
          <t>CCS F&amp;G / control</t>
        </is>
      </c>
      <c r="G3413" s="12" t="inlineStr">
        <is>
          <t>JB-STR-C-AI03</t>
        </is>
      </c>
      <c r="H3413" s="12" t="inlineStr">
        <is>
          <t>STR-C: stripper / regenerator (45 ft dia x 207 ft)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195</v>
      </c>
      <c r="U3413" s="17" t="n">
        <v>162</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G-I-0265</t>
        </is>
      </c>
      <c r="B3414" s="12" t="inlineStr">
        <is>
          <t>G</t>
        </is>
      </c>
      <c r="C3414" s="12" t="inlineStr">
        <is>
          <t>Carbon capture</t>
        </is>
      </c>
      <c r="D3414" s="12" t="inlineStr">
        <is>
          <t>Discrete device to JB JB-STR-C-DI01: 20 x 1 pr (field cables)</t>
        </is>
      </c>
      <c r="E3414" s="12" t="inlineStr">
        <is>
          <t>STR-C</t>
        </is>
      </c>
      <c r="F3414" s="12" t="inlineStr">
        <is>
          <t>STR-C: stripper / regenerator (45 ft dia x 207 ft)</t>
        </is>
      </c>
      <c r="G3414" s="12" t="inlineStr">
        <is>
          <t>JB-STR-C-DI01</t>
        </is>
      </c>
      <c r="H3414" s="12" t="inlineStr">
        <is>
          <t>STR-C: stripper / regenerator (45 ft dia x 207 ft)</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153</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G-I-0266</t>
        </is>
      </c>
      <c r="B3415" s="12" t="inlineStr">
        <is>
          <t>G</t>
        </is>
      </c>
      <c r="C3415" s="12" t="inlineStr">
        <is>
          <t>Carbon capture</t>
        </is>
      </c>
      <c r="D3415" s="12" t="inlineStr">
        <is>
          <t>Home run JB-STR-C-DI01 to the control / marshalling room</t>
        </is>
      </c>
      <c r="E3415" s="12" t="inlineStr"/>
      <c r="F3415" s="12" t="inlineStr">
        <is>
          <t>CCS F&amp;G / control</t>
        </is>
      </c>
      <c r="G3415" s="12" t="inlineStr">
        <is>
          <t>JB-STR-C-DI01</t>
        </is>
      </c>
      <c r="H3415" s="12" t="inlineStr">
        <is>
          <t>STR-C: stripper / regenerator (45 ft dia x 207 ft)</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195</v>
      </c>
      <c r="U3415" s="17" t="n">
        <v>162</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G-I-0267</t>
        </is>
      </c>
      <c r="B3416" s="12" t="inlineStr">
        <is>
          <t>G</t>
        </is>
      </c>
      <c r="C3416" s="12" t="inlineStr">
        <is>
          <t>Carbon capture</t>
        </is>
      </c>
      <c r="D3416" s="12" t="inlineStr">
        <is>
          <t>Discrete device to JB JB-STR-C-DI02: 10 x 1 pr (field cables)</t>
        </is>
      </c>
      <c r="E3416" s="12" t="inlineStr">
        <is>
          <t>STR-C</t>
        </is>
      </c>
      <c r="F3416" s="12" t="inlineStr">
        <is>
          <t>STR-C: stripper / regenerator (45 ft dia x 207 ft)</t>
        </is>
      </c>
      <c r="G3416" s="12" t="inlineStr">
        <is>
          <t>JB-STR-C-DI02</t>
        </is>
      </c>
      <c r="H3416" s="12" t="inlineStr">
        <is>
          <t>STR-C: stripper / regenerator (45 ft dia x 207 ft)</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153</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G-I-0268</t>
        </is>
      </c>
      <c r="B3417" s="12" t="inlineStr">
        <is>
          <t>G</t>
        </is>
      </c>
      <c r="C3417" s="12" t="inlineStr">
        <is>
          <t>Carbon capture</t>
        </is>
      </c>
      <c r="D3417" s="12" t="inlineStr">
        <is>
          <t>Home run JB-STR-C-DI02 to the control / marshalling room</t>
        </is>
      </c>
      <c r="E3417" s="12" t="inlineStr"/>
      <c r="F3417" s="12" t="inlineStr">
        <is>
          <t>CCS F&amp;G / control</t>
        </is>
      </c>
      <c r="G3417" s="12" t="inlineStr">
        <is>
          <t>JB-STR-C-DI02</t>
        </is>
      </c>
      <c r="H3417" s="12" t="inlineStr">
        <is>
          <t>STR-C: stripper / regenerator (45 ft dia x 207 ft)</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195</v>
      </c>
      <c r="U3417" s="17" t="n">
        <v>162</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G-I-0269</t>
        </is>
      </c>
      <c r="B3418" s="12" t="inlineStr">
        <is>
          <t>G</t>
        </is>
      </c>
      <c r="C3418" s="12" t="inlineStr">
        <is>
          <t>Carbon capture</t>
        </is>
      </c>
      <c r="D3418" s="12" t="inlineStr">
        <is>
          <t>Analog instrument to JB JB-Solvent + NaOH sto-AI01: 10 x 1 pr (field cables)</t>
        </is>
      </c>
      <c r="E3418" s="12" t="inlineStr"/>
      <c r="F3418" s="12" t="inlineStr">
        <is>
          <t>Solvent + NaOH storage</t>
        </is>
      </c>
      <c r="G3418" s="12" t="inlineStr">
        <is>
          <t>JB-Solvent + NaOH sto-AI01</t>
        </is>
      </c>
      <c r="H3418" s="12" t="inlineStr">
        <is>
          <t>Solvent + NaOH storage</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7" t="n">
        <v>113</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G-I-0270</t>
        </is>
      </c>
      <c r="B3419" s="12" t="inlineStr">
        <is>
          <t>G</t>
        </is>
      </c>
      <c r="C3419" s="12" t="inlineStr">
        <is>
          <t>Carbon capture</t>
        </is>
      </c>
      <c r="D3419" s="12" t="inlineStr">
        <is>
          <t>Home run JB-Solvent + NaOH sto-AI01 to the control / marshalling room</t>
        </is>
      </c>
      <c r="E3419" s="12" t="inlineStr"/>
      <c r="F3419" s="12" t="inlineStr">
        <is>
          <t>CCS F&amp;G / control</t>
        </is>
      </c>
      <c r="G3419" s="12" t="inlineStr">
        <is>
          <t>JB-Solvent + NaOH sto-AI01</t>
        </is>
      </c>
      <c r="H3419" s="12" t="inlineStr">
        <is>
          <t>Solvent + NaOH storage</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7" t="n">
        <v>146</v>
      </c>
      <c r="U3419" s="17" t="n">
        <v>106</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G-I-0271</t>
        </is>
      </c>
      <c r="B3420" s="12" t="inlineStr">
        <is>
          <t>G</t>
        </is>
      </c>
      <c r="C3420" s="12" t="inlineStr">
        <is>
          <t>Carbon capture</t>
        </is>
      </c>
      <c r="D3420" s="12" t="inlineStr">
        <is>
          <t>Discrete device to JB JB-Solvent + NaOH sto-DI01: 10 x 1 pr (field cables)</t>
        </is>
      </c>
      <c r="E3420" s="12" t="inlineStr"/>
      <c r="F3420" s="12" t="inlineStr">
        <is>
          <t>Solvent + NaOH storage</t>
        </is>
      </c>
      <c r="G3420" s="12" t="inlineStr">
        <is>
          <t>JB-Solvent + NaOH sto-DI01</t>
        </is>
      </c>
      <c r="H3420" s="12" t="inlineStr">
        <is>
          <t>Solvent + NaOH storage</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7" t="n">
        <v>113</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G-I-0272</t>
        </is>
      </c>
      <c r="B3421" s="12" t="inlineStr">
        <is>
          <t>G</t>
        </is>
      </c>
      <c r="C3421" s="12" t="inlineStr">
        <is>
          <t>Carbon capture</t>
        </is>
      </c>
      <c r="D3421" s="12" t="inlineStr">
        <is>
          <t>Home run JB-Solvent + NaOH sto-DI01 to the control / marshalling room</t>
        </is>
      </c>
      <c r="E3421" s="12" t="inlineStr"/>
      <c r="F3421" s="12" t="inlineStr">
        <is>
          <t>CCS F&amp;G / control</t>
        </is>
      </c>
      <c r="G3421" s="12" t="inlineStr">
        <is>
          <t>JB-Solvent + NaOH sto-DI01</t>
        </is>
      </c>
      <c r="H3421" s="12" t="inlineStr">
        <is>
          <t>Solvent + NaOH storage</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7" t="n">
        <v>146</v>
      </c>
      <c r="U3421" s="17" t="n">
        <v>106</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G-I-0273</t>
        </is>
      </c>
      <c r="B3422" s="12" t="inlineStr">
        <is>
          <t>G</t>
        </is>
      </c>
      <c r="C3422" s="12" t="inlineStr">
        <is>
          <t>Carbon capture</t>
        </is>
      </c>
      <c r="D3422" s="12" t="inlineStr">
        <is>
          <t>Analog instrument to JB JB-Water-wash pumps A-AI01: 8 x 1 pr (field cables)</t>
        </is>
      </c>
      <c r="E3422" s="12" t="inlineStr"/>
      <c r="F3422" s="12" t="inlineStr">
        <is>
          <t>Water-wash pumps A</t>
        </is>
      </c>
      <c r="G3422" s="12" t="inlineStr">
        <is>
          <t>JB-Water-wash pumps A-AI01</t>
        </is>
      </c>
      <c r="H3422" s="12" t="inlineStr">
        <is>
          <t>Water-wash pumps A</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7" t="n">
        <v>66</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G-I-0274</t>
        </is>
      </c>
      <c r="B3423" s="12" t="inlineStr">
        <is>
          <t>G</t>
        </is>
      </c>
      <c r="C3423" s="12" t="inlineStr">
        <is>
          <t>Carbon capture</t>
        </is>
      </c>
      <c r="D3423" s="12" t="inlineStr">
        <is>
          <t>Home run JB-Water-wash pumps A-AI01 to the control / marshalling room</t>
        </is>
      </c>
      <c r="E3423" s="12" t="inlineStr"/>
      <c r="F3423" s="12" t="inlineStr">
        <is>
          <t>CCS F&amp;G / control</t>
        </is>
      </c>
      <c r="G3423" s="12" t="inlineStr">
        <is>
          <t>JB-Water-wash pumps A-AI01</t>
        </is>
      </c>
      <c r="H3423" s="12" t="inlineStr">
        <is>
          <t>Water-wash pumps A</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7" t="n">
        <v>834</v>
      </c>
      <c r="U3423" s="17" t="n">
        <v>165</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G-I-0275</t>
        </is>
      </c>
      <c r="B3424" s="12" t="inlineStr">
        <is>
          <t>G</t>
        </is>
      </c>
      <c r="C3424" s="12" t="inlineStr">
        <is>
          <t>Carbon capture</t>
        </is>
      </c>
      <c r="D3424" s="12" t="inlineStr">
        <is>
          <t>Discrete device to JB JB-Water-wash pumps A-DI01: 8 x 1 pr (field cables)</t>
        </is>
      </c>
      <c r="E3424" s="12" t="inlineStr"/>
      <c r="F3424" s="12" t="inlineStr">
        <is>
          <t>Water-wash pumps A</t>
        </is>
      </c>
      <c r="G3424" s="12" t="inlineStr">
        <is>
          <t>JB-Water-wash pumps A-DI01</t>
        </is>
      </c>
      <c r="H3424" s="12" t="inlineStr">
        <is>
          <t>Water-wash pumps A</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7" t="n">
        <v>66</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G-I-0276</t>
        </is>
      </c>
      <c r="B3425" s="12" t="inlineStr">
        <is>
          <t>G</t>
        </is>
      </c>
      <c r="C3425" s="12" t="inlineStr">
        <is>
          <t>Carbon capture</t>
        </is>
      </c>
      <c r="D3425" s="12" t="inlineStr">
        <is>
          <t>Home run JB-Water-wash pumps A-DI01 to the control / marshalling room</t>
        </is>
      </c>
      <c r="E3425" s="12" t="inlineStr"/>
      <c r="F3425" s="12" t="inlineStr">
        <is>
          <t>CCS F&amp;G / control</t>
        </is>
      </c>
      <c r="G3425" s="12" t="inlineStr">
        <is>
          <t>JB-Water-wash pumps A-DI01</t>
        </is>
      </c>
      <c r="H3425" s="12" t="inlineStr">
        <is>
          <t>Water-wash pumps A</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7" t="n">
        <v>834</v>
      </c>
      <c r="U3425" s="17" t="n">
        <v>165</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G-I-0277</t>
        </is>
      </c>
      <c r="B3426" s="12" t="inlineStr">
        <is>
          <t>G</t>
        </is>
      </c>
      <c r="C3426" s="12" t="inlineStr">
        <is>
          <t>Carbon capture</t>
        </is>
      </c>
      <c r="D3426" s="12" t="inlineStr">
        <is>
          <t>Analog instrument to JB JB-Water-wash pumps B-AI01: 8 x 1 pr (field cables)</t>
        </is>
      </c>
      <c r="E3426" s="12" t="inlineStr"/>
      <c r="F3426" s="12" t="inlineStr">
        <is>
          <t>Water-wash pumps B</t>
        </is>
      </c>
      <c r="G3426" s="12" t="inlineStr">
        <is>
          <t>JB-Water-wash pumps B-AI01</t>
        </is>
      </c>
      <c r="H3426" s="12" t="inlineStr">
        <is>
          <t>Water-wash pumps B</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7" t="n">
        <v>66</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G-I-0278</t>
        </is>
      </c>
      <c r="B3427" s="12" t="inlineStr">
        <is>
          <t>G</t>
        </is>
      </c>
      <c r="C3427" s="12" t="inlineStr">
        <is>
          <t>Carbon capture</t>
        </is>
      </c>
      <c r="D3427" s="12" t="inlineStr">
        <is>
          <t>Home run JB-Water-wash pumps B-AI01 to the control / marshalling room</t>
        </is>
      </c>
      <c r="E3427" s="12" t="inlineStr"/>
      <c r="F3427" s="12" t="inlineStr">
        <is>
          <t>CCS F&amp;G / control</t>
        </is>
      </c>
      <c r="G3427" s="12" t="inlineStr">
        <is>
          <t>JB-Water-wash pumps B-AI01</t>
        </is>
      </c>
      <c r="H3427" s="12" t="inlineStr">
        <is>
          <t>Water-wash pumps B</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7" t="n">
        <v>674</v>
      </c>
      <c r="U3427" s="17" t="n">
        <v>165</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G-I-0279</t>
        </is>
      </c>
      <c r="B3428" s="12" t="inlineStr">
        <is>
          <t>G</t>
        </is>
      </c>
      <c r="C3428" s="12" t="inlineStr">
        <is>
          <t>Carbon capture</t>
        </is>
      </c>
      <c r="D3428" s="12" t="inlineStr">
        <is>
          <t>Discrete device to JB JB-Water-wash pumps B-DI01: 8 x 1 pr (field cables)</t>
        </is>
      </c>
      <c r="E3428" s="12" t="inlineStr"/>
      <c r="F3428" s="12" t="inlineStr">
        <is>
          <t>Water-wash pumps B</t>
        </is>
      </c>
      <c r="G3428" s="12" t="inlineStr">
        <is>
          <t>JB-Water-wash pumps B-DI01</t>
        </is>
      </c>
      <c r="H3428" s="12" t="inlineStr">
        <is>
          <t>Water-wash pumps B</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7" t="n">
        <v>66</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G-I-0280</t>
        </is>
      </c>
      <c r="B3429" s="12" t="inlineStr">
        <is>
          <t>G</t>
        </is>
      </c>
      <c r="C3429" s="12" t="inlineStr">
        <is>
          <t>Carbon capture</t>
        </is>
      </c>
      <c r="D3429" s="12" t="inlineStr">
        <is>
          <t>Home run JB-Water-wash pumps B-DI01 to the control / marshalling room</t>
        </is>
      </c>
      <c r="E3429" s="12" t="inlineStr"/>
      <c r="F3429" s="12" t="inlineStr">
        <is>
          <t>CCS F&amp;G / control</t>
        </is>
      </c>
      <c r="G3429" s="12" t="inlineStr">
        <is>
          <t>JB-Water-wash pumps B-DI01</t>
        </is>
      </c>
      <c r="H3429" s="12" t="inlineStr">
        <is>
          <t>Water-wash pumps B</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7" t="n">
        <v>674</v>
      </c>
      <c r="U3429" s="17" t="n">
        <v>165</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G-I-0281</t>
        </is>
      </c>
      <c r="B3430" s="12" t="inlineStr">
        <is>
          <t>G</t>
        </is>
      </c>
      <c r="C3430" s="12" t="inlineStr">
        <is>
          <t>Carbon capture</t>
        </is>
      </c>
      <c r="D3430" s="12" t="inlineStr">
        <is>
          <t>Analog instrument to JB JB-Water-wash pumps C-AI01: 8 x 1 pr (field cables)</t>
        </is>
      </c>
      <c r="E3430" s="12" t="inlineStr"/>
      <c r="F3430" s="12" t="inlineStr">
        <is>
          <t>Water-wash pumps C</t>
        </is>
      </c>
      <c r="G3430" s="12" t="inlineStr">
        <is>
          <t>JB-Water-wash pumps C-AI01</t>
        </is>
      </c>
      <c r="H3430" s="12" t="inlineStr">
        <is>
          <t>Water-wash pumps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7" t="n">
        <v>66</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G-I-0282</t>
        </is>
      </c>
      <c r="B3431" s="12" t="inlineStr">
        <is>
          <t>G</t>
        </is>
      </c>
      <c r="C3431" s="12" t="inlineStr">
        <is>
          <t>Carbon capture</t>
        </is>
      </c>
      <c r="D3431" s="12" t="inlineStr">
        <is>
          <t>Home run JB-Water-wash pumps C-AI01 to the control / marshalling room</t>
        </is>
      </c>
      <c r="E3431" s="12" t="inlineStr"/>
      <c r="F3431" s="12" t="inlineStr">
        <is>
          <t>CCS F&amp;G / control</t>
        </is>
      </c>
      <c r="G3431" s="12" t="inlineStr">
        <is>
          <t>JB-Water-wash pumps C-AI01</t>
        </is>
      </c>
      <c r="H3431" s="12" t="inlineStr">
        <is>
          <t>Water-wash pumps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7" t="n">
        <v>514</v>
      </c>
      <c r="U3431" s="17" t="n">
        <v>165</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G-I-0283</t>
        </is>
      </c>
      <c r="B3432" s="12" t="inlineStr">
        <is>
          <t>G</t>
        </is>
      </c>
      <c r="C3432" s="12" t="inlineStr">
        <is>
          <t>Carbon capture</t>
        </is>
      </c>
      <c r="D3432" s="12" t="inlineStr">
        <is>
          <t>Discrete device to JB JB-Water-wash pumps C-DI01: 8 x 1 pr (field cables)</t>
        </is>
      </c>
      <c r="E3432" s="12" t="inlineStr"/>
      <c r="F3432" s="12" t="inlineStr">
        <is>
          <t>Water-wash pumps C</t>
        </is>
      </c>
      <c r="G3432" s="12" t="inlineStr">
        <is>
          <t>JB-Water-wash pumps C-DI01</t>
        </is>
      </c>
      <c r="H3432" s="12" t="inlineStr">
        <is>
          <t>Water-wash pumps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7" t="n">
        <v>66</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G-I-0284</t>
        </is>
      </c>
      <c r="B3433" s="12" t="inlineStr">
        <is>
          <t>G</t>
        </is>
      </c>
      <c r="C3433" s="12" t="inlineStr">
        <is>
          <t>Carbon capture</t>
        </is>
      </c>
      <c r="D3433" s="12" t="inlineStr">
        <is>
          <t>Home run JB-Water-wash pumps C-DI01 to the control / marshalling room</t>
        </is>
      </c>
      <c r="E3433" s="12" t="inlineStr"/>
      <c r="F3433" s="12" t="inlineStr">
        <is>
          <t>CCS F&amp;G / control</t>
        </is>
      </c>
      <c r="G3433" s="12" t="inlineStr">
        <is>
          <t>JB-Water-wash pumps C-DI01</t>
        </is>
      </c>
      <c r="H3433" s="12" t="inlineStr">
        <is>
          <t>Water-wash pumps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7" t="n">
        <v>514</v>
      </c>
      <c r="U3433" s="17" t="n">
        <v>165</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G-P-0001</t>
        </is>
      </c>
      <c r="B3434" s="12" t="inlineStr">
        <is>
          <t>G</t>
        </is>
      </c>
      <c r="C3434" s="12" t="inlineStr">
        <is>
          <t>Carbon capture</t>
        </is>
      </c>
      <c r="D3434" s="12" t="inlineStr">
        <is>
          <t>MOV 1: power</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7" t="n">
        <v>570</v>
      </c>
      <c r="U3434" s="17" t="n">
        <v>80</v>
      </c>
      <c r="V3434" s="17">
        <f>ROUNDUP((T3434+U3434+2*'Read Me'!$B$13)*(1+'Read Me'!$B$12),-1)</f>
        <v/>
      </c>
      <c r="W3434" s="17">
        <f>V3434*N3434*O3434</f>
        <v/>
      </c>
      <c r="X3434" s="12">
        <f>IF(LEFT(I3434,2)="MV",2*N3434*IF(L3434="1/C",O3434,1),0)</f>
        <v/>
      </c>
      <c r="Y3434" s="12">
        <f>IF(OR(LEFT(K3434,4)="LVAX",LEFT(K3434,6)="MV15AX",LEFT(K3434,4)="CTAX",LEFT(K3434,2)="W|"),2*N3434*O3434,0)</f>
        <v/>
      </c>
      <c r="Z3434" s="12" t="inlineStr">
        <is>
          <t>VD 1.1 %</t>
        </is>
      </c>
      <c r="AA3434" s="12">
        <f>N3434*O3434</f>
        <v/>
      </c>
    </row>
    <row r="3435">
      <c r="A3435" s="12" t="inlineStr">
        <is>
          <t>G-P-0002</t>
        </is>
      </c>
      <c r="B3435" s="12" t="inlineStr">
        <is>
          <t>G</t>
        </is>
      </c>
      <c r="C3435" s="12" t="inlineStr">
        <is>
          <t>Carbon capture</t>
        </is>
      </c>
      <c r="D3435" s="12" t="inlineStr">
        <is>
          <t>MOV 2: power</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7" t="n">
        <v>570</v>
      </c>
      <c r="U3435" s="17" t="n">
        <v>80</v>
      </c>
      <c r="V3435" s="17">
        <f>ROUNDUP((T3435+U3435+2*'Read Me'!$B$13)*(1+'Read Me'!$B$12),-1)</f>
        <v/>
      </c>
      <c r="W3435" s="17">
        <f>V3435*N3435*O3435</f>
        <v/>
      </c>
      <c r="X3435" s="12">
        <f>IF(LEFT(I3435,2)="MV",2*N3435*IF(L3435="1/C",O3435,1),0)</f>
        <v/>
      </c>
      <c r="Y3435" s="12">
        <f>IF(OR(LEFT(K3435,4)="LVAX",LEFT(K3435,6)="MV15AX",LEFT(K3435,4)="CTAX",LEFT(K3435,2)="W|"),2*N3435*O3435,0)</f>
        <v/>
      </c>
      <c r="Z3435" s="12" t="inlineStr">
        <is>
          <t>VD 1.1 %</t>
        </is>
      </c>
      <c r="AA3435" s="12">
        <f>N3435*O3435</f>
        <v/>
      </c>
    </row>
    <row r="3436">
      <c r="A3436" s="12" t="inlineStr">
        <is>
          <t>G-P-0003</t>
        </is>
      </c>
      <c r="B3436" s="12" t="inlineStr">
        <is>
          <t>G</t>
        </is>
      </c>
      <c r="C3436" s="12" t="inlineStr">
        <is>
          <t>Carbon capture</t>
        </is>
      </c>
      <c r="D3436" s="12" t="inlineStr">
        <is>
          <t>MOV 3: power</t>
        </is>
      </c>
      <c r="E3436" s="12" t="inlineStr"/>
      <c r="F3436" s="12" t="inlineStr">
        <is>
          <t>CCS MV switchgear building (VFDs)</t>
        </is>
      </c>
      <c r="G3436" s="12" t="inlineStr">
        <is>
          <t>ABS-A</t>
        </is>
      </c>
      <c r="H3436" s="12" t="inlineStr">
        <is>
          <t>Absorber A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7" t="n">
        <v>570</v>
      </c>
      <c r="U3436" s="17" t="n">
        <v>80</v>
      </c>
      <c r="V3436" s="17">
        <f>ROUNDUP((T3436+U3436+2*'Read Me'!$B$13)*(1+'Read Me'!$B$12),-1)</f>
        <v/>
      </c>
      <c r="W3436" s="17">
        <f>V3436*N3436*O3436</f>
        <v/>
      </c>
      <c r="X3436" s="12">
        <f>IF(LEFT(I3436,2)="MV",2*N3436*IF(L3436="1/C",O3436,1),0)</f>
        <v/>
      </c>
      <c r="Y3436" s="12">
        <f>IF(OR(LEFT(K3436,4)="LVAX",LEFT(K3436,6)="MV15AX",LEFT(K3436,4)="CTAX",LEFT(K3436,2)="W|"),2*N3436*O3436,0)</f>
        <v/>
      </c>
      <c r="Z3436" s="12" t="inlineStr">
        <is>
          <t>VD 1.1 %</t>
        </is>
      </c>
      <c r="AA3436" s="12">
        <f>N3436*O3436</f>
        <v/>
      </c>
    </row>
    <row r="3437">
      <c r="A3437" s="12" t="inlineStr">
        <is>
          <t>G-P-0004</t>
        </is>
      </c>
      <c r="B3437" s="12" t="inlineStr">
        <is>
          <t>G</t>
        </is>
      </c>
      <c r="C3437" s="12" t="inlineStr">
        <is>
          <t>Carbon capture</t>
        </is>
      </c>
      <c r="D3437" s="12" t="inlineStr">
        <is>
          <t>MOV 4: power</t>
        </is>
      </c>
      <c r="E3437" s="12" t="inlineStr"/>
      <c r="F3437" s="12" t="inlineStr">
        <is>
          <t>CCS MV switchgear building (VFDs)</t>
        </is>
      </c>
      <c r="G3437" s="12" t="inlineStr">
        <is>
          <t>ABS-A</t>
        </is>
      </c>
      <c r="H3437" s="12" t="inlineStr">
        <is>
          <t>Absorber A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7" t="n">
        <v>570</v>
      </c>
      <c r="U3437" s="17" t="n">
        <v>80</v>
      </c>
      <c r="V3437" s="17">
        <f>ROUNDUP((T3437+U3437+2*'Read Me'!$B$13)*(1+'Read Me'!$B$12),-1)</f>
        <v/>
      </c>
      <c r="W3437" s="17">
        <f>V3437*N3437*O3437</f>
        <v/>
      </c>
      <c r="X3437" s="12">
        <f>IF(LEFT(I3437,2)="MV",2*N3437*IF(L3437="1/C",O3437,1),0)</f>
        <v/>
      </c>
      <c r="Y3437" s="12">
        <f>IF(OR(LEFT(K3437,4)="LVAX",LEFT(K3437,6)="MV15AX",LEFT(K3437,4)="CTAX",LEFT(K3437,2)="W|"),2*N3437*O3437,0)</f>
        <v/>
      </c>
      <c r="Z3437" s="12" t="inlineStr">
        <is>
          <t>VD 1.1 %</t>
        </is>
      </c>
      <c r="AA3437" s="12">
        <f>N3437*O3437</f>
        <v/>
      </c>
    </row>
    <row r="3438">
      <c r="A3438" s="12" t="inlineStr">
        <is>
          <t>G-P-0005</t>
        </is>
      </c>
      <c r="B3438" s="12" t="inlineStr">
        <is>
          <t>G</t>
        </is>
      </c>
      <c r="C3438" s="12" t="inlineStr">
        <is>
          <t>Carbon capture</t>
        </is>
      </c>
      <c r="D3438" s="12" t="inlineStr">
        <is>
          <t>MOV 5: power</t>
        </is>
      </c>
      <c r="E3438" s="12" t="inlineStr"/>
      <c r="F3438" s="12" t="inlineStr">
        <is>
          <t>CCS MV switchgear building (VFDs)</t>
        </is>
      </c>
      <c r="G3438" s="12" t="inlineStr">
        <is>
          <t>ABS-A</t>
        </is>
      </c>
      <c r="H3438" s="12" t="inlineStr">
        <is>
          <t>Absorber A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7" t="n">
        <v>570</v>
      </c>
      <c r="U3438" s="17" t="n">
        <v>80</v>
      </c>
      <c r="V3438" s="17">
        <f>ROUNDUP((T3438+U3438+2*'Read Me'!$B$13)*(1+'Read Me'!$B$12),-1)</f>
        <v/>
      </c>
      <c r="W3438" s="17">
        <f>V3438*N3438*O3438</f>
        <v/>
      </c>
      <c r="X3438" s="12">
        <f>IF(LEFT(I3438,2)="MV",2*N3438*IF(L3438="1/C",O3438,1),0)</f>
        <v/>
      </c>
      <c r="Y3438" s="12">
        <f>IF(OR(LEFT(K3438,4)="LVAX",LEFT(K3438,6)="MV15AX",LEFT(K3438,4)="CTAX",LEFT(K3438,2)="W|"),2*N3438*O3438,0)</f>
        <v/>
      </c>
      <c r="Z3438" s="12" t="inlineStr">
        <is>
          <t>VD 1.1 %</t>
        </is>
      </c>
      <c r="AA3438" s="12">
        <f>N3438*O3438</f>
        <v/>
      </c>
    </row>
    <row r="3439">
      <c r="A3439" s="12" t="inlineStr">
        <is>
          <t>G-P-0006</t>
        </is>
      </c>
      <c r="B3439" s="12" t="inlineStr">
        <is>
          <t>G</t>
        </is>
      </c>
      <c r="C3439" s="12" t="inlineStr">
        <is>
          <t>Carbon capture</t>
        </is>
      </c>
      <c r="D3439" s="12" t="inlineStr">
        <is>
          <t>MOV 6: power</t>
        </is>
      </c>
      <c r="E3439" s="12" t="inlineStr"/>
      <c r="F3439" s="12" t="inlineStr">
        <is>
          <t>CCS MV switchgear building (VFDs)</t>
        </is>
      </c>
      <c r="G3439" s="12" t="inlineStr">
        <is>
          <t>ABS-A</t>
        </is>
      </c>
      <c r="H3439" s="12" t="inlineStr">
        <is>
          <t>Absorber A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7" t="n">
        <v>570</v>
      </c>
      <c r="U3439" s="17" t="n">
        <v>80</v>
      </c>
      <c r="V3439" s="17">
        <f>ROUNDUP((T3439+U3439+2*'Read Me'!$B$13)*(1+'Read Me'!$B$12),-1)</f>
        <v/>
      </c>
      <c r="W3439" s="17">
        <f>V3439*N3439*O3439</f>
        <v/>
      </c>
      <c r="X3439" s="12">
        <f>IF(LEFT(I3439,2)="MV",2*N3439*IF(L3439="1/C",O3439,1),0)</f>
        <v/>
      </c>
      <c r="Y3439" s="12">
        <f>IF(OR(LEFT(K3439,4)="LVAX",LEFT(K3439,6)="MV15AX",LEFT(K3439,4)="CTAX",LEFT(K3439,2)="W|"),2*N3439*O3439,0)</f>
        <v/>
      </c>
      <c r="Z3439" s="12" t="inlineStr">
        <is>
          <t>VD 1.1 %</t>
        </is>
      </c>
      <c r="AA3439" s="12">
        <f>N3439*O3439</f>
        <v/>
      </c>
    </row>
    <row r="3440">
      <c r="A3440" s="12" t="inlineStr">
        <is>
          <t>G-P-0007</t>
        </is>
      </c>
      <c r="B3440" s="12" t="inlineStr">
        <is>
          <t>G</t>
        </is>
      </c>
      <c r="C3440" s="12" t="inlineStr">
        <is>
          <t>Carbon capture</t>
        </is>
      </c>
      <c r="D3440" s="12" t="inlineStr">
        <is>
          <t>MOV 7: power</t>
        </is>
      </c>
      <c r="E3440" s="12" t="inlineStr"/>
      <c r="F3440" s="12" t="inlineStr">
        <is>
          <t>CCS MV switchgear building (VFDs)</t>
        </is>
      </c>
      <c r="G3440" s="12" t="inlineStr">
        <is>
          <t>ABS-A</t>
        </is>
      </c>
      <c r="H3440" s="12" t="inlineStr">
        <is>
          <t>Absorber A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7" t="n">
        <v>570</v>
      </c>
      <c r="U3440" s="17" t="n">
        <v>80</v>
      </c>
      <c r="V3440" s="17">
        <f>ROUNDUP((T3440+U3440+2*'Read Me'!$B$13)*(1+'Read Me'!$B$12),-1)</f>
        <v/>
      </c>
      <c r="W3440" s="17">
        <f>V3440*N3440*O3440</f>
        <v/>
      </c>
      <c r="X3440" s="12">
        <f>IF(LEFT(I3440,2)="MV",2*N3440*IF(L3440="1/C",O3440,1),0)</f>
        <v/>
      </c>
      <c r="Y3440" s="12">
        <f>IF(OR(LEFT(K3440,4)="LVAX",LEFT(K3440,6)="MV15AX",LEFT(K3440,4)="CTAX",LEFT(K3440,2)="W|"),2*N3440*O3440,0)</f>
        <v/>
      </c>
      <c r="Z3440" s="12" t="inlineStr">
        <is>
          <t>VD 1.1 %</t>
        </is>
      </c>
      <c r="AA3440" s="12">
        <f>N3440*O3440</f>
        <v/>
      </c>
    </row>
    <row r="3441">
      <c r="A3441" s="12" t="inlineStr">
        <is>
          <t>G-P-0008</t>
        </is>
      </c>
      <c r="B3441" s="12" t="inlineStr">
        <is>
          <t>G</t>
        </is>
      </c>
      <c r="C3441" s="12" t="inlineStr">
        <is>
          <t>Carbon capture</t>
        </is>
      </c>
      <c r="D3441" s="12" t="inlineStr">
        <is>
          <t>MOV 8: power</t>
        </is>
      </c>
      <c r="E3441" s="12" t="inlineStr"/>
      <c r="F3441" s="12" t="inlineStr">
        <is>
          <t>CCS MV switchgear building (VFDs)</t>
        </is>
      </c>
      <c r="G3441" s="12" t="inlineStr">
        <is>
          <t>ABS-A</t>
        </is>
      </c>
      <c r="H3441" s="12" t="inlineStr">
        <is>
          <t>Absorber A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7" t="n">
        <v>570</v>
      </c>
      <c r="U3441" s="17" t="n">
        <v>80</v>
      </c>
      <c r="V3441" s="17">
        <f>ROUNDUP((T3441+U3441+2*'Read Me'!$B$13)*(1+'Read Me'!$B$12),-1)</f>
        <v/>
      </c>
      <c r="W3441" s="17">
        <f>V3441*N3441*O3441</f>
        <v/>
      </c>
      <c r="X3441" s="12">
        <f>IF(LEFT(I3441,2)="MV",2*N3441*IF(L3441="1/C",O3441,1),0)</f>
        <v/>
      </c>
      <c r="Y3441" s="12">
        <f>IF(OR(LEFT(K3441,4)="LVAX",LEFT(K3441,6)="MV15AX",LEFT(K3441,4)="CTAX",LEFT(K3441,2)="W|"),2*N3441*O3441,0)</f>
        <v/>
      </c>
      <c r="Z3441" s="12" t="inlineStr">
        <is>
          <t>VD 1.1 %</t>
        </is>
      </c>
      <c r="AA3441" s="12">
        <f>N3441*O3441</f>
        <v/>
      </c>
    </row>
    <row r="3442">
      <c r="A3442" s="12" t="inlineStr">
        <is>
          <t>G-P-0009</t>
        </is>
      </c>
      <c r="B3442" s="12" t="inlineStr">
        <is>
          <t>G</t>
        </is>
      </c>
      <c r="C3442" s="12" t="inlineStr">
        <is>
          <t>Carbon capture</t>
        </is>
      </c>
      <c r="D3442" s="12" t="inlineStr">
        <is>
          <t>MOV 9: power</t>
        </is>
      </c>
      <c r="E3442" s="12" t="inlineStr"/>
      <c r="F3442" s="12" t="inlineStr">
        <is>
          <t>CCS MV switchgear building (VFDs)</t>
        </is>
      </c>
      <c r="G3442" s="12" t="inlineStr">
        <is>
          <t>ABS-A</t>
        </is>
      </c>
      <c r="H3442" s="12" t="inlineStr">
        <is>
          <t>Absorber A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7" t="n">
        <v>570</v>
      </c>
      <c r="U3442" s="17" t="n">
        <v>80</v>
      </c>
      <c r="V3442" s="17">
        <f>ROUNDUP((T3442+U3442+2*'Read Me'!$B$13)*(1+'Read Me'!$B$12),-1)</f>
        <v/>
      </c>
      <c r="W3442" s="17">
        <f>V3442*N3442*O3442</f>
        <v/>
      </c>
      <c r="X3442" s="12">
        <f>IF(LEFT(I3442,2)="MV",2*N3442*IF(L3442="1/C",O3442,1),0)</f>
        <v/>
      </c>
      <c r="Y3442" s="12">
        <f>IF(OR(LEFT(K3442,4)="LVAX",LEFT(K3442,6)="MV15AX",LEFT(K3442,4)="CTAX",LEFT(K3442,2)="W|"),2*N3442*O3442,0)</f>
        <v/>
      </c>
      <c r="Z3442" s="12" t="inlineStr">
        <is>
          <t>VD 1.1 %</t>
        </is>
      </c>
      <c r="AA3442" s="12">
        <f>N3442*O3442</f>
        <v/>
      </c>
    </row>
    <row r="3443">
      <c r="A3443" s="12" t="inlineStr">
        <is>
          <t>G-P-0010</t>
        </is>
      </c>
      <c r="B3443" s="12" t="inlineStr">
        <is>
          <t>G</t>
        </is>
      </c>
      <c r="C3443" s="12" t="inlineStr">
        <is>
          <t>Carbon capture</t>
        </is>
      </c>
      <c r="D3443" s="12" t="inlineStr">
        <is>
          <t>MOV 10: power</t>
        </is>
      </c>
      <c r="E3443" s="12" t="inlineStr"/>
      <c r="F3443" s="12" t="inlineStr">
        <is>
          <t>CCS MV switchgear building (VFDs)</t>
        </is>
      </c>
      <c r="G3443" s="12" t="inlineStr">
        <is>
          <t>ABS-A</t>
        </is>
      </c>
      <c r="H3443" s="12" t="inlineStr">
        <is>
          <t>Absorber A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7" t="n">
        <v>570</v>
      </c>
      <c r="U3443" s="17" t="n">
        <v>80</v>
      </c>
      <c r="V3443" s="17">
        <f>ROUNDUP((T3443+U3443+2*'Read Me'!$B$13)*(1+'Read Me'!$B$12),-1)</f>
        <v/>
      </c>
      <c r="W3443" s="17">
        <f>V3443*N3443*O3443</f>
        <v/>
      </c>
      <c r="X3443" s="12">
        <f>IF(LEFT(I3443,2)="MV",2*N3443*IF(L3443="1/C",O3443,1),0)</f>
        <v/>
      </c>
      <c r="Y3443" s="12">
        <f>IF(OR(LEFT(K3443,4)="LVAX",LEFT(K3443,6)="MV15AX",LEFT(K3443,4)="CTAX",LEFT(K3443,2)="W|"),2*N3443*O3443,0)</f>
        <v/>
      </c>
      <c r="Z3443" s="12" t="inlineStr">
        <is>
          <t>VD 1.1 %</t>
        </is>
      </c>
      <c r="AA3443" s="12">
        <f>N3443*O3443</f>
        <v/>
      </c>
    </row>
    <row r="3444">
      <c r="A3444" s="12" t="inlineStr">
        <is>
          <t>G-P-0011</t>
        </is>
      </c>
      <c r="B3444" s="12" t="inlineStr">
        <is>
          <t>G</t>
        </is>
      </c>
      <c r="C3444" s="12" t="inlineStr">
        <is>
          <t>Carbon capture</t>
        </is>
      </c>
      <c r="D3444" s="12" t="inlineStr">
        <is>
          <t>LV power feeder</t>
        </is>
      </c>
      <c r="E3444" s="12" t="inlineStr"/>
      <c r="F3444" s="12" t="inlineStr">
        <is>
          <t>CCS MV switchgear building (VFDs)</t>
        </is>
      </c>
      <c r="G3444" s="12" t="inlineStr">
        <is>
          <t>ABS-A</t>
        </is>
      </c>
      <c r="H3444" s="12" t="inlineStr">
        <is>
          <t>Absorber A (62 ft dia x 262 ft, stack to 313 ft)</t>
        </is>
      </c>
      <c r="I3444" s="12" t="inlineStr">
        <is>
          <t>LV 600 V</t>
        </is>
      </c>
      <c r="J3444" s="12" t="inlineStr">
        <is>
          <t>Type TC-ER 600 V 3/C Cu XHHW-2 + ground, PVC jacket</t>
        </is>
      </c>
      <c r="K3444" s="12" t="inlineStr">
        <is>
          <t>LV|3/C+G|2</t>
        </is>
      </c>
      <c r="L3444" s="12" t="inlineStr">
        <is>
          <t>3/C+G</t>
        </is>
      </c>
      <c r="M3444" s="12" t="inlineStr">
        <is>
          <t>2</t>
        </is>
      </c>
      <c r="N3444" s="12" t="n">
        <v>1</v>
      </c>
      <c r="O3444" s="12" t="n">
        <v>1</v>
      </c>
      <c r="P3444" s="12" t="n">
        <v>480</v>
      </c>
      <c r="Q3444" s="12" t="n">
        <v>40</v>
      </c>
      <c r="R3444" s="12" t="n">
        <v>56.6</v>
      </c>
      <c r="S3444" s="12" t="inlineStr">
        <is>
          <t>Tray</t>
        </is>
      </c>
      <c r="T3444" s="17" t="n">
        <v>570</v>
      </c>
      <c r="U3444" s="17" t="n">
        <v>80</v>
      </c>
      <c r="V3444" s="17">
        <f>ROUNDUP((T3444+U3444+2*'Read Me'!$B$13)*(1+'Read Me'!$B$12),-1)</f>
        <v/>
      </c>
      <c r="W3444" s="17">
        <f>V3444*N3444*O3444</f>
        <v/>
      </c>
      <c r="X3444" s="12">
        <f>IF(LEFT(I3444,2)="MV",2*N3444*IF(L3444="1/C",O3444,1),0)</f>
        <v/>
      </c>
      <c r="Y3444" s="12">
        <f>IF(OR(LEFT(K3444,4)="LVAX",LEFT(K3444,6)="MV15AX",LEFT(K3444,4)="CTAX",LEFT(K3444,2)="W|"),2*N3444*O3444,0)</f>
        <v/>
      </c>
      <c r="Z3444" s="12" t="inlineStr">
        <is>
          <t>VD 2.8 %</t>
        </is>
      </c>
      <c r="AA3444" s="12">
        <f>N3444*O3444</f>
        <v/>
      </c>
    </row>
    <row r="3445">
      <c r="A3445" s="12" t="inlineStr">
        <is>
          <t>G-P-0012</t>
        </is>
      </c>
      <c r="B3445" s="12" t="inlineStr">
        <is>
          <t>G</t>
        </is>
      </c>
      <c r="C3445" s="12" t="inlineStr">
        <is>
          <t>Carbon capture</t>
        </is>
      </c>
      <c r="D3445" s="12" t="inlineStr">
        <is>
          <t>Area / platform lighting circuit 1 (12 fixtures)</t>
        </is>
      </c>
      <c r="E3445" s="12" t="inlineStr"/>
      <c r="F3445" s="12" t="inlineStr">
        <is>
          <t>CCS MV switchgear building (VFDs)</t>
        </is>
      </c>
      <c r="G3445" s="12" t="inlineStr">
        <is>
          <t>ABS-A</t>
        </is>
      </c>
      <c r="H3445" s="12" t="inlineStr">
        <is>
          <t>Absorber A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7" t="n">
        <v>870</v>
      </c>
      <c r="U3445" s="17" t="n">
        <v>80</v>
      </c>
      <c r="V3445" s="17">
        <f>ROUNDUP((T3445+U3445+2*'Read Me'!$B$13)*(1+'Read Me'!$B$12),-1)</f>
        <v/>
      </c>
      <c r="W3445" s="17">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G-P-0013</t>
        </is>
      </c>
      <c r="B3446" s="12" t="inlineStr">
        <is>
          <t>G</t>
        </is>
      </c>
      <c r="C3446" s="12" t="inlineStr">
        <is>
          <t>Carbon capture</t>
        </is>
      </c>
      <c r="D3446" s="12" t="inlineStr">
        <is>
          <t>Area / platform lighting circuit 2 (12 fixtures)</t>
        </is>
      </c>
      <c r="E3446" s="12" t="inlineStr"/>
      <c r="F3446" s="12" t="inlineStr">
        <is>
          <t>CCS MV switchgear building (VFDs)</t>
        </is>
      </c>
      <c r="G3446" s="12" t="inlineStr">
        <is>
          <t>ABS-A</t>
        </is>
      </c>
      <c r="H3446" s="12" t="inlineStr">
        <is>
          <t>Absorber A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3</v>
      </c>
      <c r="R3446" s="12" t="n">
        <v>5</v>
      </c>
      <c r="S3446" s="12" t="inlineStr">
        <is>
          <t>Tray</t>
        </is>
      </c>
      <c r="T3446" s="17" t="n">
        <v>870</v>
      </c>
      <c r="U3446" s="17" t="n">
        <v>80</v>
      </c>
      <c r="V3446" s="17">
        <f>ROUNDUP((T3446+U3446+2*'Read Me'!$B$13)*(1+'Read Me'!$B$12),-1)</f>
        <v/>
      </c>
      <c r="W3446" s="17">
        <f>V3446*N3446*O3446</f>
        <v/>
      </c>
      <c r="X3446" s="12">
        <f>IF(LEFT(I3446,2)="MV",2*N3446*IF(L3446="1/C",O3446,1),0)</f>
        <v/>
      </c>
      <c r="Y3446" s="12">
        <f>IF(OR(LEFT(K3446,4)="LVAX",LEFT(K3446,6)="MV15AX",LEFT(K3446,4)="CTAX",LEFT(K3446,2)="W|"),2*N3446*O3446,0)</f>
        <v/>
      </c>
      <c r="Z3446" s="12" t="inlineStr">
        <is>
          <t>fixture-to-fixture run included</t>
        </is>
      </c>
      <c r="AA3446" s="12">
        <f>N3446*O3446</f>
        <v/>
      </c>
    </row>
    <row r="3447">
      <c r="A3447" s="12" t="inlineStr">
        <is>
          <t>G-P-0014</t>
        </is>
      </c>
      <c r="B3447" s="12" t="inlineStr">
        <is>
          <t>G</t>
        </is>
      </c>
      <c r="C3447" s="12" t="inlineStr">
        <is>
          <t>Carbon capture</t>
        </is>
      </c>
      <c r="D3447" s="12" t="inlineStr">
        <is>
          <t>Area / platform lighting circuit 3 (6 fixtures)</t>
        </is>
      </c>
      <c r="E3447" s="12" t="inlineStr"/>
      <c r="F3447" s="12" t="inlineStr">
        <is>
          <t>CCS MV switchgear building (VFDs)</t>
        </is>
      </c>
      <c r="G3447" s="12" t="inlineStr">
        <is>
          <t>ABS-A</t>
        </is>
      </c>
      <c r="H3447" s="12" t="inlineStr">
        <is>
          <t>Absorber A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7" t="n">
        <v>870</v>
      </c>
      <c r="U3447" s="17" t="n">
        <v>80</v>
      </c>
      <c r="V3447" s="17">
        <f>ROUNDUP((T3447+U3447+2*'Read Me'!$B$13)*(1+'Read Me'!$B$12),-1)</f>
        <v/>
      </c>
      <c r="W3447" s="17">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G-P-0015</t>
        </is>
      </c>
      <c r="B3448" s="12" t="inlineStr">
        <is>
          <t>G</t>
        </is>
      </c>
      <c r="C3448" s="12" t="inlineStr">
        <is>
          <t>Carbon capture</t>
        </is>
      </c>
      <c r="D3448" s="12" t="inlineStr">
        <is>
          <t>480 V welding receptacle 1</t>
        </is>
      </c>
      <c r="E3448" s="12" t="inlineStr"/>
      <c r="F3448" s="12" t="inlineStr">
        <is>
          <t>CCS MV switchgear building (VFDs)</t>
        </is>
      </c>
      <c r="G3448" s="12" t="inlineStr">
        <is>
          <t>ABS-A</t>
        </is>
      </c>
      <c r="H3448" s="12" t="inlineStr">
        <is>
          <t>Absorber A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60</v>
      </c>
      <c r="R3448" s="12" t="n">
        <v>76</v>
      </c>
      <c r="S3448" s="12" t="inlineStr">
        <is>
          <t>Tray</t>
        </is>
      </c>
      <c r="T3448" s="17" t="n">
        <v>570</v>
      </c>
      <c r="U3448" s="17" t="n">
        <v>80</v>
      </c>
      <c r="V3448" s="17">
        <f>ROUNDUP((T3448+U3448+2*'Read Me'!$B$13)*(1+'Read Me'!$B$12),-1)</f>
        <v/>
      </c>
      <c r="W3448" s="17">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G-P-0016</t>
        </is>
      </c>
      <c r="B3449" s="12" t="inlineStr">
        <is>
          <t>G</t>
        </is>
      </c>
      <c r="C3449" s="12" t="inlineStr">
        <is>
          <t>Carbon capture</t>
        </is>
      </c>
      <c r="D3449" s="12" t="inlineStr">
        <is>
          <t>480 V welding receptacle 2</t>
        </is>
      </c>
      <c r="E3449" s="12" t="inlineStr"/>
      <c r="F3449" s="12" t="inlineStr">
        <is>
          <t>CCS MV switchgear building (VFDs)</t>
        </is>
      </c>
      <c r="G3449" s="12" t="inlineStr">
        <is>
          <t>ABS-A</t>
        </is>
      </c>
      <c r="H3449" s="12" t="inlineStr">
        <is>
          <t>Absorber A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60</v>
      </c>
      <c r="R3449" s="12" t="n">
        <v>76</v>
      </c>
      <c r="S3449" s="12" t="inlineStr">
        <is>
          <t>Tray</t>
        </is>
      </c>
      <c r="T3449" s="17" t="n">
        <v>570</v>
      </c>
      <c r="U3449" s="17" t="n">
        <v>80</v>
      </c>
      <c r="V3449" s="17">
        <f>ROUNDUP((T3449+U3449+2*'Read Me'!$B$13)*(1+'Read Me'!$B$12),-1)</f>
        <v/>
      </c>
      <c r="W3449" s="17">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G-P-0017</t>
        </is>
      </c>
      <c r="B3450" s="12" t="inlineStr">
        <is>
          <t>G</t>
        </is>
      </c>
      <c r="C3450" s="12" t="inlineStr">
        <is>
          <t>Carbon capture</t>
        </is>
      </c>
      <c r="D3450" s="12" t="inlineStr">
        <is>
          <t>480 V welding receptacle 3</t>
        </is>
      </c>
      <c r="E3450" s="12" t="inlineStr"/>
      <c r="F3450" s="12" t="inlineStr">
        <is>
          <t>CCS MV switchgear building (VFDs)</t>
        </is>
      </c>
      <c r="G3450" s="12" t="inlineStr">
        <is>
          <t>ABS-A</t>
        </is>
      </c>
      <c r="H3450" s="12" t="inlineStr">
        <is>
          <t>Absorber A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60</v>
      </c>
      <c r="R3450" s="12" t="n">
        <v>76</v>
      </c>
      <c r="S3450" s="12" t="inlineStr">
        <is>
          <t>Tray</t>
        </is>
      </c>
      <c r="T3450" s="17" t="n">
        <v>570</v>
      </c>
      <c r="U3450" s="17" t="n">
        <v>80</v>
      </c>
      <c r="V3450" s="17">
        <f>ROUNDUP((T3450+U3450+2*'Read Me'!$B$13)*(1+'Read Me'!$B$12),-1)</f>
        <v/>
      </c>
      <c r="W3450" s="17">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G-P-0018</t>
        </is>
      </c>
      <c r="B3451" s="12" t="inlineStr">
        <is>
          <t>G</t>
        </is>
      </c>
      <c r="C3451" s="12" t="inlineStr">
        <is>
          <t>Carbon capture</t>
        </is>
      </c>
      <c r="D3451" s="12" t="inlineStr">
        <is>
          <t>480 V welding receptacle 4</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60</v>
      </c>
      <c r="R3451" s="12" t="n">
        <v>76</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G-P-0019</t>
        </is>
      </c>
      <c r="B3452" s="12" t="inlineStr">
        <is>
          <t>G</t>
        </is>
      </c>
      <c r="C3452" s="12" t="inlineStr">
        <is>
          <t>Carbon capture</t>
        </is>
      </c>
      <c r="D3452" s="12" t="inlineStr">
        <is>
          <t>Motor 1 of 2, 150 kW</t>
        </is>
      </c>
      <c r="E3452" s="12" t="inlineStr"/>
      <c r="F3452" s="12" t="inlineStr">
        <is>
          <t>CCS MV switchgear building (VFDs)</t>
        </is>
      </c>
      <c r="G3452" s="12" t="inlineStr"/>
      <c r="H3452" s="12" t="inlineStr">
        <is>
          <t>Absorber A intercooler (pumps + plate exchanger)</t>
        </is>
      </c>
      <c r="I3452" s="12" t="inlineStr">
        <is>
          <t>LV 600 V</t>
        </is>
      </c>
      <c r="J3452" s="12" t="inlineStr">
        <is>
          <t>Type TC-ER 600 V 3/C Cu XHHW-2 + ground, PVC jacket</t>
        </is>
      </c>
      <c r="K3452" s="12" t="inlineStr">
        <is>
          <t>LV|3/C+G|350</t>
        </is>
      </c>
      <c r="L3452" s="12" t="inlineStr">
        <is>
          <t>3/C+G</t>
        </is>
      </c>
      <c r="M3452" s="12" t="inlineStr">
        <is>
          <t>350 kcmil</t>
        </is>
      </c>
      <c r="N3452" s="12" t="n">
        <v>1</v>
      </c>
      <c r="O3452" s="12" t="n">
        <v>1</v>
      </c>
      <c r="P3452" s="12" t="n">
        <v>480</v>
      </c>
      <c r="Q3452" s="12" t="n">
        <v>150</v>
      </c>
      <c r="R3452" s="12" t="n">
        <v>212.3</v>
      </c>
      <c r="S3452" s="12" t="inlineStr">
        <is>
          <t>Tray</t>
        </is>
      </c>
      <c r="T3452" s="17" t="n">
        <v>552</v>
      </c>
      <c r="U3452" s="17" t="n">
        <v>81</v>
      </c>
      <c r="V3452" s="17">
        <f>ROUNDUP((T3452+U3452+2*'Read Me'!$B$13)*(1+'Read Me'!$B$12),-1)</f>
        <v/>
      </c>
      <c r="W3452" s="17">
        <f>V3452*N3452*O3452</f>
        <v/>
      </c>
      <c r="X3452" s="12">
        <f>IF(LEFT(I3452,2)="MV",2*N3452*IF(L3452="1/C",O3452,1),0)</f>
        <v/>
      </c>
      <c r="Y3452" s="12">
        <f>IF(OR(LEFT(K3452,4)="LVAX",LEFT(K3452,6)="MV15AX",LEFT(K3452,4)="CTAX",LEFT(K3452,2)="W|"),2*N3452*O3452,0)</f>
        <v/>
      </c>
      <c r="Z3452" s="12" t="inlineStr">
        <is>
          <t>VD 2.0 %</t>
        </is>
      </c>
      <c r="AA3452" s="12">
        <f>N3452*O3452</f>
        <v/>
      </c>
    </row>
    <row r="3453">
      <c r="A3453" s="12" t="inlineStr">
        <is>
          <t>G-P-0020</t>
        </is>
      </c>
      <c r="B3453" s="12" t="inlineStr">
        <is>
          <t>G</t>
        </is>
      </c>
      <c r="C3453" s="12" t="inlineStr">
        <is>
          <t>Carbon capture</t>
        </is>
      </c>
      <c r="D3453" s="12" t="inlineStr">
        <is>
          <t>Motor 2 of 2, 150 kW</t>
        </is>
      </c>
      <c r="E3453" s="12" t="inlineStr"/>
      <c r="F3453" s="12" t="inlineStr">
        <is>
          <t>CCS MV switchgear building (VFDs)</t>
        </is>
      </c>
      <c r="G3453" s="12" t="inlineStr"/>
      <c r="H3453" s="12" t="inlineStr">
        <is>
          <t>Absorber A intercooler (pumps + plate exchanger)</t>
        </is>
      </c>
      <c r="I3453" s="12" t="inlineStr">
        <is>
          <t>LV 600 V</t>
        </is>
      </c>
      <c r="J3453" s="12" t="inlineStr">
        <is>
          <t>Type TC-ER 600 V 3/C Cu XHHW-2 + ground, PVC jacket</t>
        </is>
      </c>
      <c r="K3453" s="12" t="inlineStr">
        <is>
          <t>LV|3/C+G|350</t>
        </is>
      </c>
      <c r="L3453" s="12" t="inlineStr">
        <is>
          <t>3/C+G</t>
        </is>
      </c>
      <c r="M3453" s="12" t="inlineStr">
        <is>
          <t>350 kcmil</t>
        </is>
      </c>
      <c r="N3453" s="12" t="n">
        <v>1</v>
      </c>
      <c r="O3453" s="12" t="n">
        <v>1</v>
      </c>
      <c r="P3453" s="12" t="n">
        <v>480</v>
      </c>
      <c r="Q3453" s="12" t="n">
        <v>150</v>
      </c>
      <c r="R3453" s="12" t="n">
        <v>212.3</v>
      </c>
      <c r="S3453" s="12" t="inlineStr">
        <is>
          <t>Tray</t>
        </is>
      </c>
      <c r="T3453" s="17" t="n">
        <v>552</v>
      </c>
      <c r="U3453" s="17" t="n">
        <v>81</v>
      </c>
      <c r="V3453" s="17">
        <f>ROUNDUP((T3453+U3453+2*'Read Me'!$B$13)*(1+'Read Me'!$B$12),-1)</f>
        <v/>
      </c>
      <c r="W3453" s="17">
        <f>V3453*N3453*O3453</f>
        <v/>
      </c>
      <c r="X3453" s="12">
        <f>IF(LEFT(I3453,2)="MV",2*N3453*IF(L3453="1/C",O3453,1),0)</f>
        <v/>
      </c>
      <c r="Y3453" s="12">
        <f>IF(OR(LEFT(K3453,4)="LVAX",LEFT(K3453,6)="MV15AX",LEFT(K3453,4)="CTAX",LEFT(K3453,2)="W|"),2*N3453*O3453,0)</f>
        <v/>
      </c>
      <c r="Z3453" s="12" t="inlineStr">
        <is>
          <t>VD 2.0 %</t>
        </is>
      </c>
      <c r="AA3453" s="12">
        <f>N3453*O3453</f>
        <v/>
      </c>
    </row>
    <row r="3454">
      <c r="A3454" s="12" t="inlineStr">
        <is>
          <t>G-P-0021</t>
        </is>
      </c>
      <c r="B3454" s="12" t="inlineStr">
        <is>
          <t>G</t>
        </is>
      </c>
      <c r="C3454" s="12" t="inlineStr">
        <is>
          <t>Carbon capture</t>
        </is>
      </c>
      <c r="D3454" s="12" t="inlineStr">
        <is>
          <t>MOV 1: power</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410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0.8 %</t>
        </is>
      </c>
      <c r="AA3454" s="12">
        <f>N3454*O3454</f>
        <v/>
      </c>
    </row>
    <row r="3455">
      <c r="A3455" s="12" t="inlineStr">
        <is>
          <t>G-P-0022</t>
        </is>
      </c>
      <c r="B3455" s="12" t="inlineStr">
        <is>
          <t>G</t>
        </is>
      </c>
      <c r="C3455" s="12" t="inlineStr">
        <is>
          <t>Carbon capture</t>
        </is>
      </c>
      <c r="D3455" s="12" t="inlineStr">
        <is>
          <t>MOV 2: power</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410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0.8 %</t>
        </is>
      </c>
      <c r="AA3455" s="12">
        <f>N3455*O3455</f>
        <v/>
      </c>
    </row>
    <row r="3456">
      <c r="A3456" s="12" t="inlineStr">
        <is>
          <t>G-P-0023</t>
        </is>
      </c>
      <c r="B3456" s="12" t="inlineStr">
        <is>
          <t>G</t>
        </is>
      </c>
      <c r="C3456" s="12" t="inlineStr">
        <is>
          <t>Carbon capture</t>
        </is>
      </c>
      <c r="D3456" s="12" t="inlineStr">
        <is>
          <t>MOV 3: power</t>
        </is>
      </c>
      <c r="E3456" s="12" t="inlineStr"/>
      <c r="F3456" s="12" t="inlineStr">
        <is>
          <t>CCS MV switchgear building (VFDs)</t>
        </is>
      </c>
      <c r="G3456" s="12" t="inlineStr">
        <is>
          <t>ABS-B</t>
        </is>
      </c>
      <c r="H3456" s="12" t="inlineStr">
        <is>
          <t>Absorber B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410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0.8 %</t>
        </is>
      </c>
      <c r="AA3456" s="12">
        <f>N3456*O3456</f>
        <v/>
      </c>
    </row>
    <row r="3457">
      <c r="A3457" s="12" t="inlineStr">
        <is>
          <t>G-P-0024</t>
        </is>
      </c>
      <c r="B3457" s="12" t="inlineStr">
        <is>
          <t>G</t>
        </is>
      </c>
      <c r="C3457" s="12" t="inlineStr">
        <is>
          <t>Carbon capture</t>
        </is>
      </c>
      <c r="D3457" s="12" t="inlineStr">
        <is>
          <t>MOV 4: power</t>
        </is>
      </c>
      <c r="E3457" s="12" t="inlineStr"/>
      <c r="F3457" s="12" t="inlineStr">
        <is>
          <t>CCS MV switchgear building (VFDs)</t>
        </is>
      </c>
      <c r="G3457" s="12" t="inlineStr">
        <is>
          <t>ABS-B</t>
        </is>
      </c>
      <c r="H3457" s="12" t="inlineStr">
        <is>
          <t>Absorber B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410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0.8 %</t>
        </is>
      </c>
      <c r="AA3457" s="12">
        <f>N3457*O3457</f>
        <v/>
      </c>
    </row>
    <row r="3458">
      <c r="A3458" s="12" t="inlineStr">
        <is>
          <t>G-P-0025</t>
        </is>
      </c>
      <c r="B3458" s="12" t="inlineStr">
        <is>
          <t>G</t>
        </is>
      </c>
      <c r="C3458" s="12" t="inlineStr">
        <is>
          <t>Carbon capture</t>
        </is>
      </c>
      <c r="D3458" s="12" t="inlineStr">
        <is>
          <t>MOV 5: power</t>
        </is>
      </c>
      <c r="E3458" s="12" t="inlineStr"/>
      <c r="F3458" s="12" t="inlineStr">
        <is>
          <t>CCS MV switchgear building (VFDs)</t>
        </is>
      </c>
      <c r="G3458" s="12" t="inlineStr">
        <is>
          <t>ABS-B</t>
        </is>
      </c>
      <c r="H3458" s="12" t="inlineStr">
        <is>
          <t>Absorber B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410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0.8 %</t>
        </is>
      </c>
      <c r="AA3458" s="12">
        <f>N3458*O3458</f>
        <v/>
      </c>
    </row>
    <row r="3459">
      <c r="A3459" s="12" t="inlineStr">
        <is>
          <t>G-P-0026</t>
        </is>
      </c>
      <c r="B3459" s="12" t="inlineStr">
        <is>
          <t>G</t>
        </is>
      </c>
      <c r="C3459" s="12" t="inlineStr">
        <is>
          <t>Carbon capture</t>
        </is>
      </c>
      <c r="D3459" s="12" t="inlineStr">
        <is>
          <t>MOV 6: power</t>
        </is>
      </c>
      <c r="E3459" s="12" t="inlineStr"/>
      <c r="F3459" s="12" t="inlineStr">
        <is>
          <t>CCS MV switchgear building (VFDs)</t>
        </is>
      </c>
      <c r="G3459" s="12" t="inlineStr">
        <is>
          <t>ABS-B</t>
        </is>
      </c>
      <c r="H3459" s="12" t="inlineStr">
        <is>
          <t>Absorber B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410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0.8 %</t>
        </is>
      </c>
      <c r="AA3459" s="12">
        <f>N3459*O3459</f>
        <v/>
      </c>
    </row>
    <row r="3460">
      <c r="A3460" s="12" t="inlineStr">
        <is>
          <t>G-P-0027</t>
        </is>
      </c>
      <c r="B3460" s="12" t="inlineStr">
        <is>
          <t>G</t>
        </is>
      </c>
      <c r="C3460" s="12" t="inlineStr">
        <is>
          <t>Carbon capture</t>
        </is>
      </c>
      <c r="D3460" s="12" t="inlineStr">
        <is>
          <t>MOV 7: power</t>
        </is>
      </c>
      <c r="E3460" s="12" t="inlineStr"/>
      <c r="F3460" s="12" t="inlineStr">
        <is>
          <t>CCS MV switchgear building (VFDs)</t>
        </is>
      </c>
      <c r="G3460" s="12" t="inlineStr">
        <is>
          <t>ABS-B</t>
        </is>
      </c>
      <c r="H3460" s="12" t="inlineStr">
        <is>
          <t>Absorber B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410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0.8 %</t>
        </is>
      </c>
      <c r="AA3460" s="12">
        <f>N3460*O3460</f>
        <v/>
      </c>
    </row>
    <row r="3461">
      <c r="A3461" s="12" t="inlineStr">
        <is>
          <t>G-P-0028</t>
        </is>
      </c>
      <c r="B3461" s="12" t="inlineStr">
        <is>
          <t>G</t>
        </is>
      </c>
      <c r="C3461" s="12" t="inlineStr">
        <is>
          <t>Carbon capture</t>
        </is>
      </c>
      <c r="D3461" s="12" t="inlineStr">
        <is>
          <t>MOV 8: power</t>
        </is>
      </c>
      <c r="E3461" s="12" t="inlineStr"/>
      <c r="F3461" s="12" t="inlineStr">
        <is>
          <t>CCS MV switchgear building (VFDs)</t>
        </is>
      </c>
      <c r="G3461" s="12" t="inlineStr">
        <is>
          <t>ABS-B</t>
        </is>
      </c>
      <c r="H3461" s="12" t="inlineStr">
        <is>
          <t>Absorber B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7" t="n">
        <v>410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0.8 %</t>
        </is>
      </c>
      <c r="AA3461" s="12">
        <f>N3461*O3461</f>
        <v/>
      </c>
    </row>
    <row r="3462">
      <c r="A3462" s="12" t="inlineStr">
        <is>
          <t>G-P-0029</t>
        </is>
      </c>
      <c r="B3462" s="12" t="inlineStr">
        <is>
          <t>G</t>
        </is>
      </c>
      <c r="C3462" s="12" t="inlineStr">
        <is>
          <t>Carbon capture</t>
        </is>
      </c>
      <c r="D3462" s="12" t="inlineStr">
        <is>
          <t>MOV 9: power</t>
        </is>
      </c>
      <c r="E3462" s="12" t="inlineStr"/>
      <c r="F3462" s="12" t="inlineStr">
        <is>
          <t>CCS MV switchgear building (VFDs)</t>
        </is>
      </c>
      <c r="G3462" s="12" t="inlineStr">
        <is>
          <t>ABS-B</t>
        </is>
      </c>
      <c r="H3462" s="12" t="inlineStr">
        <is>
          <t>Absorber B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7" t="n">
        <v>410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VD 0.8 %</t>
        </is>
      </c>
      <c r="AA3462" s="12">
        <f>N3462*O3462</f>
        <v/>
      </c>
    </row>
    <row r="3463">
      <c r="A3463" s="12" t="inlineStr">
        <is>
          <t>G-P-0030</t>
        </is>
      </c>
      <c r="B3463" s="12" t="inlineStr">
        <is>
          <t>G</t>
        </is>
      </c>
      <c r="C3463" s="12" t="inlineStr">
        <is>
          <t>Carbon capture</t>
        </is>
      </c>
      <c r="D3463" s="12" t="inlineStr">
        <is>
          <t>MOV 10: power</t>
        </is>
      </c>
      <c r="E3463" s="12" t="inlineStr"/>
      <c r="F3463" s="12" t="inlineStr">
        <is>
          <t>CCS MV switchgear building (VFDs)</t>
        </is>
      </c>
      <c r="G3463" s="12" t="inlineStr">
        <is>
          <t>ABS-B</t>
        </is>
      </c>
      <c r="H3463" s="12" t="inlineStr">
        <is>
          <t>Absorber B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7" t="n">
        <v>410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VD 0.8 %</t>
        </is>
      </c>
      <c r="AA3463" s="12">
        <f>N3463*O3463</f>
        <v/>
      </c>
    </row>
    <row r="3464">
      <c r="A3464" s="12" t="inlineStr">
        <is>
          <t>G-P-0031</t>
        </is>
      </c>
      <c r="B3464" s="12" t="inlineStr">
        <is>
          <t>G</t>
        </is>
      </c>
      <c r="C3464" s="12" t="inlineStr">
        <is>
          <t>Carbon capture</t>
        </is>
      </c>
      <c r="D3464" s="12" t="inlineStr">
        <is>
          <t>LV power feeder</t>
        </is>
      </c>
      <c r="E3464" s="12" t="inlineStr"/>
      <c r="F3464" s="12" t="inlineStr">
        <is>
          <t>CCS MV switchgear building (VFDs)</t>
        </is>
      </c>
      <c r="G3464" s="12" t="inlineStr">
        <is>
          <t>ABS-B</t>
        </is>
      </c>
      <c r="H3464" s="12" t="inlineStr">
        <is>
          <t>Absorber B (62 ft dia x 262 ft, stack to 313 ft)</t>
        </is>
      </c>
      <c r="I3464" s="12" t="inlineStr">
        <is>
          <t>LV 600 V</t>
        </is>
      </c>
      <c r="J3464" s="12" t="inlineStr">
        <is>
          <t>Type TC-ER 600 V 3/C Cu XHHW-2 + ground, PVC jacket</t>
        </is>
      </c>
      <c r="K3464" s="12" t="inlineStr">
        <is>
          <t>LV|3/C+G|2</t>
        </is>
      </c>
      <c r="L3464" s="12" t="inlineStr">
        <is>
          <t>3/C+G</t>
        </is>
      </c>
      <c r="M3464" s="12" t="inlineStr">
        <is>
          <t>2</t>
        </is>
      </c>
      <c r="N3464" s="12" t="n">
        <v>1</v>
      </c>
      <c r="O3464" s="12" t="n">
        <v>1</v>
      </c>
      <c r="P3464" s="12" t="n">
        <v>480</v>
      </c>
      <c r="Q3464" s="12" t="n">
        <v>40</v>
      </c>
      <c r="R3464" s="12" t="n">
        <v>56.6</v>
      </c>
      <c r="S3464" s="12" t="inlineStr">
        <is>
          <t>Tray</t>
        </is>
      </c>
      <c r="T3464" s="17" t="n">
        <v>410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VD 2.1 %</t>
        </is>
      </c>
      <c r="AA3464" s="12">
        <f>N3464*O3464</f>
        <v/>
      </c>
    </row>
    <row r="3465">
      <c r="A3465" s="12" t="inlineStr">
        <is>
          <t>G-P-0032</t>
        </is>
      </c>
      <c r="B3465" s="12" t="inlineStr">
        <is>
          <t>G</t>
        </is>
      </c>
      <c r="C3465" s="12" t="inlineStr">
        <is>
          <t>Carbon capture</t>
        </is>
      </c>
      <c r="D3465" s="12" t="inlineStr">
        <is>
          <t>Area / platform lighting circuit 1 (12 fixtures)</t>
        </is>
      </c>
      <c r="E3465" s="12" t="inlineStr"/>
      <c r="F3465" s="12" t="inlineStr">
        <is>
          <t>CCS MV switchgear building (VFDs)</t>
        </is>
      </c>
      <c r="G3465" s="12" t="inlineStr">
        <is>
          <t>ABS-B</t>
        </is>
      </c>
      <c r="H3465" s="12" t="inlineStr">
        <is>
          <t>Absorber B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7" t="n">
        <v>710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G-P-0033</t>
        </is>
      </c>
      <c r="B3466" s="12" t="inlineStr">
        <is>
          <t>G</t>
        </is>
      </c>
      <c r="C3466" s="12" t="inlineStr">
        <is>
          <t>Carbon capture</t>
        </is>
      </c>
      <c r="D3466" s="12" t="inlineStr">
        <is>
          <t>Area / platform lighting circuit 2 (12 fixtures)</t>
        </is>
      </c>
      <c r="E3466" s="12" t="inlineStr"/>
      <c r="F3466" s="12" t="inlineStr">
        <is>
          <t>CCS MV switchgear building (VFDs)</t>
        </is>
      </c>
      <c r="G3466" s="12" t="inlineStr">
        <is>
          <t>ABS-B</t>
        </is>
      </c>
      <c r="H3466" s="12" t="inlineStr">
        <is>
          <t>Absorber B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3</v>
      </c>
      <c r="R3466" s="12" t="n">
        <v>5</v>
      </c>
      <c r="S3466" s="12" t="inlineStr">
        <is>
          <t>Tray</t>
        </is>
      </c>
      <c r="T3466" s="17" t="n">
        <v>710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fixture-to-fixture run included</t>
        </is>
      </c>
      <c r="AA3466" s="12">
        <f>N3466*O3466</f>
        <v/>
      </c>
    </row>
    <row r="3467">
      <c r="A3467" s="12" t="inlineStr">
        <is>
          <t>G-P-0034</t>
        </is>
      </c>
      <c r="B3467" s="12" t="inlineStr">
        <is>
          <t>G</t>
        </is>
      </c>
      <c r="C3467" s="12" t="inlineStr">
        <is>
          <t>Carbon capture</t>
        </is>
      </c>
      <c r="D3467" s="12" t="inlineStr">
        <is>
          <t>Area / platform lighting circuit 3 (6 fixtures)</t>
        </is>
      </c>
      <c r="E3467" s="12" t="inlineStr"/>
      <c r="F3467" s="12" t="inlineStr">
        <is>
          <t>CCS MV switchgear building (VFDs)</t>
        </is>
      </c>
      <c r="G3467" s="12" t="inlineStr">
        <is>
          <t>ABS-B</t>
        </is>
      </c>
      <c r="H3467" s="12" t="inlineStr">
        <is>
          <t>Absorber B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7" t="n">
        <v>710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G-P-0035</t>
        </is>
      </c>
      <c r="B3468" s="12" t="inlineStr">
        <is>
          <t>G</t>
        </is>
      </c>
      <c r="C3468" s="12" t="inlineStr">
        <is>
          <t>Carbon capture</t>
        </is>
      </c>
      <c r="D3468" s="12" t="inlineStr">
        <is>
          <t>480 V welding receptacle 1</t>
        </is>
      </c>
      <c r="E3468" s="12" t="inlineStr"/>
      <c r="F3468" s="12" t="inlineStr">
        <is>
          <t>CCS MV switchgear building (VFDs)</t>
        </is>
      </c>
      <c r="G3468" s="12" t="inlineStr">
        <is>
          <t>ABS-B</t>
        </is>
      </c>
      <c r="H3468" s="12" t="inlineStr">
        <is>
          <t>Absorber B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7" t="n">
        <v>410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2.9 %</t>
        </is>
      </c>
      <c r="AA3468" s="12">
        <f>N3468*O3468</f>
        <v/>
      </c>
    </row>
    <row r="3469">
      <c r="A3469" s="12" t="inlineStr">
        <is>
          <t>G-P-0036</t>
        </is>
      </c>
      <c r="B3469" s="12" t="inlineStr">
        <is>
          <t>G</t>
        </is>
      </c>
      <c r="C3469" s="12" t="inlineStr">
        <is>
          <t>Carbon capture</t>
        </is>
      </c>
      <c r="D3469" s="12" t="inlineStr">
        <is>
          <t>480 V welding receptacle 2</t>
        </is>
      </c>
      <c r="E3469" s="12" t="inlineStr"/>
      <c r="F3469" s="12" t="inlineStr">
        <is>
          <t>CCS MV switchgear building (VFDs)</t>
        </is>
      </c>
      <c r="G3469" s="12" t="inlineStr">
        <is>
          <t>ABS-B</t>
        </is>
      </c>
      <c r="H3469" s="12" t="inlineStr">
        <is>
          <t>Absorber B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7" t="n">
        <v>410</v>
      </c>
      <c r="U3469" s="17" t="n">
        <v>80</v>
      </c>
      <c r="V3469" s="17">
        <f>ROUNDUP((T3469+U3469+2*'Read Me'!$B$13)*(1+'Read Me'!$B$12),-1)</f>
        <v/>
      </c>
      <c r="W3469" s="17">
        <f>V3469*N3469*O3469</f>
        <v/>
      </c>
      <c r="X3469" s="12">
        <f>IF(LEFT(I3469,2)="MV",2*N3469*IF(L3469="1/C",O3469,1),0)</f>
        <v/>
      </c>
      <c r="Y3469" s="12">
        <f>IF(OR(LEFT(K3469,4)="LVAX",LEFT(K3469,6)="MV15AX",LEFT(K3469,4)="CTAX",LEFT(K3469,2)="W|"),2*N3469*O3469,0)</f>
        <v/>
      </c>
      <c r="Z3469" s="12" t="inlineStr">
        <is>
          <t>VD 2.9 %</t>
        </is>
      </c>
      <c r="AA3469" s="12">
        <f>N3469*O3469</f>
        <v/>
      </c>
    </row>
    <row r="3470">
      <c r="A3470" s="12" t="inlineStr">
        <is>
          <t>G-P-0037</t>
        </is>
      </c>
      <c r="B3470" s="12" t="inlineStr">
        <is>
          <t>G</t>
        </is>
      </c>
      <c r="C3470" s="12" t="inlineStr">
        <is>
          <t>Carbon capture</t>
        </is>
      </c>
      <c r="D3470" s="12" t="inlineStr">
        <is>
          <t>480 V welding receptacle 3</t>
        </is>
      </c>
      <c r="E3470" s="12" t="inlineStr"/>
      <c r="F3470" s="12" t="inlineStr">
        <is>
          <t>CCS MV switchgear building (VFDs)</t>
        </is>
      </c>
      <c r="G3470" s="12" t="inlineStr">
        <is>
          <t>ABS-B</t>
        </is>
      </c>
      <c r="H3470" s="12" t="inlineStr">
        <is>
          <t>Absorber B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7" t="n">
        <v>410</v>
      </c>
      <c r="U3470" s="17" t="n">
        <v>80</v>
      </c>
      <c r="V3470" s="17">
        <f>ROUNDUP((T3470+U3470+2*'Read Me'!$B$13)*(1+'Read Me'!$B$12),-1)</f>
        <v/>
      </c>
      <c r="W3470" s="17">
        <f>V3470*N3470*O3470</f>
        <v/>
      </c>
      <c r="X3470" s="12">
        <f>IF(LEFT(I3470,2)="MV",2*N3470*IF(L3470="1/C",O3470,1),0)</f>
        <v/>
      </c>
      <c r="Y3470" s="12">
        <f>IF(OR(LEFT(K3470,4)="LVAX",LEFT(K3470,6)="MV15AX",LEFT(K3470,4)="CTAX",LEFT(K3470,2)="W|"),2*N3470*O3470,0)</f>
        <v/>
      </c>
      <c r="Z3470" s="12" t="inlineStr">
        <is>
          <t>VD 2.9 %</t>
        </is>
      </c>
      <c r="AA3470" s="12">
        <f>N3470*O3470</f>
        <v/>
      </c>
    </row>
    <row r="3471">
      <c r="A3471" s="12" t="inlineStr">
        <is>
          <t>G-P-0038</t>
        </is>
      </c>
      <c r="B3471" s="12" t="inlineStr">
        <is>
          <t>G</t>
        </is>
      </c>
      <c r="C3471" s="12" t="inlineStr">
        <is>
          <t>Carbon capture</t>
        </is>
      </c>
      <c r="D3471" s="12" t="inlineStr">
        <is>
          <t>480 V welding receptacle 4</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2.9 %</t>
        </is>
      </c>
      <c r="AA3471" s="12">
        <f>N3471*O3471</f>
        <v/>
      </c>
    </row>
    <row r="3472">
      <c r="A3472" s="12" t="inlineStr">
        <is>
          <t>G-P-0039</t>
        </is>
      </c>
      <c r="B3472" s="12" t="inlineStr">
        <is>
          <t>G</t>
        </is>
      </c>
      <c r="C3472" s="12" t="inlineStr">
        <is>
          <t>Carbon capture</t>
        </is>
      </c>
      <c r="D3472" s="12" t="inlineStr">
        <is>
          <t>Motor 1 of 2, 150 kW</t>
        </is>
      </c>
      <c r="E3472" s="12" t="inlineStr"/>
      <c r="F3472" s="12" t="inlineStr">
        <is>
          <t>CCS MV switchgear building (VFDs)</t>
        </is>
      </c>
      <c r="G3472" s="12" t="inlineStr"/>
      <c r="H3472" s="12" t="inlineStr">
        <is>
          <t>Absorber B intercooler (pumps + plate exchanger)</t>
        </is>
      </c>
      <c r="I3472" s="12" t="inlineStr">
        <is>
          <t>LV 600 V</t>
        </is>
      </c>
      <c r="J3472" s="12" t="inlineStr">
        <is>
          <t>Type TC-ER 600 V 3/C Cu XHHW-2 + ground, PVC jacket</t>
        </is>
      </c>
      <c r="K3472" s="12" t="inlineStr">
        <is>
          <t>LV|3/C+G|350</t>
        </is>
      </c>
      <c r="L3472" s="12" t="inlineStr">
        <is>
          <t>3/C+G</t>
        </is>
      </c>
      <c r="M3472" s="12" t="inlineStr">
        <is>
          <t>350 kcmil</t>
        </is>
      </c>
      <c r="N3472" s="12" t="n">
        <v>1</v>
      </c>
      <c r="O3472" s="12" t="n">
        <v>1</v>
      </c>
      <c r="P3472" s="12" t="n">
        <v>480</v>
      </c>
      <c r="Q3472" s="12" t="n">
        <v>150</v>
      </c>
      <c r="R3472" s="12" t="n">
        <v>212.3</v>
      </c>
      <c r="S3472" s="12" t="inlineStr">
        <is>
          <t>Tray</t>
        </is>
      </c>
      <c r="T3472" s="17" t="n">
        <v>392</v>
      </c>
      <c r="U3472" s="17" t="n">
        <v>81</v>
      </c>
      <c r="V3472" s="17">
        <f>ROUNDUP((T3472+U3472+2*'Read Me'!$B$13)*(1+'Read Me'!$B$12),-1)</f>
        <v/>
      </c>
      <c r="W3472" s="17">
        <f>V3472*N3472*O3472</f>
        <v/>
      </c>
      <c r="X3472" s="12">
        <f>IF(LEFT(I3472,2)="MV",2*N3472*IF(L3472="1/C",O3472,1),0)</f>
        <v/>
      </c>
      <c r="Y3472" s="12">
        <f>IF(OR(LEFT(K3472,4)="LVAX",LEFT(K3472,6)="MV15AX",LEFT(K3472,4)="CTAX",LEFT(K3472,2)="W|"),2*N3472*O3472,0)</f>
        <v/>
      </c>
      <c r="Z3472" s="12" t="inlineStr">
        <is>
          <t>VD 1.5 %</t>
        </is>
      </c>
      <c r="AA3472" s="12">
        <f>N3472*O3472</f>
        <v/>
      </c>
    </row>
    <row r="3473">
      <c r="A3473" s="12" t="inlineStr">
        <is>
          <t>G-P-0040</t>
        </is>
      </c>
      <c r="B3473" s="12" t="inlineStr">
        <is>
          <t>G</t>
        </is>
      </c>
      <c r="C3473" s="12" t="inlineStr">
        <is>
          <t>Carbon capture</t>
        </is>
      </c>
      <c r="D3473" s="12" t="inlineStr">
        <is>
          <t>Motor 2 of 2, 150 kW</t>
        </is>
      </c>
      <c r="E3473" s="12" t="inlineStr"/>
      <c r="F3473" s="12" t="inlineStr">
        <is>
          <t>CCS MV switchgear building (VFDs)</t>
        </is>
      </c>
      <c r="G3473" s="12" t="inlineStr"/>
      <c r="H3473" s="12" t="inlineStr">
        <is>
          <t>Absorber B intercooler (pumps + plate exchanger)</t>
        </is>
      </c>
      <c r="I3473" s="12" t="inlineStr">
        <is>
          <t>LV 600 V</t>
        </is>
      </c>
      <c r="J3473" s="12" t="inlineStr">
        <is>
          <t>Type TC-ER 600 V 3/C Cu XHHW-2 + ground, PVC jacket</t>
        </is>
      </c>
      <c r="K3473" s="12" t="inlineStr">
        <is>
          <t>LV|3/C+G|350</t>
        </is>
      </c>
      <c r="L3473" s="12" t="inlineStr">
        <is>
          <t>3/C+G</t>
        </is>
      </c>
      <c r="M3473" s="12" t="inlineStr">
        <is>
          <t>350 kcmil</t>
        </is>
      </c>
      <c r="N3473" s="12" t="n">
        <v>1</v>
      </c>
      <c r="O3473" s="12" t="n">
        <v>1</v>
      </c>
      <c r="P3473" s="12" t="n">
        <v>480</v>
      </c>
      <c r="Q3473" s="12" t="n">
        <v>150</v>
      </c>
      <c r="R3473" s="12" t="n">
        <v>212.3</v>
      </c>
      <c r="S3473" s="12" t="inlineStr">
        <is>
          <t>Tray</t>
        </is>
      </c>
      <c r="T3473" s="17" t="n">
        <v>392</v>
      </c>
      <c r="U3473" s="17" t="n">
        <v>81</v>
      </c>
      <c r="V3473" s="17">
        <f>ROUNDUP((T3473+U3473+2*'Read Me'!$B$13)*(1+'Read Me'!$B$12),-1)</f>
        <v/>
      </c>
      <c r="W3473" s="17">
        <f>V3473*N3473*O3473</f>
        <v/>
      </c>
      <c r="X3473" s="12">
        <f>IF(LEFT(I3473,2)="MV",2*N3473*IF(L3473="1/C",O3473,1),0)</f>
        <v/>
      </c>
      <c r="Y3473" s="12">
        <f>IF(OR(LEFT(K3473,4)="LVAX",LEFT(K3473,6)="MV15AX",LEFT(K3473,4)="CTAX",LEFT(K3473,2)="W|"),2*N3473*O3473,0)</f>
        <v/>
      </c>
      <c r="Z3473" s="12" t="inlineStr">
        <is>
          <t>VD 1.5 %</t>
        </is>
      </c>
      <c r="AA3473" s="12">
        <f>N3473*O3473</f>
        <v/>
      </c>
    </row>
    <row r="3474">
      <c r="A3474" s="12" t="inlineStr">
        <is>
          <t>G-P-0041</t>
        </is>
      </c>
      <c r="B3474" s="12" t="inlineStr">
        <is>
          <t>G</t>
        </is>
      </c>
      <c r="C3474" s="12" t="inlineStr">
        <is>
          <t>Carbon capture</t>
        </is>
      </c>
      <c r="D3474" s="12" t="inlineStr">
        <is>
          <t>MOV 1: power</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250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0.6 %</t>
        </is>
      </c>
      <c r="AA3474" s="12">
        <f>N3474*O3474</f>
        <v/>
      </c>
    </row>
    <row r="3475">
      <c r="A3475" s="12" t="inlineStr">
        <is>
          <t>G-P-0042</t>
        </is>
      </c>
      <c r="B3475" s="12" t="inlineStr">
        <is>
          <t>G</t>
        </is>
      </c>
      <c r="C3475" s="12" t="inlineStr">
        <is>
          <t>Carbon capture</t>
        </is>
      </c>
      <c r="D3475" s="12" t="inlineStr">
        <is>
          <t>MOV 2: power</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250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0.6 %</t>
        </is>
      </c>
      <c r="AA3475" s="12">
        <f>N3475*O3475</f>
        <v/>
      </c>
    </row>
    <row r="3476">
      <c r="A3476" s="12" t="inlineStr">
        <is>
          <t>G-P-0043</t>
        </is>
      </c>
      <c r="B3476" s="12" t="inlineStr">
        <is>
          <t>G</t>
        </is>
      </c>
      <c r="C3476" s="12" t="inlineStr">
        <is>
          <t>Carbon capture</t>
        </is>
      </c>
      <c r="D3476" s="12" t="inlineStr">
        <is>
          <t>MOV 3: power</t>
        </is>
      </c>
      <c r="E3476" s="12" t="inlineStr"/>
      <c r="F3476" s="12" t="inlineStr">
        <is>
          <t>CCS MV switchgear building (VFDs)</t>
        </is>
      </c>
      <c r="G3476" s="12" t="inlineStr">
        <is>
          <t>ABS-C</t>
        </is>
      </c>
      <c r="H3476" s="12" t="inlineStr">
        <is>
          <t>Absorber C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250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0.6 %</t>
        </is>
      </c>
      <c r="AA3476" s="12">
        <f>N3476*O3476</f>
        <v/>
      </c>
    </row>
    <row r="3477">
      <c r="A3477" s="12" t="inlineStr">
        <is>
          <t>G-P-0044</t>
        </is>
      </c>
      <c r="B3477" s="12" t="inlineStr">
        <is>
          <t>G</t>
        </is>
      </c>
      <c r="C3477" s="12" t="inlineStr">
        <is>
          <t>Carbon capture</t>
        </is>
      </c>
      <c r="D3477" s="12" t="inlineStr">
        <is>
          <t>MOV 4: power</t>
        </is>
      </c>
      <c r="E3477" s="12" t="inlineStr"/>
      <c r="F3477" s="12" t="inlineStr">
        <is>
          <t>CCS MV switchgear building (VFDs)</t>
        </is>
      </c>
      <c r="G3477" s="12" t="inlineStr">
        <is>
          <t>ABS-C</t>
        </is>
      </c>
      <c r="H3477" s="12" t="inlineStr">
        <is>
          <t>Absorber C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250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0.6 %</t>
        </is>
      </c>
      <c r="AA3477" s="12">
        <f>N3477*O3477</f>
        <v/>
      </c>
    </row>
    <row r="3478">
      <c r="A3478" s="12" t="inlineStr">
        <is>
          <t>G-P-0045</t>
        </is>
      </c>
      <c r="B3478" s="12" t="inlineStr">
        <is>
          <t>G</t>
        </is>
      </c>
      <c r="C3478" s="12" t="inlineStr">
        <is>
          <t>Carbon capture</t>
        </is>
      </c>
      <c r="D3478" s="12" t="inlineStr">
        <is>
          <t>MOV 5: power</t>
        </is>
      </c>
      <c r="E3478" s="12" t="inlineStr"/>
      <c r="F3478" s="12" t="inlineStr">
        <is>
          <t>CCS MV switchgear building (VFDs)</t>
        </is>
      </c>
      <c r="G3478" s="12" t="inlineStr">
        <is>
          <t>ABS-C</t>
        </is>
      </c>
      <c r="H3478" s="12" t="inlineStr">
        <is>
          <t>Absorber C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250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0.6 %</t>
        </is>
      </c>
      <c r="AA3478" s="12">
        <f>N3478*O3478</f>
        <v/>
      </c>
    </row>
    <row r="3479">
      <c r="A3479" s="12" t="inlineStr">
        <is>
          <t>G-P-0046</t>
        </is>
      </c>
      <c r="B3479" s="12" t="inlineStr">
        <is>
          <t>G</t>
        </is>
      </c>
      <c r="C3479" s="12" t="inlineStr">
        <is>
          <t>Carbon capture</t>
        </is>
      </c>
      <c r="D3479" s="12" t="inlineStr">
        <is>
          <t>MOV 6: power</t>
        </is>
      </c>
      <c r="E3479" s="12" t="inlineStr"/>
      <c r="F3479" s="12" t="inlineStr">
        <is>
          <t>CCS MV switchgear building (VFDs)</t>
        </is>
      </c>
      <c r="G3479" s="12" t="inlineStr">
        <is>
          <t>ABS-C</t>
        </is>
      </c>
      <c r="H3479" s="12" t="inlineStr">
        <is>
          <t>Absorber C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250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0.6 %</t>
        </is>
      </c>
      <c r="AA3479" s="12">
        <f>N3479*O3479</f>
        <v/>
      </c>
    </row>
    <row r="3480">
      <c r="A3480" s="12" t="inlineStr">
        <is>
          <t>G-P-0047</t>
        </is>
      </c>
      <c r="B3480" s="12" t="inlineStr">
        <is>
          <t>G</t>
        </is>
      </c>
      <c r="C3480" s="12" t="inlineStr">
        <is>
          <t>Carbon capture</t>
        </is>
      </c>
      <c r="D3480" s="12" t="inlineStr">
        <is>
          <t>MOV 7: power</t>
        </is>
      </c>
      <c r="E3480" s="12" t="inlineStr"/>
      <c r="F3480" s="12" t="inlineStr">
        <is>
          <t>CCS MV switchgear building (VFDs)</t>
        </is>
      </c>
      <c r="G3480" s="12" t="inlineStr">
        <is>
          <t>ABS-C</t>
        </is>
      </c>
      <c r="H3480" s="12" t="inlineStr">
        <is>
          <t>Absorber C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250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0.6 %</t>
        </is>
      </c>
      <c r="AA3480" s="12">
        <f>N3480*O3480</f>
        <v/>
      </c>
    </row>
    <row r="3481">
      <c r="A3481" s="12" t="inlineStr">
        <is>
          <t>G-P-0048</t>
        </is>
      </c>
      <c r="B3481" s="12" t="inlineStr">
        <is>
          <t>G</t>
        </is>
      </c>
      <c r="C3481" s="12" t="inlineStr">
        <is>
          <t>Carbon capture</t>
        </is>
      </c>
      <c r="D3481" s="12" t="inlineStr">
        <is>
          <t>MOV 8: power</t>
        </is>
      </c>
      <c r="E3481" s="12" t="inlineStr"/>
      <c r="F3481" s="12" t="inlineStr">
        <is>
          <t>CCS MV switchgear building (VFDs)</t>
        </is>
      </c>
      <c r="G3481" s="12" t="inlineStr">
        <is>
          <t>ABS-C</t>
        </is>
      </c>
      <c r="H3481" s="12" t="inlineStr">
        <is>
          <t>Absorber C (62 ft dia x 262 ft, stack to 313 ft)</t>
        </is>
      </c>
      <c r="I3481" s="12" t="inlineStr">
        <is>
          <t>LV 600 V</t>
        </is>
      </c>
      <c r="J3481" s="12" t="inlineStr">
        <is>
          <t>Type TC-ER 600 V 3/C Cu XHHW-2 + ground, PVC jacket</t>
        </is>
      </c>
      <c r="K3481" s="12" t="inlineStr">
        <is>
          <t>LV|3/C+G|10</t>
        </is>
      </c>
      <c r="L3481" s="12" t="inlineStr">
        <is>
          <t>3/C+G</t>
        </is>
      </c>
      <c r="M3481" s="12" t="inlineStr">
        <is>
          <t>10</t>
        </is>
      </c>
      <c r="N3481" s="12" t="n">
        <v>1</v>
      </c>
      <c r="O3481" s="12" t="n">
        <v>1</v>
      </c>
      <c r="P3481" s="12" t="n">
        <v>480</v>
      </c>
      <c r="Q3481" s="12" t="n">
        <v>2.5</v>
      </c>
      <c r="R3481" s="12" t="n">
        <v>3.5</v>
      </c>
      <c r="S3481" s="12" t="inlineStr">
        <is>
          <t>Tray</t>
        </is>
      </c>
      <c r="T3481" s="17" t="n">
        <v>250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0.6 %</t>
        </is>
      </c>
      <c r="AA3481" s="12">
        <f>N3481*O3481</f>
        <v/>
      </c>
    </row>
    <row r="3482">
      <c r="A3482" s="12" t="inlineStr">
        <is>
          <t>G-P-0049</t>
        </is>
      </c>
      <c r="B3482" s="12" t="inlineStr">
        <is>
          <t>G</t>
        </is>
      </c>
      <c r="C3482" s="12" t="inlineStr">
        <is>
          <t>Carbon capture</t>
        </is>
      </c>
      <c r="D3482" s="12" t="inlineStr">
        <is>
          <t>MOV 9: power</t>
        </is>
      </c>
      <c r="E3482" s="12" t="inlineStr"/>
      <c r="F3482" s="12" t="inlineStr">
        <is>
          <t>CCS MV switchgear building (VFDs)</t>
        </is>
      </c>
      <c r="G3482" s="12" t="inlineStr">
        <is>
          <t>ABS-C</t>
        </is>
      </c>
      <c r="H3482" s="12" t="inlineStr">
        <is>
          <t>Absorber C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2.5</v>
      </c>
      <c r="R3482" s="12" t="n">
        <v>3.5</v>
      </c>
      <c r="S3482" s="12" t="inlineStr">
        <is>
          <t>Tray</t>
        </is>
      </c>
      <c r="T3482" s="17" t="n">
        <v>250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VD 0.6 %</t>
        </is>
      </c>
      <c r="AA3482" s="12">
        <f>N3482*O3482</f>
        <v/>
      </c>
    </row>
    <row r="3483">
      <c r="A3483" s="12" t="inlineStr">
        <is>
          <t>G-P-0050</t>
        </is>
      </c>
      <c r="B3483" s="12" t="inlineStr">
        <is>
          <t>G</t>
        </is>
      </c>
      <c r="C3483" s="12" t="inlineStr">
        <is>
          <t>Carbon capture</t>
        </is>
      </c>
      <c r="D3483" s="12" t="inlineStr">
        <is>
          <t>MOV 10: power</t>
        </is>
      </c>
      <c r="E3483" s="12" t="inlineStr"/>
      <c r="F3483" s="12" t="inlineStr">
        <is>
          <t>CCS MV switchgear building (VFDs)</t>
        </is>
      </c>
      <c r="G3483" s="12" t="inlineStr">
        <is>
          <t>ABS-C</t>
        </is>
      </c>
      <c r="H3483" s="12" t="inlineStr">
        <is>
          <t>Absorber C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2.5</v>
      </c>
      <c r="R3483" s="12" t="n">
        <v>3.5</v>
      </c>
      <c r="S3483" s="12" t="inlineStr">
        <is>
          <t>Tray</t>
        </is>
      </c>
      <c r="T3483" s="17" t="n">
        <v>250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VD 0.6 %</t>
        </is>
      </c>
      <c r="AA3483" s="12">
        <f>N3483*O3483</f>
        <v/>
      </c>
    </row>
    <row r="3484">
      <c r="A3484" s="12" t="inlineStr">
        <is>
          <t>G-P-0051</t>
        </is>
      </c>
      <c r="B3484" s="12" t="inlineStr">
        <is>
          <t>G</t>
        </is>
      </c>
      <c r="C3484" s="12" t="inlineStr">
        <is>
          <t>Carbon capture</t>
        </is>
      </c>
      <c r="D3484" s="12" t="inlineStr">
        <is>
          <t>LV power feeder</t>
        </is>
      </c>
      <c r="E3484" s="12" t="inlineStr"/>
      <c r="F3484" s="12" t="inlineStr">
        <is>
          <t>CCS MV switchgear building (VFDs)</t>
        </is>
      </c>
      <c r="G3484" s="12" t="inlineStr">
        <is>
          <t>ABS-C</t>
        </is>
      </c>
      <c r="H3484" s="12" t="inlineStr">
        <is>
          <t>Absorber C (62 ft dia x 262 ft, stack to 313 ft)</t>
        </is>
      </c>
      <c r="I3484" s="12" t="inlineStr">
        <is>
          <t>LV 600 V</t>
        </is>
      </c>
      <c r="J3484" s="12" t="inlineStr">
        <is>
          <t>Type TC-ER 600 V 3/C Cu XHHW-2 + ground, PVC jacket</t>
        </is>
      </c>
      <c r="K3484" s="12" t="inlineStr">
        <is>
          <t>LV|3/C+G|4</t>
        </is>
      </c>
      <c r="L3484" s="12" t="inlineStr">
        <is>
          <t>3/C+G</t>
        </is>
      </c>
      <c r="M3484" s="12" t="inlineStr">
        <is>
          <t>4</t>
        </is>
      </c>
      <c r="N3484" s="12" t="n">
        <v>1</v>
      </c>
      <c r="O3484" s="12" t="n">
        <v>1</v>
      </c>
      <c r="P3484" s="12" t="n">
        <v>480</v>
      </c>
      <c r="Q3484" s="12" t="n">
        <v>40</v>
      </c>
      <c r="R3484" s="12" t="n">
        <v>56.6</v>
      </c>
      <c r="S3484" s="12" t="inlineStr">
        <is>
          <t>Tray</t>
        </is>
      </c>
      <c r="T3484" s="17" t="n">
        <v>250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VD 2.3 %</t>
        </is>
      </c>
      <c r="AA3484" s="12">
        <f>N3484*O3484</f>
        <v/>
      </c>
    </row>
    <row r="3485">
      <c r="A3485" s="12" t="inlineStr">
        <is>
          <t>G-P-0052</t>
        </is>
      </c>
      <c r="B3485" s="12" t="inlineStr">
        <is>
          <t>G</t>
        </is>
      </c>
      <c r="C3485" s="12" t="inlineStr">
        <is>
          <t>Carbon capture</t>
        </is>
      </c>
      <c r="D3485" s="12" t="inlineStr">
        <is>
          <t>Area / platform lighting circuit 1 (12 fixtures)</t>
        </is>
      </c>
      <c r="E3485" s="12" t="inlineStr"/>
      <c r="F3485" s="12" t="inlineStr">
        <is>
          <t>CCS MV switchgear building (VFDs)</t>
        </is>
      </c>
      <c r="G3485" s="12" t="inlineStr">
        <is>
          <t>ABS-C</t>
        </is>
      </c>
      <c r="H3485" s="12" t="inlineStr">
        <is>
          <t>Absorber C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3</v>
      </c>
      <c r="R3485" s="12" t="n">
        <v>5</v>
      </c>
      <c r="S3485" s="12" t="inlineStr">
        <is>
          <t>Tray</t>
        </is>
      </c>
      <c r="T3485" s="17" t="n">
        <v>550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fixture-to-fixture run included</t>
        </is>
      </c>
      <c r="AA3485" s="12">
        <f>N3485*O3485</f>
        <v/>
      </c>
    </row>
    <row r="3486">
      <c r="A3486" s="12" t="inlineStr">
        <is>
          <t>G-P-0053</t>
        </is>
      </c>
      <c r="B3486" s="12" t="inlineStr">
        <is>
          <t>G</t>
        </is>
      </c>
      <c r="C3486" s="12" t="inlineStr">
        <is>
          <t>Carbon capture</t>
        </is>
      </c>
      <c r="D3486" s="12" t="inlineStr">
        <is>
          <t>Area / platform lighting circuit 2 (12 fixtures)</t>
        </is>
      </c>
      <c r="E3486" s="12" t="inlineStr"/>
      <c r="F3486" s="12" t="inlineStr">
        <is>
          <t>CCS MV switchgear building (VFDs)</t>
        </is>
      </c>
      <c r="G3486" s="12" t="inlineStr">
        <is>
          <t>ABS-C</t>
        </is>
      </c>
      <c r="H3486" s="12" t="inlineStr">
        <is>
          <t>Absorber C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3</v>
      </c>
      <c r="R3486" s="12" t="n">
        <v>5</v>
      </c>
      <c r="S3486" s="12" t="inlineStr">
        <is>
          <t>Tray</t>
        </is>
      </c>
      <c r="T3486" s="17" t="n">
        <v>550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fixture-to-fixture run included</t>
        </is>
      </c>
      <c r="AA3486" s="12">
        <f>N3486*O3486</f>
        <v/>
      </c>
    </row>
    <row r="3487">
      <c r="A3487" s="12" t="inlineStr">
        <is>
          <t>G-P-0054</t>
        </is>
      </c>
      <c r="B3487" s="12" t="inlineStr">
        <is>
          <t>G</t>
        </is>
      </c>
      <c r="C3487" s="12" t="inlineStr">
        <is>
          <t>Carbon capture</t>
        </is>
      </c>
      <c r="D3487" s="12" t="inlineStr">
        <is>
          <t>Area / platform lighting circuit 3 (6 fixtures)</t>
        </is>
      </c>
      <c r="E3487" s="12" t="inlineStr"/>
      <c r="F3487" s="12" t="inlineStr">
        <is>
          <t>CCS MV switchgear building (VFDs)</t>
        </is>
      </c>
      <c r="G3487" s="12" t="inlineStr">
        <is>
          <t>ABS-C</t>
        </is>
      </c>
      <c r="H3487" s="12" t="inlineStr">
        <is>
          <t>Absorber C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3</v>
      </c>
      <c r="R3487" s="12" t="n">
        <v>5</v>
      </c>
      <c r="S3487" s="12" t="inlineStr">
        <is>
          <t>Tray</t>
        </is>
      </c>
      <c r="T3487" s="17" t="n">
        <v>550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fixture-to-fixture run included</t>
        </is>
      </c>
      <c r="AA3487" s="12">
        <f>N3487*O3487</f>
        <v/>
      </c>
    </row>
    <row r="3488">
      <c r="A3488" s="12" t="inlineStr">
        <is>
          <t>G-P-0055</t>
        </is>
      </c>
      <c r="B3488" s="12" t="inlineStr">
        <is>
          <t>G</t>
        </is>
      </c>
      <c r="C3488" s="12" t="inlineStr">
        <is>
          <t>Carbon capture</t>
        </is>
      </c>
      <c r="D3488" s="12" t="inlineStr">
        <is>
          <t>480 V welding receptacle 1</t>
        </is>
      </c>
      <c r="E3488" s="12" t="inlineStr"/>
      <c r="F3488" s="12" t="inlineStr">
        <is>
          <t>CCS MV switchgear building (VFDs)</t>
        </is>
      </c>
      <c r="G3488" s="12" t="inlineStr">
        <is>
          <t>ABS-C</t>
        </is>
      </c>
      <c r="H3488" s="12" t="inlineStr">
        <is>
          <t>Absorber C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250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G-P-0056</t>
        </is>
      </c>
      <c r="B3489" s="12" t="inlineStr">
        <is>
          <t>G</t>
        </is>
      </c>
      <c r="C3489" s="12" t="inlineStr">
        <is>
          <t>Carbon capture</t>
        </is>
      </c>
      <c r="D3489" s="12" t="inlineStr">
        <is>
          <t>480 V welding receptacle 2</t>
        </is>
      </c>
      <c r="E3489" s="12" t="inlineStr"/>
      <c r="F3489" s="12" t="inlineStr">
        <is>
          <t>CCS MV switchgear building (VFDs)</t>
        </is>
      </c>
      <c r="G3489" s="12" t="inlineStr">
        <is>
          <t>ABS-C</t>
        </is>
      </c>
      <c r="H3489" s="12" t="inlineStr">
        <is>
          <t>Absorber C (62 ft dia x 262 ft, stack to 313 ft)</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Tray</t>
        </is>
      </c>
      <c r="T3489" s="17" t="n">
        <v>250</v>
      </c>
      <c r="U3489" s="17" t="n">
        <v>80</v>
      </c>
      <c r="V3489" s="17">
        <f>ROUNDUP((T3489+U3489+2*'Read Me'!$B$13)*(1+'Read Me'!$B$12),-1)</f>
        <v/>
      </c>
      <c r="W3489" s="17">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G-P-0057</t>
        </is>
      </c>
      <c r="B3490" s="12" t="inlineStr">
        <is>
          <t>G</t>
        </is>
      </c>
      <c r="C3490" s="12" t="inlineStr">
        <is>
          <t>Carbon capture</t>
        </is>
      </c>
      <c r="D3490" s="12" t="inlineStr">
        <is>
          <t>480 V welding receptacle 3</t>
        </is>
      </c>
      <c r="E3490" s="12" t="inlineStr"/>
      <c r="F3490" s="12" t="inlineStr">
        <is>
          <t>CCS MV switchgear building (VFDs)</t>
        </is>
      </c>
      <c r="G3490" s="12" t="inlineStr">
        <is>
          <t>ABS-C</t>
        </is>
      </c>
      <c r="H3490" s="12" t="inlineStr">
        <is>
          <t>Absorber C (62 ft dia x 262 ft, stack to 313 ft)</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Tray</t>
        </is>
      </c>
      <c r="T3490" s="17" t="n">
        <v>250</v>
      </c>
      <c r="U3490" s="17" t="n">
        <v>80</v>
      </c>
      <c r="V3490" s="17">
        <f>ROUNDUP((T3490+U3490+2*'Read Me'!$B$13)*(1+'Read Me'!$B$12),-1)</f>
        <v/>
      </c>
      <c r="W3490" s="17">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G-P-0058</t>
        </is>
      </c>
      <c r="B3491" s="12" t="inlineStr">
        <is>
          <t>G</t>
        </is>
      </c>
      <c r="C3491" s="12" t="inlineStr">
        <is>
          <t>Carbon capture</t>
        </is>
      </c>
      <c r="D3491" s="12" t="inlineStr">
        <is>
          <t>480 V welding receptacle 4</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G-P-0059</t>
        </is>
      </c>
      <c r="B3492" s="12" t="inlineStr">
        <is>
          <t>G</t>
        </is>
      </c>
      <c r="C3492" s="12" t="inlineStr">
        <is>
          <t>Carbon capture</t>
        </is>
      </c>
      <c r="D3492" s="12" t="inlineStr">
        <is>
          <t>Motor 1 of 2, 150 kW</t>
        </is>
      </c>
      <c r="E3492" s="12" t="inlineStr"/>
      <c r="F3492" s="12" t="inlineStr">
        <is>
          <t>CCS MV switchgear building (VFDs)</t>
        </is>
      </c>
      <c r="G3492" s="12" t="inlineStr"/>
      <c r="H3492" s="12" t="inlineStr">
        <is>
          <t>Absorber C intercooler (pumps + plate exchanger)</t>
        </is>
      </c>
      <c r="I3492" s="12" t="inlineStr">
        <is>
          <t>LV 600 V</t>
        </is>
      </c>
      <c r="J3492" s="12" t="inlineStr">
        <is>
          <t>Type TC-ER 600 V 3/C Cu XHHW-2 + ground, PVC jacket</t>
        </is>
      </c>
      <c r="K3492" s="12" t="inlineStr">
        <is>
          <t>LV|3/C+G|350</t>
        </is>
      </c>
      <c r="L3492" s="12" t="inlineStr">
        <is>
          <t>3/C+G</t>
        </is>
      </c>
      <c r="M3492" s="12" t="inlineStr">
        <is>
          <t>350 kcmil</t>
        </is>
      </c>
      <c r="N3492" s="12" t="n">
        <v>1</v>
      </c>
      <c r="O3492" s="12" t="n">
        <v>1</v>
      </c>
      <c r="P3492" s="12" t="n">
        <v>480</v>
      </c>
      <c r="Q3492" s="12" t="n">
        <v>150</v>
      </c>
      <c r="R3492" s="12" t="n">
        <v>212.3</v>
      </c>
      <c r="S3492" s="12" t="inlineStr">
        <is>
          <t>Tray</t>
        </is>
      </c>
      <c r="T3492" s="17" t="n">
        <v>232</v>
      </c>
      <c r="U3492" s="17" t="n">
        <v>81</v>
      </c>
      <c r="V3492" s="17">
        <f>ROUNDUP((T3492+U3492+2*'Read Me'!$B$13)*(1+'Read Me'!$B$12),-1)</f>
        <v/>
      </c>
      <c r="W3492" s="17">
        <f>V3492*N3492*O3492</f>
        <v/>
      </c>
      <c r="X3492" s="12">
        <f>IF(LEFT(I3492,2)="MV",2*N3492*IF(L3492="1/C",O3492,1),0)</f>
        <v/>
      </c>
      <c r="Y3492" s="12">
        <f>IF(OR(LEFT(K3492,4)="LVAX",LEFT(K3492,6)="MV15AX",LEFT(K3492,4)="CTAX",LEFT(K3492,2)="W|"),2*N3492*O3492,0)</f>
        <v/>
      </c>
      <c r="Z3492" s="12" t="inlineStr">
        <is>
          <t>VD 1.0 %</t>
        </is>
      </c>
      <c r="AA3492" s="12">
        <f>N3492*O3492</f>
        <v/>
      </c>
    </row>
    <row r="3493">
      <c r="A3493" s="12" t="inlineStr">
        <is>
          <t>G-P-0060</t>
        </is>
      </c>
      <c r="B3493" s="12" t="inlineStr">
        <is>
          <t>G</t>
        </is>
      </c>
      <c r="C3493" s="12" t="inlineStr">
        <is>
          <t>Carbon capture</t>
        </is>
      </c>
      <c r="D3493" s="12" t="inlineStr">
        <is>
          <t>Motor 2 of 2, 150 kW</t>
        </is>
      </c>
      <c r="E3493" s="12" t="inlineStr"/>
      <c r="F3493" s="12" t="inlineStr">
        <is>
          <t>CCS MV switchgear building (VFDs)</t>
        </is>
      </c>
      <c r="G3493" s="12" t="inlineStr"/>
      <c r="H3493" s="12" t="inlineStr">
        <is>
          <t>Absorber C intercooler (pumps + plate exchanger)</t>
        </is>
      </c>
      <c r="I3493" s="12" t="inlineStr">
        <is>
          <t>LV 600 V</t>
        </is>
      </c>
      <c r="J3493" s="12" t="inlineStr">
        <is>
          <t>Type TC-ER 600 V 3/C Cu XHHW-2 + ground, PVC jacket</t>
        </is>
      </c>
      <c r="K3493" s="12" t="inlineStr">
        <is>
          <t>LV|3/C+G|350</t>
        </is>
      </c>
      <c r="L3493" s="12" t="inlineStr">
        <is>
          <t>3/C+G</t>
        </is>
      </c>
      <c r="M3493" s="12" t="inlineStr">
        <is>
          <t>350 kcmil</t>
        </is>
      </c>
      <c r="N3493" s="12" t="n">
        <v>1</v>
      </c>
      <c r="O3493" s="12" t="n">
        <v>1</v>
      </c>
      <c r="P3493" s="12" t="n">
        <v>480</v>
      </c>
      <c r="Q3493" s="12" t="n">
        <v>150</v>
      </c>
      <c r="R3493" s="12" t="n">
        <v>212.3</v>
      </c>
      <c r="S3493" s="12" t="inlineStr">
        <is>
          <t>Tray</t>
        </is>
      </c>
      <c r="T3493" s="17" t="n">
        <v>232</v>
      </c>
      <c r="U3493" s="17" t="n">
        <v>81</v>
      </c>
      <c r="V3493" s="17">
        <f>ROUNDUP((T3493+U3493+2*'Read Me'!$B$13)*(1+'Read Me'!$B$12),-1)</f>
        <v/>
      </c>
      <c r="W3493" s="17">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G-P-0061</t>
        </is>
      </c>
      <c r="B3494" s="12" t="inlineStr">
        <is>
          <t>G</t>
        </is>
      </c>
      <c r="C3494" s="12" t="inlineStr">
        <is>
          <t>Carbon capture</t>
        </is>
      </c>
      <c r="D3494" s="12" t="inlineStr">
        <is>
          <t>LV power feeder</t>
        </is>
      </c>
      <c r="E3494" s="12" t="inlineStr"/>
      <c r="F3494" s="12" t="inlineStr">
        <is>
          <t>CCS MV switchgear building (VFDs)</t>
        </is>
      </c>
      <c r="G3494" s="12" t="inlineStr"/>
      <c r="H3494" s="12" t="inlineStr">
        <is>
          <t>Activated-carbon filter</t>
        </is>
      </c>
      <c r="I3494" s="12" t="inlineStr">
        <is>
          <t>LV 600 V</t>
        </is>
      </c>
      <c r="J3494" s="12" t="inlineStr">
        <is>
          <t>Type TC-ER 600 V 3/C Cu XHHW-2 + ground, PVC jacket</t>
        </is>
      </c>
      <c r="K3494" s="12" t="inlineStr">
        <is>
          <t>LV|3/C+G|8</t>
        </is>
      </c>
      <c r="L3494" s="12" t="inlineStr">
        <is>
          <t>3/C+G</t>
        </is>
      </c>
      <c r="M3494" s="12" t="inlineStr">
        <is>
          <t>8</t>
        </is>
      </c>
      <c r="N3494" s="12" t="n">
        <v>1</v>
      </c>
      <c r="O3494" s="12" t="n">
        <v>1</v>
      </c>
      <c r="P3494" s="12" t="n">
        <v>480</v>
      </c>
      <c r="Q3494" s="12" t="n">
        <v>15</v>
      </c>
      <c r="R3494" s="12" t="n">
        <v>21.2</v>
      </c>
      <c r="S3494" s="12" t="inlineStr">
        <is>
          <t>Duct bank</t>
        </is>
      </c>
      <c r="T3494" s="17" t="n">
        <v>289</v>
      </c>
      <c r="U3494" s="17" t="n">
        <v>43</v>
      </c>
      <c r="V3494" s="17">
        <f>ROUNDUP((T3494+U3494+2*'Read Me'!$B$13)*(1+'Read Me'!$B$12),-1)</f>
        <v/>
      </c>
      <c r="W3494" s="17">
        <f>V3494*N3494*O3494</f>
        <v/>
      </c>
      <c r="X3494" s="12">
        <f>IF(LEFT(I3494,2)="MV",2*N3494*IF(L3494="1/C",O3494,1),0)</f>
        <v/>
      </c>
      <c r="Y3494" s="12">
        <f>IF(OR(LEFT(K3494,4)="LVAX",LEFT(K3494,6)="MV15AX",LEFT(K3494,4)="CTAX",LEFT(K3494,2)="W|"),2*N3494*O3494,0)</f>
        <v/>
      </c>
      <c r="Z3494" s="12" t="inlineStr">
        <is>
          <t>VD 2.1 %</t>
        </is>
      </c>
      <c r="AA3494" s="12">
        <f>N3494*O3494</f>
        <v/>
      </c>
    </row>
    <row r="3495">
      <c r="A3495" s="12" t="inlineStr">
        <is>
          <t>G-P-0062</t>
        </is>
      </c>
      <c r="B3495" s="12" t="inlineStr">
        <is>
          <t>G</t>
        </is>
      </c>
      <c r="C3495" s="12" t="inlineStr">
        <is>
          <t>Carbon capture</t>
        </is>
      </c>
      <c r="D3495" s="12" t="inlineStr">
        <is>
          <t>Motor 1 of 4, 15 kW</t>
        </is>
      </c>
      <c r="E3495" s="12" t="inlineStr"/>
      <c r="F3495" s="12" t="inlineStr">
        <is>
          <t>CCS MV switchgear building (VFDs)</t>
        </is>
      </c>
      <c r="G3495" s="12" t="inlineStr">
        <is>
          <t>BF-A</t>
        </is>
      </c>
      <c r="H3495" s="12" t="inlineStr">
        <is>
          <t>BF-A: booster fan (~16 MW)</t>
        </is>
      </c>
      <c r="I3495" s="12" t="inlineStr">
        <is>
          <t>LV 600 V</t>
        </is>
      </c>
      <c r="J3495" s="12" t="inlineStr">
        <is>
          <t>Type TC-ER 600 V 3/C Cu XHHW-2 + ground, PVC jacket</t>
        </is>
      </c>
      <c r="K3495" s="12" t="inlineStr">
        <is>
          <t>LV|3/C+G|6</t>
        </is>
      </c>
      <c r="L3495" s="12" t="inlineStr">
        <is>
          <t>3/C+G</t>
        </is>
      </c>
      <c r="M3495" s="12" t="inlineStr">
        <is>
          <t>6</t>
        </is>
      </c>
      <c r="N3495" s="12" t="n">
        <v>1</v>
      </c>
      <c r="O3495" s="12" t="n">
        <v>1</v>
      </c>
      <c r="P3495" s="12" t="n">
        <v>480</v>
      </c>
      <c r="Q3495" s="12" t="n">
        <v>15</v>
      </c>
      <c r="R3495" s="12" t="n">
        <v>21.2</v>
      </c>
      <c r="S3495" s="12" t="inlineStr">
        <is>
          <t>Duct bank</t>
        </is>
      </c>
      <c r="T3495" s="17" t="n">
        <v>460</v>
      </c>
      <c r="U3495" s="17" t="n">
        <v>32</v>
      </c>
      <c r="V3495" s="17">
        <f>ROUNDUP((T3495+U3495+2*'Read Me'!$B$13)*(1+'Read Me'!$B$12),-1)</f>
        <v/>
      </c>
      <c r="W3495" s="17">
        <f>V3495*N3495*O3495</f>
        <v/>
      </c>
      <c r="X3495" s="12">
        <f>IF(LEFT(I3495,2)="MV",2*N3495*IF(L3495="1/C",O3495,1),0)</f>
        <v/>
      </c>
      <c r="Y3495" s="12">
        <f>IF(OR(LEFT(K3495,4)="LVAX",LEFT(K3495,6)="MV15AX",LEFT(K3495,4)="CTAX",LEFT(K3495,2)="W|"),2*N3495*O3495,0)</f>
        <v/>
      </c>
      <c r="Z3495" s="12" t="inlineStr">
        <is>
          <t>VD 2.0 %</t>
        </is>
      </c>
      <c r="AA3495" s="12">
        <f>N3495*O3495</f>
        <v/>
      </c>
    </row>
    <row r="3496">
      <c r="A3496" s="12" t="inlineStr">
        <is>
          <t>G-P-0063</t>
        </is>
      </c>
      <c r="B3496" s="12" t="inlineStr">
        <is>
          <t>G</t>
        </is>
      </c>
      <c r="C3496" s="12" t="inlineStr">
        <is>
          <t>Carbon capture</t>
        </is>
      </c>
      <c r="D3496" s="12" t="inlineStr">
        <is>
          <t>Motor 2 of 4, 15 kW</t>
        </is>
      </c>
      <c r="E3496" s="12" t="inlineStr"/>
      <c r="F3496" s="12" t="inlineStr">
        <is>
          <t>CCS MV switchgear building (VFDs)</t>
        </is>
      </c>
      <c r="G3496" s="12" t="inlineStr">
        <is>
          <t>BF-A</t>
        </is>
      </c>
      <c r="H3496" s="12" t="inlineStr">
        <is>
          <t>BF-A: booster fan (~16 MW)</t>
        </is>
      </c>
      <c r="I3496" s="12" t="inlineStr">
        <is>
          <t>LV 600 V</t>
        </is>
      </c>
      <c r="J3496" s="12" t="inlineStr">
        <is>
          <t>Type TC-ER 600 V 3/C Cu XHHW-2 + ground, PVC jacket</t>
        </is>
      </c>
      <c r="K3496" s="12" t="inlineStr">
        <is>
          <t>LV|3/C+G|6</t>
        </is>
      </c>
      <c r="L3496" s="12" t="inlineStr">
        <is>
          <t>3/C+G</t>
        </is>
      </c>
      <c r="M3496" s="12" t="inlineStr">
        <is>
          <t>6</t>
        </is>
      </c>
      <c r="N3496" s="12" t="n">
        <v>1</v>
      </c>
      <c r="O3496" s="12" t="n">
        <v>1</v>
      </c>
      <c r="P3496" s="12" t="n">
        <v>480</v>
      </c>
      <c r="Q3496" s="12" t="n">
        <v>15</v>
      </c>
      <c r="R3496" s="12" t="n">
        <v>21.2</v>
      </c>
      <c r="S3496" s="12" t="inlineStr">
        <is>
          <t>Duct bank</t>
        </is>
      </c>
      <c r="T3496" s="17" t="n">
        <v>460</v>
      </c>
      <c r="U3496" s="17" t="n">
        <v>32</v>
      </c>
      <c r="V3496" s="17">
        <f>ROUNDUP((T3496+U3496+2*'Read Me'!$B$13)*(1+'Read Me'!$B$12),-1)</f>
        <v/>
      </c>
      <c r="W3496" s="17">
        <f>V3496*N3496*O3496</f>
        <v/>
      </c>
      <c r="X3496" s="12">
        <f>IF(LEFT(I3496,2)="MV",2*N3496*IF(L3496="1/C",O3496,1),0)</f>
        <v/>
      </c>
      <c r="Y3496" s="12">
        <f>IF(OR(LEFT(K3496,4)="LVAX",LEFT(K3496,6)="MV15AX",LEFT(K3496,4)="CTAX",LEFT(K3496,2)="W|"),2*N3496*O3496,0)</f>
        <v/>
      </c>
      <c r="Z3496" s="12" t="inlineStr">
        <is>
          <t>VD 2.0 %</t>
        </is>
      </c>
      <c r="AA3496" s="12">
        <f>N3496*O3496</f>
        <v/>
      </c>
    </row>
    <row r="3497">
      <c r="A3497" s="12" t="inlineStr">
        <is>
          <t>G-P-0064</t>
        </is>
      </c>
      <c r="B3497" s="12" t="inlineStr">
        <is>
          <t>G</t>
        </is>
      </c>
      <c r="C3497" s="12" t="inlineStr">
        <is>
          <t>Carbon capture</t>
        </is>
      </c>
      <c r="D3497" s="12" t="inlineStr">
        <is>
          <t>Motor 3 of 4, 15 kW</t>
        </is>
      </c>
      <c r="E3497" s="12" t="inlineStr"/>
      <c r="F3497" s="12" t="inlineStr">
        <is>
          <t>CCS MV switchgear building (VFDs)</t>
        </is>
      </c>
      <c r="G3497" s="12" t="inlineStr">
        <is>
          <t>BF-A</t>
        </is>
      </c>
      <c r="H3497" s="12" t="inlineStr">
        <is>
          <t>BF-A: booster fan (~16 MW)</t>
        </is>
      </c>
      <c r="I3497" s="12" t="inlineStr">
        <is>
          <t>LV 600 V</t>
        </is>
      </c>
      <c r="J3497" s="12" t="inlineStr">
        <is>
          <t>Type TC-ER 600 V 3/C Cu XHHW-2 + ground, PVC jacket</t>
        </is>
      </c>
      <c r="K3497" s="12" t="inlineStr">
        <is>
          <t>LV|3/C+G|6</t>
        </is>
      </c>
      <c r="L3497" s="12" t="inlineStr">
        <is>
          <t>3/C+G</t>
        </is>
      </c>
      <c r="M3497" s="12" t="inlineStr">
        <is>
          <t>6</t>
        </is>
      </c>
      <c r="N3497" s="12" t="n">
        <v>1</v>
      </c>
      <c r="O3497" s="12" t="n">
        <v>1</v>
      </c>
      <c r="P3497" s="12" t="n">
        <v>480</v>
      </c>
      <c r="Q3497" s="12" t="n">
        <v>15</v>
      </c>
      <c r="R3497" s="12" t="n">
        <v>21.2</v>
      </c>
      <c r="S3497" s="12" t="inlineStr">
        <is>
          <t>Duct bank</t>
        </is>
      </c>
      <c r="T3497" s="17" t="n">
        <v>460</v>
      </c>
      <c r="U3497" s="17" t="n">
        <v>32</v>
      </c>
      <c r="V3497" s="17">
        <f>ROUNDUP((T3497+U3497+2*'Read Me'!$B$13)*(1+'Read Me'!$B$12),-1)</f>
        <v/>
      </c>
      <c r="W3497" s="17">
        <f>V3497*N3497*O3497</f>
        <v/>
      </c>
      <c r="X3497" s="12">
        <f>IF(LEFT(I3497,2)="MV",2*N3497*IF(L3497="1/C",O3497,1),0)</f>
        <v/>
      </c>
      <c r="Y3497" s="12">
        <f>IF(OR(LEFT(K3497,4)="LVAX",LEFT(K3497,6)="MV15AX",LEFT(K3497,4)="CTAX",LEFT(K3497,2)="W|"),2*N3497*O3497,0)</f>
        <v/>
      </c>
      <c r="Z3497" s="12" t="inlineStr">
        <is>
          <t>VD 2.0 %</t>
        </is>
      </c>
      <c r="AA3497" s="12">
        <f>N3497*O3497</f>
        <v/>
      </c>
    </row>
    <row r="3498">
      <c r="A3498" s="12" t="inlineStr">
        <is>
          <t>G-P-0065</t>
        </is>
      </c>
      <c r="B3498" s="12" t="inlineStr">
        <is>
          <t>G</t>
        </is>
      </c>
      <c r="C3498" s="12" t="inlineStr">
        <is>
          <t>Carbon capture</t>
        </is>
      </c>
      <c r="D3498" s="12" t="inlineStr">
        <is>
          <t>Motor 4 of 4, 15 kW</t>
        </is>
      </c>
      <c r="E3498" s="12" t="inlineStr"/>
      <c r="F3498" s="12" t="inlineStr">
        <is>
          <t>CCS MV switchgear building (VFDs)</t>
        </is>
      </c>
      <c r="G3498" s="12" t="inlineStr">
        <is>
          <t>BF-A</t>
        </is>
      </c>
      <c r="H3498" s="12" t="inlineStr">
        <is>
          <t>BF-A: booster fan (~16 MW)</t>
        </is>
      </c>
      <c r="I3498" s="12" t="inlineStr">
        <is>
          <t>LV 600 V</t>
        </is>
      </c>
      <c r="J3498" s="12" t="inlineStr">
        <is>
          <t>Type TC-ER 600 V 3/C Cu XHHW-2 + ground, PVC jacket</t>
        </is>
      </c>
      <c r="K3498" s="12" t="inlineStr">
        <is>
          <t>LV|3/C+G|6</t>
        </is>
      </c>
      <c r="L3498" s="12" t="inlineStr">
        <is>
          <t>3/C+G</t>
        </is>
      </c>
      <c r="M3498" s="12" t="inlineStr">
        <is>
          <t>6</t>
        </is>
      </c>
      <c r="N3498" s="12" t="n">
        <v>1</v>
      </c>
      <c r="O3498" s="12" t="n">
        <v>1</v>
      </c>
      <c r="P3498" s="12" t="n">
        <v>480</v>
      </c>
      <c r="Q3498" s="12" t="n">
        <v>15</v>
      </c>
      <c r="R3498" s="12" t="n">
        <v>21.2</v>
      </c>
      <c r="S3498" s="12" t="inlineStr">
        <is>
          <t>Duct bank</t>
        </is>
      </c>
      <c r="T3498" s="17" t="n">
        <v>460</v>
      </c>
      <c r="U3498" s="17" t="n">
        <v>32</v>
      </c>
      <c r="V3498" s="17">
        <f>ROUNDUP((T3498+U3498+2*'Read Me'!$B$13)*(1+'Read Me'!$B$12),-1)</f>
        <v/>
      </c>
      <c r="W3498" s="17">
        <f>V3498*N3498*O3498</f>
        <v/>
      </c>
      <c r="X3498" s="12">
        <f>IF(LEFT(I3498,2)="MV",2*N3498*IF(L3498="1/C",O3498,1),0)</f>
        <v/>
      </c>
      <c r="Y3498" s="12">
        <f>IF(OR(LEFT(K3498,4)="LVAX",LEFT(K3498,6)="MV15AX",LEFT(K3498,4)="CTAX",LEFT(K3498,2)="W|"),2*N3498*O3498,0)</f>
        <v/>
      </c>
      <c r="Z3498" s="12" t="inlineStr">
        <is>
          <t>VD 2.0 %</t>
        </is>
      </c>
      <c r="AA3498" s="12">
        <f>N3498*O3498</f>
        <v/>
      </c>
    </row>
    <row r="3499">
      <c r="A3499" s="12" t="inlineStr">
        <is>
          <t>G-P-0066</t>
        </is>
      </c>
      <c r="B3499" s="12" t="inlineStr">
        <is>
          <t>G</t>
        </is>
      </c>
      <c r="C3499" s="12" t="inlineStr">
        <is>
          <t>Carbon capture</t>
        </is>
      </c>
      <c r="D3499" s="12" t="inlineStr">
        <is>
          <t>480 V welding receptacle 1</t>
        </is>
      </c>
      <c r="E3499" s="12" t="inlineStr"/>
      <c r="F3499" s="12" t="inlineStr">
        <is>
          <t>CCS MV switchgear building (VFDs)</t>
        </is>
      </c>
      <c r="G3499" s="12" t="inlineStr">
        <is>
          <t>BF-A</t>
        </is>
      </c>
      <c r="H3499" s="12" t="inlineStr">
        <is>
          <t>BF-A: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7" t="n">
        <v>460</v>
      </c>
      <c r="U3499" s="17" t="n">
        <v>32</v>
      </c>
      <c r="V3499" s="17">
        <f>ROUNDUP((T3499+U3499+2*'Read Me'!$B$13)*(1+'Read Me'!$B$12),-1)</f>
        <v/>
      </c>
      <c r="W3499" s="17">
        <f>V3499*N3499*O3499</f>
        <v/>
      </c>
      <c r="X3499" s="12">
        <f>IF(LEFT(I3499,2)="MV",2*N3499*IF(L3499="1/C",O3499,1),0)</f>
        <v/>
      </c>
      <c r="Y3499" s="12">
        <f>IF(OR(LEFT(K3499,4)="LVAX",LEFT(K3499,6)="MV15AX",LEFT(K3499,4)="CTAX",LEFT(K3499,2)="W|"),2*N3499*O3499,0)</f>
        <v/>
      </c>
      <c r="Z3499" s="12" t="inlineStr">
        <is>
          <t>VD 2.9 %</t>
        </is>
      </c>
      <c r="AA3499" s="12">
        <f>N3499*O3499</f>
        <v/>
      </c>
    </row>
    <row r="3500">
      <c r="A3500" s="12" t="inlineStr">
        <is>
          <t>G-P-0067</t>
        </is>
      </c>
      <c r="B3500" s="12" t="inlineStr">
        <is>
          <t>G</t>
        </is>
      </c>
      <c r="C3500" s="12" t="inlineStr">
        <is>
          <t>Carbon capture</t>
        </is>
      </c>
      <c r="D3500" s="12" t="inlineStr">
        <is>
          <t>480 V welding receptacle 2</t>
        </is>
      </c>
      <c r="E3500" s="12" t="inlineStr"/>
      <c r="F3500" s="12" t="inlineStr">
        <is>
          <t>CCS MV switchgear building (VFDs)</t>
        </is>
      </c>
      <c r="G3500" s="12" t="inlineStr">
        <is>
          <t>BF-A</t>
        </is>
      </c>
      <c r="H3500" s="12" t="inlineStr">
        <is>
          <t>BF-A: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7" t="n">
        <v>460</v>
      </c>
      <c r="U3500" s="17" t="n">
        <v>32</v>
      </c>
      <c r="V3500" s="17">
        <f>ROUNDUP((T3500+U3500+2*'Read Me'!$B$13)*(1+'Read Me'!$B$12),-1)</f>
        <v/>
      </c>
      <c r="W3500" s="17">
        <f>V3500*N3500*O3500</f>
        <v/>
      </c>
      <c r="X3500" s="12">
        <f>IF(LEFT(I3500,2)="MV",2*N3500*IF(L3500="1/C",O3500,1),0)</f>
        <v/>
      </c>
      <c r="Y3500" s="12">
        <f>IF(OR(LEFT(K3500,4)="LVAX",LEFT(K3500,6)="MV15AX",LEFT(K3500,4)="CTAX",LEFT(K3500,2)="W|"),2*N3500*O3500,0)</f>
        <v/>
      </c>
      <c r="Z3500" s="12" t="inlineStr">
        <is>
          <t>VD 2.9 %</t>
        </is>
      </c>
      <c r="AA3500" s="12">
        <f>N3500*O3500</f>
        <v/>
      </c>
    </row>
    <row r="3501">
      <c r="A3501" s="12" t="inlineStr">
        <is>
          <t>G-P-0068</t>
        </is>
      </c>
      <c r="B3501" s="12" t="inlineStr">
        <is>
          <t>G</t>
        </is>
      </c>
      <c r="C3501" s="12" t="inlineStr">
        <is>
          <t>Carbon capture</t>
        </is>
      </c>
      <c r="D3501" s="12" t="inlineStr">
        <is>
          <t>480 V welding receptacle 3</t>
        </is>
      </c>
      <c r="E3501" s="12" t="inlineStr"/>
      <c r="F3501" s="12" t="inlineStr">
        <is>
          <t>CCS MV switchgear building (VFDs)</t>
        </is>
      </c>
      <c r="G3501" s="12" t="inlineStr">
        <is>
          <t>BF-A</t>
        </is>
      </c>
      <c r="H3501" s="12" t="inlineStr">
        <is>
          <t>BF-A: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Duct bank</t>
        </is>
      </c>
      <c r="T3501" s="17" t="n">
        <v>460</v>
      </c>
      <c r="U3501" s="17" t="n">
        <v>32</v>
      </c>
      <c r="V3501" s="17">
        <f>ROUNDUP((T3501+U3501+2*'Read Me'!$B$13)*(1+'Read Me'!$B$12),-1)</f>
        <v/>
      </c>
      <c r="W3501" s="17">
        <f>V3501*N3501*O3501</f>
        <v/>
      </c>
      <c r="X3501" s="12">
        <f>IF(LEFT(I3501,2)="MV",2*N3501*IF(L3501="1/C",O3501,1),0)</f>
        <v/>
      </c>
      <c r="Y3501" s="12">
        <f>IF(OR(LEFT(K3501,4)="LVAX",LEFT(K3501,6)="MV15AX",LEFT(K3501,4)="CTAX",LEFT(K3501,2)="W|"),2*N3501*O3501,0)</f>
        <v/>
      </c>
      <c r="Z3501" s="12" t="inlineStr">
        <is>
          <t>VD 2.9 %</t>
        </is>
      </c>
      <c r="AA3501" s="12">
        <f>N3501*O3501</f>
        <v/>
      </c>
    </row>
    <row r="3502">
      <c r="A3502" s="12" t="inlineStr">
        <is>
          <t>G-P-0069</t>
        </is>
      </c>
      <c r="B3502" s="12" t="inlineStr">
        <is>
          <t>G</t>
        </is>
      </c>
      <c r="C3502" s="12" t="inlineStr">
        <is>
          <t>Carbon capture</t>
        </is>
      </c>
      <c r="D3502" s="12" t="inlineStr">
        <is>
          <t>480 V welding receptacle 4</t>
        </is>
      </c>
      <c r="E3502" s="12" t="inlineStr"/>
      <c r="F3502" s="12" t="inlineStr">
        <is>
          <t>CCS MV switchgear building (VFDs)</t>
        </is>
      </c>
      <c r="G3502" s="12" t="inlineStr">
        <is>
          <t>BF-A</t>
        </is>
      </c>
      <c r="H3502" s="12" t="inlineStr">
        <is>
          <t>BF-A: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Duct bank</t>
        </is>
      </c>
      <c r="T3502" s="17" t="n">
        <v>460</v>
      </c>
      <c r="U3502" s="17" t="n">
        <v>32</v>
      </c>
      <c r="V3502" s="17">
        <f>ROUNDUP((T3502+U3502+2*'Read Me'!$B$13)*(1+'Read Me'!$B$12),-1)</f>
        <v/>
      </c>
      <c r="W3502" s="17">
        <f>V3502*N3502*O3502</f>
        <v/>
      </c>
      <c r="X3502" s="12">
        <f>IF(LEFT(I3502,2)="MV",2*N3502*IF(L3502="1/C",O3502,1),0)</f>
        <v/>
      </c>
      <c r="Y3502" s="12">
        <f>IF(OR(LEFT(K3502,4)="LVAX",LEFT(K3502,6)="MV15AX",LEFT(K3502,4)="CTAX",LEFT(K3502,2)="W|"),2*N3502*O3502,0)</f>
        <v/>
      </c>
      <c r="Z3502" s="12" t="inlineStr">
        <is>
          <t>VD 2.9 %</t>
        </is>
      </c>
      <c r="AA3502" s="12">
        <f>N3502*O3502</f>
        <v/>
      </c>
    </row>
    <row r="3503">
      <c r="A3503" s="12" t="inlineStr">
        <is>
          <t>G-P-0070</t>
        </is>
      </c>
      <c r="B3503" s="12" t="inlineStr">
        <is>
          <t>G</t>
        </is>
      </c>
      <c r="C3503" s="12" t="inlineStr">
        <is>
          <t>Carbon capture</t>
        </is>
      </c>
      <c r="D3503" s="12" t="inlineStr">
        <is>
          <t>Motor 1 of 4, 15 kW</t>
        </is>
      </c>
      <c r="E3503" s="12" t="inlineStr"/>
      <c r="F3503" s="12" t="inlineStr">
        <is>
          <t>CCS MV switchgear building (VFDs)</t>
        </is>
      </c>
      <c r="G3503" s="12" t="inlineStr">
        <is>
          <t>BF-B</t>
        </is>
      </c>
      <c r="H3503" s="12" t="inlineStr">
        <is>
          <t>BF-B: booster fan (~16 MW)</t>
        </is>
      </c>
      <c r="I3503" s="12" t="inlineStr">
        <is>
          <t>LV 600 V</t>
        </is>
      </c>
      <c r="J3503" s="12" t="inlineStr">
        <is>
          <t>Type TC-ER 600 V 3/C Cu XHHW-2 + ground, PVC jacket</t>
        </is>
      </c>
      <c r="K3503" s="12" t="inlineStr">
        <is>
          <t>LV|3/C+G|8</t>
        </is>
      </c>
      <c r="L3503" s="12" t="inlineStr">
        <is>
          <t>3/C+G</t>
        </is>
      </c>
      <c r="M3503" s="12" t="inlineStr">
        <is>
          <t>8</t>
        </is>
      </c>
      <c r="N3503" s="12" t="n">
        <v>1</v>
      </c>
      <c r="O3503" s="12" t="n">
        <v>1</v>
      </c>
      <c r="P3503" s="12" t="n">
        <v>480</v>
      </c>
      <c r="Q3503" s="12" t="n">
        <v>15</v>
      </c>
      <c r="R3503" s="12" t="n">
        <v>21.2</v>
      </c>
      <c r="S3503" s="12" t="inlineStr">
        <is>
          <t>Duct bank</t>
        </is>
      </c>
      <c r="T3503" s="17" t="n">
        <v>300</v>
      </c>
      <c r="U3503" s="17" t="n">
        <v>32</v>
      </c>
      <c r="V3503" s="17">
        <f>ROUNDUP((T3503+U3503+2*'Read Me'!$B$13)*(1+'Read Me'!$B$12),-1)</f>
        <v/>
      </c>
      <c r="W3503" s="17">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G-P-0071</t>
        </is>
      </c>
      <c r="B3504" s="12" t="inlineStr">
        <is>
          <t>G</t>
        </is>
      </c>
      <c r="C3504" s="12" t="inlineStr">
        <is>
          <t>Carbon capture</t>
        </is>
      </c>
      <c r="D3504" s="12" t="inlineStr">
        <is>
          <t>Motor 2 of 4, 15 kW</t>
        </is>
      </c>
      <c r="E3504" s="12" t="inlineStr"/>
      <c r="F3504" s="12" t="inlineStr">
        <is>
          <t>CCS MV switchgear building (VFDs)</t>
        </is>
      </c>
      <c r="G3504" s="12" t="inlineStr">
        <is>
          <t>BF-B</t>
        </is>
      </c>
      <c r="H3504" s="12" t="inlineStr">
        <is>
          <t>BF-B: booster fan (~16 MW)</t>
        </is>
      </c>
      <c r="I3504" s="12" t="inlineStr">
        <is>
          <t>LV 600 V</t>
        </is>
      </c>
      <c r="J3504" s="12" t="inlineStr">
        <is>
          <t>Type TC-ER 600 V 3/C Cu XHHW-2 + ground, PVC jacket</t>
        </is>
      </c>
      <c r="K3504" s="12" t="inlineStr">
        <is>
          <t>LV|3/C+G|8</t>
        </is>
      </c>
      <c r="L3504" s="12" t="inlineStr">
        <is>
          <t>3/C+G</t>
        </is>
      </c>
      <c r="M3504" s="12" t="inlineStr">
        <is>
          <t>8</t>
        </is>
      </c>
      <c r="N3504" s="12" t="n">
        <v>1</v>
      </c>
      <c r="O3504" s="12" t="n">
        <v>1</v>
      </c>
      <c r="P3504" s="12" t="n">
        <v>480</v>
      </c>
      <c r="Q3504" s="12" t="n">
        <v>15</v>
      </c>
      <c r="R3504" s="12" t="n">
        <v>21.2</v>
      </c>
      <c r="S3504" s="12" t="inlineStr">
        <is>
          <t>Duct bank</t>
        </is>
      </c>
      <c r="T3504" s="17" t="n">
        <v>300</v>
      </c>
      <c r="U3504" s="17" t="n">
        <v>32</v>
      </c>
      <c r="V3504" s="17">
        <f>ROUNDUP((T3504+U3504+2*'Read Me'!$B$13)*(1+'Read Me'!$B$12),-1)</f>
        <v/>
      </c>
      <c r="W3504" s="17">
        <f>V3504*N3504*O3504</f>
        <v/>
      </c>
      <c r="X3504" s="12">
        <f>IF(LEFT(I3504,2)="MV",2*N3504*IF(L3504="1/C",O3504,1),0)</f>
        <v/>
      </c>
      <c r="Y3504" s="12">
        <f>IF(OR(LEFT(K3504,4)="LVAX",LEFT(K3504,6)="MV15AX",LEFT(K3504,4)="CTAX",LEFT(K3504,2)="W|"),2*N3504*O3504,0)</f>
        <v/>
      </c>
      <c r="Z3504" s="12" t="inlineStr">
        <is>
          <t>VD 2.1 %</t>
        </is>
      </c>
      <c r="AA3504" s="12">
        <f>N3504*O3504</f>
        <v/>
      </c>
    </row>
    <row r="3505">
      <c r="A3505" s="12" t="inlineStr">
        <is>
          <t>G-P-0072</t>
        </is>
      </c>
      <c r="B3505" s="12" t="inlineStr">
        <is>
          <t>G</t>
        </is>
      </c>
      <c r="C3505" s="12" t="inlineStr">
        <is>
          <t>Carbon capture</t>
        </is>
      </c>
      <c r="D3505" s="12" t="inlineStr">
        <is>
          <t>Motor 3 of 4, 15 kW</t>
        </is>
      </c>
      <c r="E3505" s="12" t="inlineStr"/>
      <c r="F3505" s="12" t="inlineStr">
        <is>
          <t>CCS MV switchgear building (VFDs)</t>
        </is>
      </c>
      <c r="G3505" s="12" t="inlineStr">
        <is>
          <t>BF-B</t>
        </is>
      </c>
      <c r="H3505" s="12" t="inlineStr">
        <is>
          <t>BF-B: booster fan (~16 MW)</t>
        </is>
      </c>
      <c r="I3505" s="12" t="inlineStr">
        <is>
          <t>LV 600 V</t>
        </is>
      </c>
      <c r="J3505" s="12" t="inlineStr">
        <is>
          <t>Type TC-ER 600 V 3/C Cu XHHW-2 + ground, PVC jacket</t>
        </is>
      </c>
      <c r="K3505" s="12" t="inlineStr">
        <is>
          <t>LV|3/C+G|8</t>
        </is>
      </c>
      <c r="L3505" s="12" t="inlineStr">
        <is>
          <t>3/C+G</t>
        </is>
      </c>
      <c r="M3505" s="12" t="inlineStr">
        <is>
          <t>8</t>
        </is>
      </c>
      <c r="N3505" s="12" t="n">
        <v>1</v>
      </c>
      <c r="O3505" s="12" t="n">
        <v>1</v>
      </c>
      <c r="P3505" s="12" t="n">
        <v>480</v>
      </c>
      <c r="Q3505" s="12" t="n">
        <v>15</v>
      </c>
      <c r="R3505" s="12" t="n">
        <v>21.2</v>
      </c>
      <c r="S3505" s="12" t="inlineStr">
        <is>
          <t>Duct bank</t>
        </is>
      </c>
      <c r="T3505" s="17" t="n">
        <v>300</v>
      </c>
      <c r="U3505" s="17" t="n">
        <v>32</v>
      </c>
      <c r="V3505" s="17">
        <f>ROUNDUP((T3505+U3505+2*'Read Me'!$B$13)*(1+'Read Me'!$B$12),-1)</f>
        <v/>
      </c>
      <c r="W3505" s="17">
        <f>V3505*N3505*O3505</f>
        <v/>
      </c>
      <c r="X3505" s="12">
        <f>IF(LEFT(I3505,2)="MV",2*N3505*IF(L3505="1/C",O3505,1),0)</f>
        <v/>
      </c>
      <c r="Y3505" s="12">
        <f>IF(OR(LEFT(K3505,4)="LVAX",LEFT(K3505,6)="MV15AX",LEFT(K3505,4)="CTAX",LEFT(K3505,2)="W|"),2*N3505*O3505,0)</f>
        <v/>
      </c>
      <c r="Z3505" s="12" t="inlineStr">
        <is>
          <t>VD 2.1 %</t>
        </is>
      </c>
      <c r="AA3505" s="12">
        <f>N3505*O3505</f>
        <v/>
      </c>
    </row>
    <row r="3506">
      <c r="A3506" s="12" t="inlineStr">
        <is>
          <t>G-P-0073</t>
        </is>
      </c>
      <c r="B3506" s="12" t="inlineStr">
        <is>
          <t>G</t>
        </is>
      </c>
      <c r="C3506" s="12" t="inlineStr">
        <is>
          <t>Carbon capture</t>
        </is>
      </c>
      <c r="D3506" s="12" t="inlineStr">
        <is>
          <t>Motor 4 of 4, 15 kW</t>
        </is>
      </c>
      <c r="E3506" s="12" t="inlineStr"/>
      <c r="F3506" s="12" t="inlineStr">
        <is>
          <t>CCS MV switchgear building (VFDs)</t>
        </is>
      </c>
      <c r="G3506" s="12" t="inlineStr">
        <is>
          <t>BF-B</t>
        </is>
      </c>
      <c r="H3506" s="12" t="inlineStr">
        <is>
          <t>BF-B: booster fan (~16 MW)</t>
        </is>
      </c>
      <c r="I3506" s="12" t="inlineStr">
        <is>
          <t>LV 600 V</t>
        </is>
      </c>
      <c r="J3506" s="12" t="inlineStr">
        <is>
          <t>Type TC-ER 600 V 3/C Cu XHHW-2 + ground, PVC jacket</t>
        </is>
      </c>
      <c r="K3506" s="12" t="inlineStr">
        <is>
          <t>LV|3/C+G|8</t>
        </is>
      </c>
      <c r="L3506" s="12" t="inlineStr">
        <is>
          <t>3/C+G</t>
        </is>
      </c>
      <c r="M3506" s="12" t="inlineStr">
        <is>
          <t>8</t>
        </is>
      </c>
      <c r="N3506" s="12" t="n">
        <v>1</v>
      </c>
      <c r="O3506" s="12" t="n">
        <v>1</v>
      </c>
      <c r="P3506" s="12" t="n">
        <v>480</v>
      </c>
      <c r="Q3506" s="12" t="n">
        <v>15</v>
      </c>
      <c r="R3506" s="12" t="n">
        <v>21.2</v>
      </c>
      <c r="S3506" s="12" t="inlineStr">
        <is>
          <t>Duct bank</t>
        </is>
      </c>
      <c r="T3506" s="17" t="n">
        <v>300</v>
      </c>
      <c r="U3506" s="17" t="n">
        <v>32</v>
      </c>
      <c r="V3506" s="17">
        <f>ROUNDUP((T3506+U3506+2*'Read Me'!$B$13)*(1+'Read Me'!$B$12),-1)</f>
        <v/>
      </c>
      <c r="W3506" s="17">
        <f>V3506*N3506*O3506</f>
        <v/>
      </c>
      <c r="X3506" s="12">
        <f>IF(LEFT(I3506,2)="MV",2*N3506*IF(L3506="1/C",O3506,1),0)</f>
        <v/>
      </c>
      <c r="Y3506" s="12">
        <f>IF(OR(LEFT(K3506,4)="LVAX",LEFT(K3506,6)="MV15AX",LEFT(K3506,4)="CTAX",LEFT(K3506,2)="W|"),2*N3506*O3506,0)</f>
        <v/>
      </c>
      <c r="Z3506" s="12" t="inlineStr">
        <is>
          <t>VD 2.1 %</t>
        </is>
      </c>
      <c r="AA3506" s="12">
        <f>N3506*O3506</f>
        <v/>
      </c>
    </row>
    <row r="3507">
      <c r="A3507" s="12" t="inlineStr">
        <is>
          <t>G-P-0074</t>
        </is>
      </c>
      <c r="B3507" s="12" t="inlineStr">
        <is>
          <t>G</t>
        </is>
      </c>
      <c r="C3507" s="12" t="inlineStr">
        <is>
          <t>Carbon capture</t>
        </is>
      </c>
      <c r="D3507" s="12" t="inlineStr">
        <is>
          <t>480 V welding receptacle 1</t>
        </is>
      </c>
      <c r="E3507" s="12" t="inlineStr"/>
      <c r="F3507" s="12" t="inlineStr">
        <is>
          <t>CCS MV switchgear building (VFDs)</t>
        </is>
      </c>
      <c r="G3507" s="12" t="inlineStr">
        <is>
          <t>BF-B</t>
        </is>
      </c>
      <c r="H3507" s="12" t="inlineStr">
        <is>
          <t>BF-B: booster fan (~16 MW)</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Duct bank</t>
        </is>
      </c>
      <c r="T3507" s="17" t="n">
        <v>300</v>
      </c>
      <c r="U3507" s="17" t="n">
        <v>32</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G-P-0075</t>
        </is>
      </c>
      <c r="B3508" s="12" t="inlineStr">
        <is>
          <t>G</t>
        </is>
      </c>
      <c r="C3508" s="12" t="inlineStr">
        <is>
          <t>Carbon capture</t>
        </is>
      </c>
      <c r="D3508" s="12" t="inlineStr">
        <is>
          <t>480 V welding receptacle 2</t>
        </is>
      </c>
      <c r="E3508" s="12" t="inlineStr"/>
      <c r="F3508" s="12" t="inlineStr">
        <is>
          <t>CCS MV switchgear building (VFDs)</t>
        </is>
      </c>
      <c r="G3508" s="12" t="inlineStr">
        <is>
          <t>BF-B</t>
        </is>
      </c>
      <c r="H3508" s="12" t="inlineStr">
        <is>
          <t>BF-B: booster fan (~16 MW)</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Duct bank</t>
        </is>
      </c>
      <c r="T3508" s="17" t="n">
        <v>300</v>
      </c>
      <c r="U3508" s="17" t="n">
        <v>32</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G-P-0076</t>
        </is>
      </c>
      <c r="B3509" s="12" t="inlineStr">
        <is>
          <t>G</t>
        </is>
      </c>
      <c r="C3509" s="12" t="inlineStr">
        <is>
          <t>Carbon capture</t>
        </is>
      </c>
      <c r="D3509" s="12" t="inlineStr">
        <is>
          <t>480 V welding receptacle 3</t>
        </is>
      </c>
      <c r="E3509" s="12" t="inlineStr"/>
      <c r="F3509" s="12" t="inlineStr">
        <is>
          <t>CCS MV switchgear building (VFDs)</t>
        </is>
      </c>
      <c r="G3509" s="12" t="inlineStr">
        <is>
          <t>BF-B</t>
        </is>
      </c>
      <c r="H3509" s="12" t="inlineStr">
        <is>
          <t>BF-B: booster fan (~16 MW)</t>
        </is>
      </c>
      <c r="I3509" s="12" t="inlineStr">
        <is>
          <t>LV 600 V</t>
        </is>
      </c>
      <c r="J3509" s="12" t="inlineStr">
        <is>
          <t>Type TC-ER 600 V 3/C Cu XHHW-2 + ground, PVC jacket</t>
        </is>
      </c>
      <c r="K3509" s="12" t="inlineStr">
        <is>
          <t>LV|3/C+G|2</t>
        </is>
      </c>
      <c r="L3509" s="12" t="inlineStr">
        <is>
          <t>3/C+G</t>
        </is>
      </c>
      <c r="M3509" s="12" t="inlineStr">
        <is>
          <t>2</t>
        </is>
      </c>
      <c r="N3509" s="12" t="n">
        <v>1</v>
      </c>
      <c r="O3509" s="12" t="n">
        <v>1</v>
      </c>
      <c r="P3509" s="12" t="n">
        <v>480</v>
      </c>
      <c r="Q3509" s="12" t="n">
        <v>60</v>
      </c>
      <c r="R3509" s="12" t="n">
        <v>76</v>
      </c>
      <c r="S3509" s="12" t="inlineStr">
        <is>
          <t>Duct bank</t>
        </is>
      </c>
      <c r="T3509" s="17" t="n">
        <v>300</v>
      </c>
      <c r="U3509" s="17" t="n">
        <v>32</v>
      </c>
      <c r="V3509" s="17">
        <f>ROUNDUP((T3509+U3509+2*'Read Me'!$B$13)*(1+'Read Me'!$B$12),-1)</f>
        <v/>
      </c>
      <c r="W3509" s="17">
        <f>V3509*N3509*O3509</f>
        <v/>
      </c>
      <c r="X3509" s="12">
        <f>IF(LEFT(I3509,2)="MV",2*N3509*IF(L3509="1/C",O3509,1),0)</f>
        <v/>
      </c>
      <c r="Y3509" s="12">
        <f>IF(OR(LEFT(K3509,4)="LVAX",LEFT(K3509,6)="MV15AX",LEFT(K3509,4)="CTAX",LEFT(K3509,2)="W|"),2*N3509*O3509,0)</f>
        <v/>
      </c>
      <c r="Z3509" s="12" t="inlineStr">
        <is>
          <t>VD 1.9 %</t>
        </is>
      </c>
      <c r="AA3509" s="12">
        <f>N3509*O3509</f>
        <v/>
      </c>
    </row>
    <row r="3510">
      <c r="A3510" s="12" t="inlineStr">
        <is>
          <t>G-P-0077</t>
        </is>
      </c>
      <c r="B3510" s="12" t="inlineStr">
        <is>
          <t>G</t>
        </is>
      </c>
      <c r="C3510" s="12" t="inlineStr">
        <is>
          <t>Carbon capture</t>
        </is>
      </c>
      <c r="D3510" s="12" t="inlineStr">
        <is>
          <t>480 V welding receptacle 4</t>
        </is>
      </c>
      <c r="E3510" s="12" t="inlineStr"/>
      <c r="F3510" s="12" t="inlineStr">
        <is>
          <t>CCS MV switchgear building (VFDs)</t>
        </is>
      </c>
      <c r="G3510" s="12" t="inlineStr">
        <is>
          <t>BF-B</t>
        </is>
      </c>
      <c r="H3510" s="12" t="inlineStr">
        <is>
          <t>BF-B: booster fan (~16 MW)</t>
        </is>
      </c>
      <c r="I3510" s="12" t="inlineStr">
        <is>
          <t>LV 600 V</t>
        </is>
      </c>
      <c r="J3510" s="12" t="inlineStr">
        <is>
          <t>Type TC-ER 600 V 3/C Cu XHHW-2 + ground, PVC jacket</t>
        </is>
      </c>
      <c r="K3510" s="12" t="inlineStr">
        <is>
          <t>LV|3/C+G|2</t>
        </is>
      </c>
      <c r="L3510" s="12" t="inlineStr">
        <is>
          <t>3/C+G</t>
        </is>
      </c>
      <c r="M3510" s="12" t="inlineStr">
        <is>
          <t>2</t>
        </is>
      </c>
      <c r="N3510" s="12" t="n">
        <v>1</v>
      </c>
      <c r="O3510" s="12" t="n">
        <v>1</v>
      </c>
      <c r="P3510" s="12" t="n">
        <v>480</v>
      </c>
      <c r="Q3510" s="12" t="n">
        <v>60</v>
      </c>
      <c r="R3510" s="12" t="n">
        <v>76</v>
      </c>
      <c r="S3510" s="12" t="inlineStr">
        <is>
          <t>Duct bank</t>
        </is>
      </c>
      <c r="T3510" s="17" t="n">
        <v>300</v>
      </c>
      <c r="U3510" s="17" t="n">
        <v>32</v>
      </c>
      <c r="V3510" s="17">
        <f>ROUNDUP((T3510+U3510+2*'Read Me'!$B$13)*(1+'Read Me'!$B$12),-1)</f>
        <v/>
      </c>
      <c r="W3510" s="17">
        <f>V3510*N3510*O3510</f>
        <v/>
      </c>
      <c r="X3510" s="12">
        <f>IF(LEFT(I3510,2)="MV",2*N3510*IF(L3510="1/C",O3510,1),0)</f>
        <v/>
      </c>
      <c r="Y3510" s="12">
        <f>IF(OR(LEFT(K3510,4)="LVAX",LEFT(K3510,6)="MV15AX",LEFT(K3510,4)="CTAX",LEFT(K3510,2)="W|"),2*N3510*O3510,0)</f>
        <v/>
      </c>
      <c r="Z3510" s="12" t="inlineStr">
        <is>
          <t>VD 1.9 %</t>
        </is>
      </c>
      <c r="AA3510" s="12">
        <f>N3510*O3510</f>
        <v/>
      </c>
    </row>
    <row r="3511">
      <c r="A3511" s="12" t="inlineStr">
        <is>
          <t>G-P-0078</t>
        </is>
      </c>
      <c r="B3511" s="12" t="inlineStr">
        <is>
          <t>G</t>
        </is>
      </c>
      <c r="C3511" s="12" t="inlineStr">
        <is>
          <t>Carbon capture</t>
        </is>
      </c>
      <c r="D3511" s="12" t="inlineStr">
        <is>
          <t>Motor 1 of 4, 15 kW</t>
        </is>
      </c>
      <c r="E3511" s="12" t="inlineStr"/>
      <c r="F3511" s="12" t="inlineStr">
        <is>
          <t>CCS MV switchgear building (VFDs)</t>
        </is>
      </c>
      <c r="G3511" s="12" t="inlineStr">
        <is>
          <t>BF-C</t>
        </is>
      </c>
      <c r="H3511" s="12" t="inlineStr">
        <is>
          <t>BF-C: booster fan (~16 MW)</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15</v>
      </c>
      <c r="R3511" s="12" t="n">
        <v>21.2</v>
      </c>
      <c r="S3511" s="12" t="inlineStr">
        <is>
          <t>Tray</t>
        </is>
      </c>
      <c r="T3511" s="17" t="n">
        <v>16</v>
      </c>
      <c r="U3511" s="17" t="n">
        <v>150</v>
      </c>
      <c r="V3511" s="17">
        <f>ROUNDUP((T3511+U3511+2*'Read Me'!$B$13)*(1+'Read Me'!$B$12),-1)</f>
        <v/>
      </c>
      <c r="W3511" s="17">
        <f>V3511*N3511*O3511</f>
        <v/>
      </c>
      <c r="X3511" s="12">
        <f>IF(LEFT(I3511,2)="MV",2*N3511*IF(L3511="1/C",O3511,1),0)</f>
        <v/>
      </c>
      <c r="Y3511" s="12">
        <f>IF(OR(LEFT(K3511,4)="LVAX",LEFT(K3511,6)="MV15AX",LEFT(K3511,4)="CTAX",LEFT(K3511,2)="W|"),2*N3511*O3511,0)</f>
        <v/>
      </c>
      <c r="Z3511" s="12" t="inlineStr">
        <is>
          <t>VD 1.7 %</t>
        </is>
      </c>
      <c r="AA3511" s="12">
        <f>N3511*O3511</f>
        <v/>
      </c>
    </row>
    <row r="3512">
      <c r="A3512" s="12" t="inlineStr">
        <is>
          <t>G-P-0079</t>
        </is>
      </c>
      <c r="B3512" s="12" t="inlineStr">
        <is>
          <t>G</t>
        </is>
      </c>
      <c r="C3512" s="12" t="inlineStr">
        <is>
          <t>Carbon capture</t>
        </is>
      </c>
      <c r="D3512" s="12" t="inlineStr">
        <is>
          <t>Motor 2 of 4, 15 kW</t>
        </is>
      </c>
      <c r="E3512" s="12" t="inlineStr"/>
      <c r="F3512" s="12" t="inlineStr">
        <is>
          <t>CCS MV switchgear building (VFDs)</t>
        </is>
      </c>
      <c r="G3512" s="12" t="inlineStr">
        <is>
          <t>BF-C</t>
        </is>
      </c>
      <c r="H3512" s="12" t="inlineStr">
        <is>
          <t>BF-C: booster fan (~16 MW)</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15</v>
      </c>
      <c r="R3512" s="12" t="n">
        <v>21.2</v>
      </c>
      <c r="S3512" s="12" t="inlineStr">
        <is>
          <t>Tray</t>
        </is>
      </c>
      <c r="T3512" s="17" t="n">
        <v>16</v>
      </c>
      <c r="U3512" s="17" t="n">
        <v>150</v>
      </c>
      <c r="V3512" s="17">
        <f>ROUNDUP((T3512+U3512+2*'Read Me'!$B$13)*(1+'Read Me'!$B$12),-1)</f>
        <v/>
      </c>
      <c r="W3512" s="17">
        <f>V3512*N3512*O3512</f>
        <v/>
      </c>
      <c r="X3512" s="12">
        <f>IF(LEFT(I3512,2)="MV",2*N3512*IF(L3512="1/C",O3512,1),0)</f>
        <v/>
      </c>
      <c r="Y3512" s="12">
        <f>IF(OR(LEFT(K3512,4)="LVAX",LEFT(K3512,6)="MV15AX",LEFT(K3512,4)="CTAX",LEFT(K3512,2)="W|"),2*N3512*O3512,0)</f>
        <v/>
      </c>
      <c r="Z3512" s="12" t="inlineStr">
        <is>
          <t>VD 1.7 %</t>
        </is>
      </c>
      <c r="AA3512" s="12">
        <f>N3512*O3512</f>
        <v/>
      </c>
    </row>
    <row r="3513">
      <c r="A3513" s="12" t="inlineStr">
        <is>
          <t>G-P-0080</t>
        </is>
      </c>
      <c r="B3513" s="12" t="inlineStr">
        <is>
          <t>G</t>
        </is>
      </c>
      <c r="C3513" s="12" t="inlineStr">
        <is>
          <t>Carbon capture</t>
        </is>
      </c>
      <c r="D3513" s="12" t="inlineStr">
        <is>
          <t>Motor 3 of 4, 15 kW</t>
        </is>
      </c>
      <c r="E3513" s="12" t="inlineStr"/>
      <c r="F3513" s="12" t="inlineStr">
        <is>
          <t>CCS MV switchgear building (VFDs)</t>
        </is>
      </c>
      <c r="G3513" s="12" t="inlineStr">
        <is>
          <t>BF-C</t>
        </is>
      </c>
      <c r="H3513" s="12" t="inlineStr">
        <is>
          <t>BF-C: booster fan (~16 MW)</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15</v>
      </c>
      <c r="R3513" s="12" t="n">
        <v>21.2</v>
      </c>
      <c r="S3513" s="12" t="inlineStr">
        <is>
          <t>Tray</t>
        </is>
      </c>
      <c r="T3513" s="17" t="n">
        <v>16</v>
      </c>
      <c r="U3513" s="17" t="n">
        <v>150</v>
      </c>
      <c r="V3513" s="17">
        <f>ROUNDUP((T3513+U3513+2*'Read Me'!$B$13)*(1+'Read Me'!$B$12),-1)</f>
        <v/>
      </c>
      <c r="W3513" s="17">
        <f>V3513*N3513*O3513</f>
        <v/>
      </c>
      <c r="X3513" s="12">
        <f>IF(LEFT(I3513,2)="MV",2*N3513*IF(L3513="1/C",O3513,1),0)</f>
        <v/>
      </c>
      <c r="Y3513" s="12">
        <f>IF(OR(LEFT(K3513,4)="LVAX",LEFT(K3513,6)="MV15AX",LEFT(K3513,4)="CTAX",LEFT(K3513,2)="W|"),2*N3513*O3513,0)</f>
        <v/>
      </c>
      <c r="Z3513" s="12" t="inlineStr">
        <is>
          <t>VD 1.7 %</t>
        </is>
      </c>
      <c r="AA3513" s="12">
        <f>N3513*O3513</f>
        <v/>
      </c>
    </row>
    <row r="3514">
      <c r="A3514" s="12" t="inlineStr">
        <is>
          <t>G-P-0081</t>
        </is>
      </c>
      <c r="B3514" s="12" t="inlineStr">
        <is>
          <t>G</t>
        </is>
      </c>
      <c r="C3514" s="12" t="inlineStr">
        <is>
          <t>Carbon capture</t>
        </is>
      </c>
      <c r="D3514" s="12" t="inlineStr">
        <is>
          <t>Motor 4 of 4, 15 kW</t>
        </is>
      </c>
      <c r="E3514" s="12" t="inlineStr"/>
      <c r="F3514" s="12" t="inlineStr">
        <is>
          <t>CCS MV switchgear building (VFDs)</t>
        </is>
      </c>
      <c r="G3514" s="12" t="inlineStr">
        <is>
          <t>BF-C</t>
        </is>
      </c>
      <c r="H3514" s="12" t="inlineStr">
        <is>
          <t>BF-C: booster fan (~16 MW)</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15</v>
      </c>
      <c r="R3514" s="12" t="n">
        <v>21.2</v>
      </c>
      <c r="S3514" s="12" t="inlineStr">
        <is>
          <t>Tray</t>
        </is>
      </c>
      <c r="T3514" s="17" t="n">
        <v>16</v>
      </c>
      <c r="U3514" s="17" t="n">
        <v>150</v>
      </c>
      <c r="V3514" s="17">
        <f>ROUNDUP((T3514+U3514+2*'Read Me'!$B$13)*(1+'Read Me'!$B$12),-1)</f>
        <v/>
      </c>
      <c r="W3514" s="17">
        <f>V3514*N3514*O3514</f>
        <v/>
      </c>
      <c r="X3514" s="12">
        <f>IF(LEFT(I3514,2)="MV",2*N3514*IF(L3514="1/C",O3514,1),0)</f>
        <v/>
      </c>
      <c r="Y3514" s="12">
        <f>IF(OR(LEFT(K3514,4)="LVAX",LEFT(K3514,6)="MV15AX",LEFT(K3514,4)="CTAX",LEFT(K3514,2)="W|"),2*N3514*O3514,0)</f>
        <v/>
      </c>
      <c r="Z3514" s="12" t="inlineStr">
        <is>
          <t>VD 1.7 %</t>
        </is>
      </c>
      <c r="AA3514" s="12">
        <f>N3514*O3514</f>
        <v/>
      </c>
    </row>
    <row r="3515">
      <c r="A3515" s="12" t="inlineStr">
        <is>
          <t>G-P-0082</t>
        </is>
      </c>
      <c r="B3515" s="12" t="inlineStr">
        <is>
          <t>G</t>
        </is>
      </c>
      <c r="C3515" s="12" t="inlineStr">
        <is>
          <t>Carbon capture</t>
        </is>
      </c>
      <c r="D3515" s="12" t="inlineStr">
        <is>
          <t>480 V welding receptacle 1</t>
        </is>
      </c>
      <c r="E3515" s="12" t="inlineStr"/>
      <c r="F3515" s="12" t="inlineStr">
        <is>
          <t>CCS MV switchgear building (VFDs)</t>
        </is>
      </c>
      <c r="G3515" s="12" t="inlineStr">
        <is>
          <t>BF-C</t>
        </is>
      </c>
      <c r="H3515" s="12" t="inlineStr">
        <is>
          <t>BF-C: booster fan (~16 MW)</t>
        </is>
      </c>
      <c r="I3515" s="12" t="inlineStr">
        <is>
          <t>LV 600 V</t>
        </is>
      </c>
      <c r="J3515" s="12" t="inlineStr">
        <is>
          <t>Type TC-ER 600 V 3/C Cu XHHW-2 + ground, PVC jacket</t>
        </is>
      </c>
      <c r="K3515" s="12" t="inlineStr">
        <is>
          <t>LV|3/C+G|2</t>
        </is>
      </c>
      <c r="L3515" s="12" t="inlineStr">
        <is>
          <t>3/C+G</t>
        </is>
      </c>
      <c r="M3515" s="12" t="inlineStr">
        <is>
          <t>2</t>
        </is>
      </c>
      <c r="N3515" s="12" t="n">
        <v>1</v>
      </c>
      <c r="O3515" s="12" t="n">
        <v>1</v>
      </c>
      <c r="P3515" s="12" t="n">
        <v>480</v>
      </c>
      <c r="Q3515" s="12" t="n">
        <v>60</v>
      </c>
      <c r="R3515" s="12" t="n">
        <v>76</v>
      </c>
      <c r="S3515" s="12" t="inlineStr">
        <is>
          <t>Tray</t>
        </is>
      </c>
      <c r="T3515" s="17" t="n">
        <v>16</v>
      </c>
      <c r="U3515" s="17" t="n">
        <v>150</v>
      </c>
      <c r="V3515" s="17">
        <f>ROUNDUP((T3515+U3515+2*'Read Me'!$B$13)*(1+'Read Me'!$B$12),-1)</f>
        <v/>
      </c>
      <c r="W3515" s="17">
        <f>V3515*N3515*O3515</f>
        <v/>
      </c>
      <c r="X3515" s="12">
        <f>IF(LEFT(I3515,2)="MV",2*N3515*IF(L3515="1/C",O3515,1),0)</f>
        <v/>
      </c>
      <c r="Y3515" s="12">
        <f>IF(OR(LEFT(K3515,4)="LVAX",LEFT(K3515,6)="MV15AX",LEFT(K3515,4)="CTAX",LEFT(K3515,2)="W|"),2*N3515*O3515,0)</f>
        <v/>
      </c>
      <c r="Z3515" s="12" t="inlineStr">
        <is>
          <t>VD 1.0 %</t>
        </is>
      </c>
      <c r="AA3515" s="12">
        <f>N3515*O3515</f>
        <v/>
      </c>
    </row>
    <row r="3516">
      <c r="A3516" s="12" t="inlineStr">
        <is>
          <t>G-P-0083</t>
        </is>
      </c>
      <c r="B3516" s="12" t="inlineStr">
        <is>
          <t>G</t>
        </is>
      </c>
      <c r="C3516" s="12" t="inlineStr">
        <is>
          <t>Carbon capture</t>
        </is>
      </c>
      <c r="D3516" s="12" t="inlineStr">
        <is>
          <t>480 V welding receptacle 2</t>
        </is>
      </c>
      <c r="E3516" s="12" t="inlineStr"/>
      <c r="F3516" s="12" t="inlineStr">
        <is>
          <t>CCS MV switchgear building (VFDs)</t>
        </is>
      </c>
      <c r="G3516" s="12" t="inlineStr">
        <is>
          <t>BF-C</t>
        </is>
      </c>
      <c r="H3516" s="12" t="inlineStr">
        <is>
          <t>BF-C: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Tray</t>
        </is>
      </c>
      <c r="T3516" s="17" t="n">
        <v>16</v>
      </c>
      <c r="U3516" s="17" t="n">
        <v>150</v>
      </c>
      <c r="V3516" s="17">
        <f>ROUNDUP((T3516+U3516+2*'Read Me'!$B$13)*(1+'Read Me'!$B$12),-1)</f>
        <v/>
      </c>
      <c r="W3516" s="17">
        <f>V3516*N3516*O3516</f>
        <v/>
      </c>
      <c r="X3516" s="12">
        <f>IF(LEFT(I3516,2)="MV",2*N3516*IF(L3516="1/C",O3516,1),0)</f>
        <v/>
      </c>
      <c r="Y3516" s="12">
        <f>IF(OR(LEFT(K3516,4)="LVAX",LEFT(K3516,6)="MV15AX",LEFT(K3516,4)="CTAX",LEFT(K3516,2)="W|"),2*N3516*O3516,0)</f>
        <v/>
      </c>
      <c r="Z3516" s="12" t="inlineStr">
        <is>
          <t>VD 1.0 %</t>
        </is>
      </c>
      <c r="AA3516" s="12">
        <f>N3516*O3516</f>
        <v/>
      </c>
    </row>
    <row r="3517">
      <c r="A3517" s="12" t="inlineStr">
        <is>
          <t>G-P-0084</t>
        </is>
      </c>
      <c r="B3517" s="12" t="inlineStr">
        <is>
          <t>G</t>
        </is>
      </c>
      <c r="C3517" s="12" t="inlineStr">
        <is>
          <t>Carbon capture</t>
        </is>
      </c>
      <c r="D3517" s="12" t="inlineStr">
        <is>
          <t>480 V welding receptacle 3</t>
        </is>
      </c>
      <c r="E3517" s="12" t="inlineStr"/>
      <c r="F3517" s="12" t="inlineStr">
        <is>
          <t>CCS MV switchgear building (VFDs)</t>
        </is>
      </c>
      <c r="G3517" s="12" t="inlineStr">
        <is>
          <t>BF-C</t>
        </is>
      </c>
      <c r="H3517" s="12" t="inlineStr">
        <is>
          <t>BF-C: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Tray</t>
        </is>
      </c>
      <c r="T3517" s="17" t="n">
        <v>16</v>
      </c>
      <c r="U3517" s="17" t="n">
        <v>150</v>
      </c>
      <c r="V3517" s="17">
        <f>ROUNDUP((T3517+U3517+2*'Read Me'!$B$13)*(1+'Read Me'!$B$12),-1)</f>
        <v/>
      </c>
      <c r="W3517" s="17">
        <f>V3517*N3517*O3517</f>
        <v/>
      </c>
      <c r="X3517" s="12">
        <f>IF(LEFT(I3517,2)="MV",2*N3517*IF(L3517="1/C",O3517,1),0)</f>
        <v/>
      </c>
      <c r="Y3517" s="12">
        <f>IF(OR(LEFT(K3517,4)="LVAX",LEFT(K3517,6)="MV15AX",LEFT(K3517,4)="CTAX",LEFT(K3517,2)="W|"),2*N3517*O3517,0)</f>
        <v/>
      </c>
      <c r="Z3517" s="12" t="inlineStr">
        <is>
          <t>VD 1.0 %</t>
        </is>
      </c>
      <c r="AA3517" s="12">
        <f>N3517*O3517</f>
        <v/>
      </c>
    </row>
    <row r="3518">
      <c r="A3518" s="12" t="inlineStr">
        <is>
          <t>G-P-0085</t>
        </is>
      </c>
      <c r="B3518" s="12" t="inlineStr">
        <is>
          <t>G</t>
        </is>
      </c>
      <c r="C3518" s="12" t="inlineStr">
        <is>
          <t>Carbon capture</t>
        </is>
      </c>
      <c r="D3518" s="12" t="inlineStr">
        <is>
          <t>480 V welding receptacle 4</t>
        </is>
      </c>
      <c r="E3518" s="12" t="inlineStr"/>
      <c r="F3518" s="12" t="inlineStr">
        <is>
          <t>CCS MV switchgear building (VFDs)</t>
        </is>
      </c>
      <c r="G3518" s="12" t="inlineStr">
        <is>
          <t>BF-C</t>
        </is>
      </c>
      <c r="H3518" s="12" t="inlineStr">
        <is>
          <t>BF-C: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7" t="n">
        <v>16</v>
      </c>
      <c r="U3518" s="17" t="n">
        <v>150</v>
      </c>
      <c r="V3518" s="17">
        <f>ROUNDUP((T3518+U3518+2*'Read Me'!$B$13)*(1+'Read Me'!$B$12),-1)</f>
        <v/>
      </c>
      <c r="W3518" s="17">
        <f>V3518*N3518*O3518</f>
        <v/>
      </c>
      <c r="X3518" s="12">
        <f>IF(LEFT(I3518,2)="MV",2*N3518*IF(L3518="1/C",O3518,1),0)</f>
        <v/>
      </c>
      <c r="Y3518" s="12">
        <f>IF(OR(LEFT(K3518,4)="LVAX",LEFT(K3518,6)="MV15AX",LEFT(K3518,4)="CTAX",LEFT(K3518,2)="W|"),2*N3518*O3518,0)</f>
        <v/>
      </c>
      <c r="Z3518" s="12" t="inlineStr">
        <is>
          <t>VD 1.0 %</t>
        </is>
      </c>
      <c r="AA3518" s="12">
        <f>N3518*O3518</f>
        <v/>
      </c>
    </row>
    <row r="3519">
      <c r="A3519" s="12" t="inlineStr">
        <is>
          <t>G-P-0086</t>
        </is>
      </c>
      <c r="B3519" s="12" t="inlineStr">
        <is>
          <t>G</t>
        </is>
      </c>
      <c r="C3519" s="12" t="inlineStr">
        <is>
          <t>Carbon capture</t>
        </is>
      </c>
      <c r="D3519" s="12" t="inlineStr">
        <is>
          <t>LV panel / distribution feeder</t>
        </is>
      </c>
      <c r="E3519" s="12" t="inlineStr"/>
      <c r="F3519" s="12" t="inlineStr">
        <is>
          <t>CCS MV switchgear building (VFDs)</t>
        </is>
      </c>
      <c r="G3519" s="12" t="inlineStr"/>
      <c r="H3519" s="12" t="inlineStr">
        <is>
          <t>CCS F&amp;G / control</t>
        </is>
      </c>
      <c r="I3519" s="12" t="inlineStr">
        <is>
          <t>LV 600 V</t>
        </is>
      </c>
      <c r="J3519" s="12" t="inlineStr">
        <is>
          <t>Type TC-ER 600 V 3/C Cu XHHW-2 + ground, PVC jacket</t>
        </is>
      </c>
      <c r="K3519" s="12" t="inlineStr">
        <is>
          <t>LV|3/C+G|4</t>
        </is>
      </c>
      <c r="L3519" s="12" t="inlineStr">
        <is>
          <t>3/C+G</t>
        </is>
      </c>
      <c r="M3519" s="12" t="inlineStr">
        <is>
          <t>4</t>
        </is>
      </c>
      <c r="N3519" s="12" t="n">
        <v>1</v>
      </c>
      <c r="O3519" s="12" t="n">
        <v>1</v>
      </c>
      <c r="P3519" s="12" t="n">
        <v>480</v>
      </c>
      <c r="Q3519" s="12" t="n">
        <v>40</v>
      </c>
      <c r="R3519" s="12" t="n">
        <v>56.6</v>
      </c>
      <c r="S3519" s="12" t="inlineStr">
        <is>
          <t>Duct bank</t>
        </is>
      </c>
      <c r="T3519" s="17" t="n">
        <v>206</v>
      </c>
      <c r="U3519" s="17" t="n">
        <v>101</v>
      </c>
      <c r="V3519" s="17">
        <f>ROUNDUP((T3519+U3519+2*'Read Me'!$B$13)*(1+'Read Me'!$B$12),-1)</f>
        <v/>
      </c>
      <c r="W3519" s="17">
        <f>V3519*N3519*O3519</f>
        <v/>
      </c>
      <c r="X3519" s="12">
        <f>IF(LEFT(I3519,2)="MV",2*N3519*IF(L3519="1/C",O3519,1),0)</f>
        <v/>
      </c>
      <c r="Y3519" s="12">
        <f>IF(OR(LEFT(K3519,4)="LVAX",LEFT(K3519,6)="MV15AX",LEFT(K3519,4)="CTAX",LEFT(K3519,2)="W|"),2*N3519*O3519,0)</f>
        <v/>
      </c>
      <c r="Z3519" s="12" t="inlineStr">
        <is>
          <t>VD 2.1 %</t>
        </is>
      </c>
      <c r="AA3519" s="12">
        <f>N3519*O3519</f>
        <v/>
      </c>
    </row>
    <row r="3520">
      <c r="A3520" s="12" t="inlineStr">
        <is>
          <t>G-P-0087</t>
        </is>
      </c>
      <c r="B3520" s="12" t="inlineStr">
        <is>
          <t>G</t>
        </is>
      </c>
      <c r="C3520" s="12" t="inlineStr">
        <is>
          <t>Carbon capture</t>
        </is>
      </c>
      <c r="D3520" s="12" t="inlineStr">
        <is>
          <t>LV panel / distribution feeder</t>
        </is>
      </c>
      <c r="E3520" s="12" t="inlineStr"/>
      <c r="F3520" s="12" t="inlineStr">
        <is>
          <t>CCS MV switchgear building (VFDs)</t>
        </is>
      </c>
      <c r="G3520" s="12" t="inlineStr"/>
      <c r="H3520" s="12" t="inlineStr">
        <is>
          <t>CCS MV switchgear building (VFDs)</t>
        </is>
      </c>
      <c r="I3520" s="12" t="inlineStr">
        <is>
          <t>LV 600 V</t>
        </is>
      </c>
      <c r="J3520" s="12" t="inlineStr">
        <is>
          <t>Type TC-ER 600 V 3/C Cu XHHW-2 + ground, PVC jacket</t>
        </is>
      </c>
      <c r="K3520" s="12" t="inlineStr">
        <is>
          <t>LV|3/C+G|3/0</t>
        </is>
      </c>
      <c r="L3520" s="12" t="inlineStr">
        <is>
          <t>3/C+G</t>
        </is>
      </c>
      <c r="M3520" s="12" t="inlineStr">
        <is>
          <t>3/0</t>
        </is>
      </c>
      <c r="N3520" s="12" t="n">
        <v>1</v>
      </c>
      <c r="O3520" s="12" t="n">
        <v>1</v>
      </c>
      <c r="P3520" s="12" t="n">
        <v>480</v>
      </c>
      <c r="Q3520" s="12" t="n">
        <v>109</v>
      </c>
      <c r="R3520" s="12" t="n">
        <v>154.2</v>
      </c>
      <c r="S3520" s="12" t="inlineStr">
        <is>
          <t>Tray</t>
        </is>
      </c>
      <c r="T3520" s="17" t="n">
        <v>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0.2 %</t>
        </is>
      </c>
      <c r="AA3520" s="12">
        <f>N3520*O3520</f>
        <v/>
      </c>
    </row>
    <row r="3521">
      <c r="A3521" s="12" t="inlineStr">
        <is>
          <t>G-P-0088</t>
        </is>
      </c>
      <c r="B3521" s="12" t="inlineStr">
        <is>
          <t>G</t>
        </is>
      </c>
      <c r="C3521" s="12" t="inlineStr">
        <is>
          <t>Carbon capture</t>
        </is>
      </c>
      <c r="D3521" s="12" t="inlineStr">
        <is>
          <t>Motor 1 of 6, 2 kW</t>
        </is>
      </c>
      <c r="E3521" s="12" t="inlineStr"/>
      <c r="F3521" s="12" t="inlineStr">
        <is>
          <t>CCS MV switchgear building (VFDs)</t>
        </is>
      </c>
      <c r="G3521" s="12" t="inlineStr">
        <is>
          <t>CCS T-1</t>
        </is>
      </c>
      <c r="H3521" s="12" t="inlineStr">
        <is>
          <t>CCS T-1: 230/13.8 kV</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v>
      </c>
      <c r="R3521" s="12" t="n">
        <v>2.8</v>
      </c>
      <c r="S3521" s="12" t="inlineStr">
        <is>
          <t>Duct bank</t>
        </is>
      </c>
      <c r="T3521" s="17" t="n">
        <v>361</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0.5 %</t>
        </is>
      </c>
      <c r="AA3521" s="12">
        <f>N3521*O3521</f>
        <v/>
      </c>
    </row>
    <row r="3522">
      <c r="A3522" s="12" t="inlineStr">
        <is>
          <t>G-P-0089</t>
        </is>
      </c>
      <c r="B3522" s="12" t="inlineStr">
        <is>
          <t>G</t>
        </is>
      </c>
      <c r="C3522" s="12" t="inlineStr">
        <is>
          <t>Carbon capture</t>
        </is>
      </c>
      <c r="D3522" s="12" t="inlineStr">
        <is>
          <t>Motor 2 of 6, 2 kW</t>
        </is>
      </c>
      <c r="E3522" s="12" t="inlineStr"/>
      <c r="F3522" s="12" t="inlineStr">
        <is>
          <t>CCS MV switchgear building (VFDs)</t>
        </is>
      </c>
      <c r="G3522" s="12" t="inlineStr">
        <is>
          <t>CCS T-1</t>
        </is>
      </c>
      <c r="H3522" s="12" t="inlineStr">
        <is>
          <t>CCS T-1: 230/13.8 kV</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v>
      </c>
      <c r="R3522" s="12" t="n">
        <v>2.8</v>
      </c>
      <c r="S3522" s="12" t="inlineStr">
        <is>
          <t>Duct bank</t>
        </is>
      </c>
      <c r="T3522" s="17" t="n">
        <v>361</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0.5 %</t>
        </is>
      </c>
      <c r="AA3522" s="12">
        <f>N3522*O3522</f>
        <v/>
      </c>
    </row>
    <row r="3523">
      <c r="A3523" s="12" t="inlineStr">
        <is>
          <t>G-P-0090</t>
        </is>
      </c>
      <c r="B3523" s="12" t="inlineStr">
        <is>
          <t>G</t>
        </is>
      </c>
      <c r="C3523" s="12" t="inlineStr">
        <is>
          <t>Carbon capture</t>
        </is>
      </c>
      <c r="D3523" s="12" t="inlineStr">
        <is>
          <t>Motor 3 of 6, 2 kW</t>
        </is>
      </c>
      <c r="E3523" s="12" t="inlineStr"/>
      <c r="F3523" s="12" t="inlineStr">
        <is>
          <t>CCS MV switchgear building (VFDs)</t>
        </is>
      </c>
      <c r="G3523" s="12" t="inlineStr">
        <is>
          <t>CCS T-1</t>
        </is>
      </c>
      <c r="H3523" s="12" t="inlineStr">
        <is>
          <t>CCS T-1: 230/13.8 kV</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v>
      </c>
      <c r="R3523" s="12" t="n">
        <v>2.8</v>
      </c>
      <c r="S3523" s="12" t="inlineStr">
        <is>
          <t>Duct bank</t>
        </is>
      </c>
      <c r="T3523" s="17" t="n">
        <v>361</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0.5 %</t>
        </is>
      </c>
      <c r="AA3523" s="12">
        <f>N3523*O3523</f>
        <v/>
      </c>
    </row>
    <row r="3524">
      <c r="A3524" s="12" t="inlineStr">
        <is>
          <t>G-P-0091</t>
        </is>
      </c>
      <c r="B3524" s="12" t="inlineStr">
        <is>
          <t>G</t>
        </is>
      </c>
      <c r="C3524" s="12" t="inlineStr">
        <is>
          <t>Carbon capture</t>
        </is>
      </c>
      <c r="D3524" s="12" t="inlineStr">
        <is>
          <t>Motor 4 of 6, 2 kW</t>
        </is>
      </c>
      <c r="E3524" s="12" t="inlineStr"/>
      <c r="F3524" s="12" t="inlineStr">
        <is>
          <t>CCS MV switchgear building (VFDs)</t>
        </is>
      </c>
      <c r="G3524" s="12" t="inlineStr">
        <is>
          <t>CCS T-1</t>
        </is>
      </c>
      <c r="H3524" s="12" t="inlineStr">
        <is>
          <t>CCS T-1: 230/13.8 kV</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v>
      </c>
      <c r="R3524" s="12" t="n">
        <v>2.8</v>
      </c>
      <c r="S3524" s="12" t="inlineStr">
        <is>
          <t>Duct bank</t>
        </is>
      </c>
      <c r="T3524" s="17" t="n">
        <v>361</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0.5 %</t>
        </is>
      </c>
      <c r="AA3524" s="12">
        <f>N3524*O3524</f>
        <v/>
      </c>
    </row>
    <row r="3525">
      <c r="A3525" s="12" t="inlineStr">
        <is>
          <t>G-P-0092</t>
        </is>
      </c>
      <c r="B3525" s="12" t="inlineStr">
        <is>
          <t>G</t>
        </is>
      </c>
      <c r="C3525" s="12" t="inlineStr">
        <is>
          <t>Carbon capture</t>
        </is>
      </c>
      <c r="D3525" s="12" t="inlineStr">
        <is>
          <t>Motor 5 of 6, 2 kW</t>
        </is>
      </c>
      <c r="E3525" s="12" t="inlineStr"/>
      <c r="F3525" s="12" t="inlineStr">
        <is>
          <t>CCS MV switchgear building (VFDs)</t>
        </is>
      </c>
      <c r="G3525" s="12" t="inlineStr">
        <is>
          <t>CCS T-1</t>
        </is>
      </c>
      <c r="H3525" s="12" t="inlineStr">
        <is>
          <t>CCS T-1: 230/13.8 kV</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v>
      </c>
      <c r="R3525" s="12" t="n">
        <v>2.8</v>
      </c>
      <c r="S3525" s="12" t="inlineStr">
        <is>
          <t>Duct bank</t>
        </is>
      </c>
      <c r="T3525" s="17" t="n">
        <v>361</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0.5 %</t>
        </is>
      </c>
      <c r="AA3525" s="12">
        <f>N3525*O3525</f>
        <v/>
      </c>
    </row>
    <row r="3526">
      <c r="A3526" s="12" t="inlineStr">
        <is>
          <t>G-P-0093</t>
        </is>
      </c>
      <c r="B3526" s="12" t="inlineStr">
        <is>
          <t>G</t>
        </is>
      </c>
      <c r="C3526" s="12" t="inlineStr">
        <is>
          <t>Carbon capture</t>
        </is>
      </c>
      <c r="D3526" s="12" t="inlineStr">
        <is>
          <t>Motor 6 of 6, 2 kW</t>
        </is>
      </c>
      <c r="E3526" s="12" t="inlineStr"/>
      <c r="F3526" s="12" t="inlineStr">
        <is>
          <t>CCS MV switchgear building (VFDs)</t>
        </is>
      </c>
      <c r="G3526" s="12" t="inlineStr">
        <is>
          <t>CCS T-1</t>
        </is>
      </c>
      <c r="H3526" s="12" t="inlineStr">
        <is>
          <t>CCS T-1: 230/13.8 kV</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v>
      </c>
      <c r="R3526" s="12" t="n">
        <v>2.8</v>
      </c>
      <c r="S3526" s="12" t="inlineStr">
        <is>
          <t>Duct bank</t>
        </is>
      </c>
      <c r="T3526" s="17" t="n">
        <v>361</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0.5 %</t>
        </is>
      </c>
      <c r="AA3526" s="12">
        <f>N3526*O3526</f>
        <v/>
      </c>
    </row>
    <row r="3527">
      <c r="A3527" s="12" t="inlineStr">
        <is>
          <t>G-P-0094</t>
        </is>
      </c>
      <c r="B3527" s="12" t="inlineStr">
        <is>
          <t>G</t>
        </is>
      </c>
      <c r="C3527" s="12" t="inlineStr">
        <is>
          <t>Carbon capture</t>
        </is>
      </c>
      <c r="D3527" s="12" t="inlineStr">
        <is>
          <t>Motor 1 of 6, 2 kW</t>
        </is>
      </c>
      <c r="E3527" s="12" t="inlineStr"/>
      <c r="F3527" s="12" t="inlineStr">
        <is>
          <t>CCS MV switchgear building (VFDs)</t>
        </is>
      </c>
      <c r="G3527" s="12" t="inlineStr">
        <is>
          <t>CCS T-2</t>
        </is>
      </c>
      <c r="H3527" s="12" t="inlineStr">
        <is>
          <t>CCS T-2: 230/13.8 kV</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v>
      </c>
      <c r="R3527" s="12" t="n">
        <v>2.8</v>
      </c>
      <c r="S3527" s="12" t="inlineStr">
        <is>
          <t>Duct bank</t>
        </is>
      </c>
      <c r="T3527" s="17" t="n">
        <v>409</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G-P-0095</t>
        </is>
      </c>
      <c r="B3528" s="12" t="inlineStr">
        <is>
          <t>G</t>
        </is>
      </c>
      <c r="C3528" s="12" t="inlineStr">
        <is>
          <t>Carbon capture</t>
        </is>
      </c>
      <c r="D3528" s="12" t="inlineStr">
        <is>
          <t>Motor 2 of 6, 2 kW</t>
        </is>
      </c>
      <c r="E3528" s="12" t="inlineStr"/>
      <c r="F3528" s="12" t="inlineStr">
        <is>
          <t>CCS MV switchgear building (VFDs)</t>
        </is>
      </c>
      <c r="G3528" s="12" t="inlineStr">
        <is>
          <t>CCS T-2</t>
        </is>
      </c>
      <c r="H3528" s="12" t="inlineStr">
        <is>
          <t>CCS T-2: 230/13.8 kV</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v>
      </c>
      <c r="R3528" s="12" t="n">
        <v>2.8</v>
      </c>
      <c r="S3528" s="12" t="inlineStr">
        <is>
          <t>Duct bank</t>
        </is>
      </c>
      <c r="T3528" s="17" t="n">
        <v>409</v>
      </c>
      <c r="U3528" s="17" t="n">
        <v>32</v>
      </c>
      <c r="V3528" s="17">
        <f>ROUNDUP((T3528+U3528+2*'Read Me'!$B$13)*(1+'Read Me'!$B$12),-1)</f>
        <v/>
      </c>
      <c r="W3528" s="17">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G-P-0096</t>
        </is>
      </c>
      <c r="B3529" s="12" t="inlineStr">
        <is>
          <t>G</t>
        </is>
      </c>
      <c r="C3529" s="12" t="inlineStr">
        <is>
          <t>Carbon capture</t>
        </is>
      </c>
      <c r="D3529" s="12" t="inlineStr">
        <is>
          <t>Motor 3 of 6, 2 kW</t>
        </is>
      </c>
      <c r="E3529" s="12" t="inlineStr"/>
      <c r="F3529" s="12" t="inlineStr">
        <is>
          <t>CCS MV switchgear building (VFDs)</t>
        </is>
      </c>
      <c r="G3529" s="12" t="inlineStr">
        <is>
          <t>CCS T-2</t>
        </is>
      </c>
      <c r="H3529" s="12" t="inlineStr">
        <is>
          <t>CCS T-2: 230/13.8 kV</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v>
      </c>
      <c r="R3529" s="12" t="n">
        <v>2.8</v>
      </c>
      <c r="S3529" s="12" t="inlineStr">
        <is>
          <t>Duct bank</t>
        </is>
      </c>
      <c r="T3529" s="17" t="n">
        <v>409</v>
      </c>
      <c r="U3529" s="17" t="n">
        <v>32</v>
      </c>
      <c r="V3529" s="17">
        <f>ROUNDUP((T3529+U3529+2*'Read Me'!$B$13)*(1+'Read Me'!$B$12),-1)</f>
        <v/>
      </c>
      <c r="W3529" s="17">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G-P-0097</t>
        </is>
      </c>
      <c r="B3530" s="12" t="inlineStr">
        <is>
          <t>G</t>
        </is>
      </c>
      <c r="C3530" s="12" t="inlineStr">
        <is>
          <t>Carbon capture</t>
        </is>
      </c>
      <c r="D3530" s="12" t="inlineStr">
        <is>
          <t>Motor 4 of 6, 2 kW</t>
        </is>
      </c>
      <c r="E3530" s="12" t="inlineStr"/>
      <c r="F3530" s="12" t="inlineStr">
        <is>
          <t>CCS MV switchgear building (VFDs)</t>
        </is>
      </c>
      <c r="G3530" s="12" t="inlineStr">
        <is>
          <t>CCS T-2</t>
        </is>
      </c>
      <c r="H3530" s="12" t="inlineStr">
        <is>
          <t>CCS T-2: 230/13.8 kV</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v>
      </c>
      <c r="R3530" s="12" t="n">
        <v>2.8</v>
      </c>
      <c r="S3530" s="12" t="inlineStr">
        <is>
          <t>Duct bank</t>
        </is>
      </c>
      <c r="T3530" s="17" t="n">
        <v>409</v>
      </c>
      <c r="U3530" s="17" t="n">
        <v>32</v>
      </c>
      <c r="V3530" s="17">
        <f>ROUNDUP((T3530+U3530+2*'Read Me'!$B$13)*(1+'Read Me'!$B$12),-1)</f>
        <v/>
      </c>
      <c r="W3530" s="17">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G-P-0098</t>
        </is>
      </c>
      <c r="B3531" s="12" t="inlineStr">
        <is>
          <t>G</t>
        </is>
      </c>
      <c r="C3531" s="12" t="inlineStr">
        <is>
          <t>Carbon capture</t>
        </is>
      </c>
      <c r="D3531" s="12" t="inlineStr">
        <is>
          <t>Motor 5 of 6, 2 kW</t>
        </is>
      </c>
      <c r="E3531" s="12" t="inlineStr"/>
      <c r="F3531" s="12" t="inlineStr">
        <is>
          <t>CCS MV switchgear building (VFDs)</t>
        </is>
      </c>
      <c r="G3531" s="12" t="inlineStr">
        <is>
          <t>CCS T-2</t>
        </is>
      </c>
      <c r="H3531" s="12" t="inlineStr">
        <is>
          <t>CCS T-2: 230/13.8 kV</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v>
      </c>
      <c r="R3531" s="12" t="n">
        <v>2.8</v>
      </c>
      <c r="S3531" s="12" t="inlineStr">
        <is>
          <t>Duct bank</t>
        </is>
      </c>
      <c r="T3531" s="17" t="n">
        <v>409</v>
      </c>
      <c r="U3531" s="17" t="n">
        <v>32</v>
      </c>
      <c r="V3531" s="17">
        <f>ROUNDUP((T3531+U3531+2*'Read Me'!$B$13)*(1+'Read Me'!$B$12),-1)</f>
        <v/>
      </c>
      <c r="W3531" s="17">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G-P-0099</t>
        </is>
      </c>
      <c r="B3532" s="12" t="inlineStr">
        <is>
          <t>G</t>
        </is>
      </c>
      <c r="C3532" s="12" t="inlineStr">
        <is>
          <t>Carbon capture</t>
        </is>
      </c>
      <c r="D3532" s="12" t="inlineStr">
        <is>
          <t>Motor 6 of 6, 2 kW</t>
        </is>
      </c>
      <c r="E3532" s="12" t="inlineStr"/>
      <c r="F3532" s="12" t="inlineStr">
        <is>
          <t>CCS MV switchgear building (VFDs)</t>
        </is>
      </c>
      <c r="G3532" s="12" t="inlineStr">
        <is>
          <t>CCS T-2</t>
        </is>
      </c>
      <c r="H3532" s="12" t="inlineStr">
        <is>
          <t>CCS T-2: 230/13.8 kV</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v>
      </c>
      <c r="R3532" s="12" t="n">
        <v>2.8</v>
      </c>
      <c r="S3532" s="12" t="inlineStr">
        <is>
          <t>Duct bank</t>
        </is>
      </c>
      <c r="T3532" s="17" t="n">
        <v>409</v>
      </c>
      <c r="U3532" s="17" t="n">
        <v>32</v>
      </c>
      <c r="V3532" s="17">
        <f>ROUNDUP((T3532+U3532+2*'Read Me'!$B$13)*(1+'Read Me'!$B$12),-1)</f>
        <v/>
      </c>
      <c r="W3532" s="17">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G-P-0100</t>
        </is>
      </c>
      <c r="B3533" s="12" t="inlineStr">
        <is>
          <t>G</t>
        </is>
      </c>
      <c r="C3533" s="12" t="inlineStr">
        <is>
          <t>Carbon capture</t>
        </is>
      </c>
      <c r="D3533" s="12" t="inlineStr">
        <is>
          <t>Motor 1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7" t="n">
        <v>250</v>
      </c>
      <c r="U3533" s="17" t="n">
        <v>42</v>
      </c>
      <c r="V3533" s="17">
        <f>ROUNDUP((T3533+U3533+2*'Read Me'!$B$13)*(1+'Read Me'!$B$12),-1)</f>
        <v/>
      </c>
      <c r="W3533" s="17">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G-P-0101</t>
        </is>
      </c>
      <c r="B3534" s="12" t="inlineStr">
        <is>
          <t>G</t>
        </is>
      </c>
      <c r="C3534" s="12" t="inlineStr">
        <is>
          <t>Carbon capture</t>
        </is>
      </c>
      <c r="D3534" s="12" t="inlineStr">
        <is>
          <t>Motor 2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7" t="n">
        <v>250</v>
      </c>
      <c r="U3534" s="17" t="n">
        <v>42</v>
      </c>
      <c r="V3534" s="17">
        <f>ROUNDUP((T3534+U3534+2*'Read Me'!$B$13)*(1+'Read Me'!$B$12),-1)</f>
        <v/>
      </c>
      <c r="W3534" s="17">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G-P-0102</t>
        </is>
      </c>
      <c r="B3535" s="12" t="inlineStr">
        <is>
          <t>G</t>
        </is>
      </c>
      <c r="C3535" s="12" t="inlineStr">
        <is>
          <t>Carbon capture</t>
        </is>
      </c>
      <c r="D3535" s="12" t="inlineStr">
        <is>
          <t>Motor 3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7" t="n">
        <v>250</v>
      </c>
      <c r="U3535" s="17" t="n">
        <v>42</v>
      </c>
      <c r="V3535" s="17">
        <f>ROUNDUP((T3535+U3535+2*'Read Me'!$B$13)*(1+'Read Me'!$B$12),-1)</f>
        <v/>
      </c>
      <c r="W3535" s="17">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G-P-0103</t>
        </is>
      </c>
      <c r="B3536" s="12" t="inlineStr">
        <is>
          <t>G</t>
        </is>
      </c>
      <c r="C3536" s="12" t="inlineStr">
        <is>
          <t>Carbon capture</t>
        </is>
      </c>
      <c r="D3536" s="12" t="inlineStr">
        <is>
          <t>Motor 4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7" t="n">
        <v>250</v>
      </c>
      <c r="U3536" s="17" t="n">
        <v>42</v>
      </c>
      <c r="V3536" s="17">
        <f>ROUNDUP((T3536+U3536+2*'Read Me'!$B$13)*(1+'Read Me'!$B$12),-1)</f>
        <v/>
      </c>
      <c r="W3536" s="17">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G-P-0104</t>
        </is>
      </c>
      <c r="B3537" s="12" t="inlineStr">
        <is>
          <t>G</t>
        </is>
      </c>
      <c r="C3537" s="12" t="inlineStr">
        <is>
          <t>Carbon capture</t>
        </is>
      </c>
      <c r="D3537" s="12" t="inlineStr">
        <is>
          <t>Motor 5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7" t="n">
        <v>250</v>
      </c>
      <c r="U3537" s="17" t="n">
        <v>42</v>
      </c>
      <c r="V3537" s="17">
        <f>ROUNDUP((T3537+U3537+2*'Read Me'!$B$13)*(1+'Read Me'!$B$12),-1)</f>
        <v/>
      </c>
      <c r="W3537" s="17">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G-P-0105</t>
        </is>
      </c>
      <c r="B3538" s="12" t="inlineStr">
        <is>
          <t>G</t>
        </is>
      </c>
      <c r="C3538" s="12" t="inlineStr">
        <is>
          <t>Carbon capture</t>
        </is>
      </c>
      <c r="D3538" s="12" t="inlineStr">
        <is>
          <t>Motor 6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7" t="n">
        <v>250</v>
      </c>
      <c r="U3538" s="17" t="n">
        <v>42</v>
      </c>
      <c r="V3538" s="17">
        <f>ROUNDUP((T3538+U3538+2*'Read Me'!$B$13)*(1+'Read Me'!$B$12),-1)</f>
        <v/>
      </c>
      <c r="W3538" s="17">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G-P-0106</t>
        </is>
      </c>
      <c r="B3539" s="12" t="inlineStr">
        <is>
          <t>G</t>
        </is>
      </c>
      <c r="C3539" s="12" t="inlineStr">
        <is>
          <t>Carbon capture</t>
        </is>
      </c>
      <c r="D3539" s="12" t="inlineStr">
        <is>
          <t>Motor 7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7" t="n">
        <v>250</v>
      </c>
      <c r="U3539" s="17" t="n">
        <v>42</v>
      </c>
      <c r="V3539" s="17">
        <f>ROUNDUP((T3539+U3539+2*'Read Me'!$B$13)*(1+'Read Me'!$B$12),-1)</f>
        <v/>
      </c>
      <c r="W3539" s="17">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G-P-0107</t>
        </is>
      </c>
      <c r="B3540" s="12" t="inlineStr">
        <is>
          <t>G</t>
        </is>
      </c>
      <c r="C3540" s="12" t="inlineStr">
        <is>
          <t>Carbon capture</t>
        </is>
      </c>
      <c r="D3540" s="12" t="inlineStr">
        <is>
          <t>Motor 8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7" t="n">
        <v>250</v>
      </c>
      <c r="U3540" s="17" t="n">
        <v>42</v>
      </c>
      <c r="V3540" s="17">
        <f>ROUNDUP((T3540+U3540+2*'Read Me'!$B$13)*(1+'Read Me'!$B$12),-1)</f>
        <v/>
      </c>
      <c r="W3540" s="17">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G-P-0108</t>
        </is>
      </c>
      <c r="B3541" s="12" t="inlineStr">
        <is>
          <t>G</t>
        </is>
      </c>
      <c r="C3541" s="12" t="inlineStr">
        <is>
          <t>Carbon capture</t>
        </is>
      </c>
      <c r="D3541" s="12" t="inlineStr">
        <is>
          <t>Motor 9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7" t="n">
        <v>250</v>
      </c>
      <c r="U3541" s="17" t="n">
        <v>42</v>
      </c>
      <c r="V3541" s="17">
        <f>ROUNDUP((T3541+U3541+2*'Read Me'!$B$13)*(1+'Read Me'!$B$12),-1)</f>
        <v/>
      </c>
      <c r="W3541" s="17">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G-P-0109</t>
        </is>
      </c>
      <c r="B3542" s="12" t="inlineStr">
        <is>
          <t>G</t>
        </is>
      </c>
      <c r="C3542" s="12" t="inlineStr">
        <is>
          <t>Carbon capture</t>
        </is>
      </c>
      <c r="D3542" s="12" t="inlineStr">
        <is>
          <t>Motor 10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7" t="n">
        <v>250</v>
      </c>
      <c r="U3542" s="17" t="n">
        <v>42</v>
      </c>
      <c r="V3542" s="17">
        <f>ROUNDUP((T3542+U3542+2*'Read Me'!$B$13)*(1+'Read Me'!$B$12),-1)</f>
        <v/>
      </c>
      <c r="W3542" s="17">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G-P-0110</t>
        </is>
      </c>
      <c r="B3543" s="12" t="inlineStr">
        <is>
          <t>G</t>
        </is>
      </c>
      <c r="C3543" s="12" t="inlineStr">
        <is>
          <t>Carbon capture</t>
        </is>
      </c>
      <c r="D3543" s="12" t="inlineStr">
        <is>
          <t>Motor 11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7" t="n">
        <v>250</v>
      </c>
      <c r="U3543" s="17" t="n">
        <v>42</v>
      </c>
      <c r="V3543" s="17">
        <f>ROUNDUP((T3543+U3543+2*'Read Me'!$B$13)*(1+'Read Me'!$B$12),-1)</f>
        <v/>
      </c>
      <c r="W3543" s="17">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G-P-0111</t>
        </is>
      </c>
      <c r="B3544" s="12" t="inlineStr">
        <is>
          <t>G</t>
        </is>
      </c>
      <c r="C3544" s="12" t="inlineStr">
        <is>
          <t>Carbon capture</t>
        </is>
      </c>
      <c r="D3544" s="12" t="inlineStr">
        <is>
          <t>Motor 12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7" t="n">
        <v>250</v>
      </c>
      <c r="U3544" s="17" t="n">
        <v>42</v>
      </c>
      <c r="V3544" s="17">
        <f>ROUNDUP((T3544+U3544+2*'Read Me'!$B$13)*(1+'Read Me'!$B$12),-1)</f>
        <v/>
      </c>
      <c r="W3544" s="17">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G-P-0112</t>
        </is>
      </c>
      <c r="B3545" s="12" t="inlineStr">
        <is>
          <t>G</t>
        </is>
      </c>
      <c r="C3545" s="12" t="inlineStr">
        <is>
          <t>Carbon capture</t>
        </is>
      </c>
      <c r="D3545" s="12" t="inlineStr">
        <is>
          <t>Motor 13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7" t="n">
        <v>250</v>
      </c>
      <c r="U3545" s="17" t="n">
        <v>42</v>
      </c>
      <c r="V3545" s="17">
        <f>ROUNDUP((T3545+U3545+2*'Read Me'!$B$13)*(1+'Read Me'!$B$12),-1)</f>
        <v/>
      </c>
      <c r="W3545" s="17">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G-P-0113</t>
        </is>
      </c>
      <c r="B3546" s="12" t="inlineStr">
        <is>
          <t>G</t>
        </is>
      </c>
      <c r="C3546" s="12" t="inlineStr">
        <is>
          <t>Carbon capture</t>
        </is>
      </c>
      <c r="D3546" s="12" t="inlineStr">
        <is>
          <t>Motor 14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7" t="n">
        <v>250</v>
      </c>
      <c r="U3546" s="17" t="n">
        <v>42</v>
      </c>
      <c r="V3546" s="17">
        <f>ROUNDUP((T3546+U3546+2*'Read Me'!$B$13)*(1+'Read Me'!$B$12),-1)</f>
        <v/>
      </c>
      <c r="W3546" s="17">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G-P-0114</t>
        </is>
      </c>
      <c r="B3547" s="12" t="inlineStr">
        <is>
          <t>G</t>
        </is>
      </c>
      <c r="C3547" s="12" t="inlineStr">
        <is>
          <t>Carbon capture</t>
        </is>
      </c>
      <c r="D3547" s="12" t="inlineStr">
        <is>
          <t>Motor 15 of 30, 110 kW (VFD output)</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VFD cable 600 V 3/C Cu XHHW-2, 3 symmetrical grounds, overall Cu tape shield, TC-ER</t>
        </is>
      </c>
      <c r="K3547" s="12" t="inlineStr">
        <is>
          <t>VFD|3/C+3G|3/0</t>
        </is>
      </c>
      <c r="L3547" s="12" t="inlineStr">
        <is>
          <t>3/C+3G</t>
        </is>
      </c>
      <c r="M3547" s="12" t="inlineStr">
        <is>
          <t>3/0</t>
        </is>
      </c>
      <c r="N3547" s="12" t="n">
        <v>1</v>
      </c>
      <c r="O3547" s="12" t="n">
        <v>1</v>
      </c>
      <c r="P3547" s="12" t="n">
        <v>480</v>
      </c>
      <c r="Q3547" s="12" t="n">
        <v>110</v>
      </c>
      <c r="R3547" s="12" t="n">
        <v>156</v>
      </c>
      <c r="S3547" s="12" t="inlineStr">
        <is>
          <t>Tray</t>
        </is>
      </c>
      <c r="T3547" s="17" t="n">
        <v>250</v>
      </c>
      <c r="U3547" s="17" t="n">
        <v>42</v>
      </c>
      <c r="V3547" s="17">
        <f>ROUNDUP((T3547+U3547+2*'Read Me'!$B$13)*(1+'Read Me'!$B$12),-1)</f>
        <v/>
      </c>
      <c r="W3547" s="17">
        <f>V3547*N3547*O3547</f>
        <v/>
      </c>
      <c r="X3547" s="12">
        <f>IF(LEFT(I3547,2)="MV",2*N3547*IF(L3547="1/C",O3547,1),0)</f>
        <v/>
      </c>
      <c r="Y3547" s="12">
        <f>IF(OR(LEFT(K3547,4)="LVAX",LEFT(K3547,6)="MV15AX",LEFT(K3547,4)="CTAX",LEFT(K3547,2)="W|"),2*N3547*O3547,0)</f>
        <v/>
      </c>
      <c r="Z3547" s="12" t="inlineStr">
        <is>
          <t>VD 1.4 %</t>
        </is>
      </c>
      <c r="AA3547" s="12">
        <f>N3547*O3547</f>
        <v/>
      </c>
    </row>
    <row r="3548">
      <c r="A3548" s="12" t="inlineStr">
        <is>
          <t>G-P-0115</t>
        </is>
      </c>
      <c r="B3548" s="12" t="inlineStr">
        <is>
          <t>G</t>
        </is>
      </c>
      <c r="C3548" s="12" t="inlineStr">
        <is>
          <t>Carbon capture</t>
        </is>
      </c>
      <c r="D3548" s="12" t="inlineStr">
        <is>
          <t>Motor 16 of 30, 110 kW (VFD output)</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VFD cable 600 V 3/C Cu XHHW-2, 3 symmetrical grounds, overall Cu tape shield, TC-ER</t>
        </is>
      </c>
      <c r="K3548" s="12" t="inlineStr">
        <is>
          <t>VFD|3/C+3G|3/0</t>
        </is>
      </c>
      <c r="L3548" s="12" t="inlineStr">
        <is>
          <t>3/C+3G</t>
        </is>
      </c>
      <c r="M3548" s="12" t="inlineStr">
        <is>
          <t>3/0</t>
        </is>
      </c>
      <c r="N3548" s="12" t="n">
        <v>1</v>
      </c>
      <c r="O3548" s="12" t="n">
        <v>1</v>
      </c>
      <c r="P3548" s="12" t="n">
        <v>480</v>
      </c>
      <c r="Q3548" s="12" t="n">
        <v>110</v>
      </c>
      <c r="R3548" s="12" t="n">
        <v>156</v>
      </c>
      <c r="S3548" s="12" t="inlineStr">
        <is>
          <t>Tray</t>
        </is>
      </c>
      <c r="T3548" s="17" t="n">
        <v>250</v>
      </c>
      <c r="U3548" s="17" t="n">
        <v>42</v>
      </c>
      <c r="V3548" s="17">
        <f>ROUNDUP((T3548+U3548+2*'Read Me'!$B$13)*(1+'Read Me'!$B$12),-1)</f>
        <v/>
      </c>
      <c r="W3548" s="17">
        <f>V3548*N3548*O3548</f>
        <v/>
      </c>
      <c r="X3548" s="12">
        <f>IF(LEFT(I3548,2)="MV",2*N3548*IF(L3548="1/C",O3548,1),0)</f>
        <v/>
      </c>
      <c r="Y3548" s="12">
        <f>IF(OR(LEFT(K3548,4)="LVAX",LEFT(K3548,6)="MV15AX",LEFT(K3548,4)="CTAX",LEFT(K3548,2)="W|"),2*N3548*O3548,0)</f>
        <v/>
      </c>
      <c r="Z3548" s="12" t="inlineStr">
        <is>
          <t>VD 1.4 %</t>
        </is>
      </c>
      <c r="AA3548" s="12">
        <f>N3548*O3548</f>
        <v/>
      </c>
    </row>
    <row r="3549">
      <c r="A3549" s="12" t="inlineStr">
        <is>
          <t>G-P-0116</t>
        </is>
      </c>
      <c r="B3549" s="12" t="inlineStr">
        <is>
          <t>G</t>
        </is>
      </c>
      <c r="C3549" s="12" t="inlineStr">
        <is>
          <t>Carbon capture</t>
        </is>
      </c>
      <c r="D3549" s="12" t="inlineStr">
        <is>
          <t>Motor 17 of 30, 110 kW (VFD output)</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VFD cable 600 V 3/C Cu XHHW-2, 3 symmetrical grounds, overall Cu tape shield, TC-ER</t>
        </is>
      </c>
      <c r="K3549" s="12" t="inlineStr">
        <is>
          <t>VFD|3/C+3G|3/0</t>
        </is>
      </c>
      <c r="L3549" s="12" t="inlineStr">
        <is>
          <t>3/C+3G</t>
        </is>
      </c>
      <c r="M3549" s="12" t="inlineStr">
        <is>
          <t>3/0</t>
        </is>
      </c>
      <c r="N3549" s="12" t="n">
        <v>1</v>
      </c>
      <c r="O3549" s="12" t="n">
        <v>1</v>
      </c>
      <c r="P3549" s="12" t="n">
        <v>480</v>
      </c>
      <c r="Q3549" s="12" t="n">
        <v>110</v>
      </c>
      <c r="R3549" s="12" t="n">
        <v>156</v>
      </c>
      <c r="S3549" s="12" t="inlineStr">
        <is>
          <t>Tray</t>
        </is>
      </c>
      <c r="T3549" s="17" t="n">
        <v>250</v>
      </c>
      <c r="U3549" s="17" t="n">
        <v>42</v>
      </c>
      <c r="V3549" s="17">
        <f>ROUNDUP((T3549+U3549+2*'Read Me'!$B$13)*(1+'Read Me'!$B$12),-1)</f>
        <v/>
      </c>
      <c r="W3549" s="17">
        <f>V3549*N3549*O3549</f>
        <v/>
      </c>
      <c r="X3549" s="12">
        <f>IF(LEFT(I3549,2)="MV",2*N3549*IF(L3549="1/C",O3549,1),0)</f>
        <v/>
      </c>
      <c r="Y3549" s="12">
        <f>IF(OR(LEFT(K3549,4)="LVAX",LEFT(K3549,6)="MV15AX",LEFT(K3549,4)="CTAX",LEFT(K3549,2)="W|"),2*N3549*O3549,0)</f>
        <v/>
      </c>
      <c r="Z3549" s="12" t="inlineStr">
        <is>
          <t>VD 1.4 %</t>
        </is>
      </c>
      <c r="AA3549" s="12">
        <f>N3549*O3549</f>
        <v/>
      </c>
    </row>
    <row r="3550">
      <c r="A3550" s="12" t="inlineStr">
        <is>
          <t>G-P-0117</t>
        </is>
      </c>
      <c r="B3550" s="12" t="inlineStr">
        <is>
          <t>G</t>
        </is>
      </c>
      <c r="C3550" s="12" t="inlineStr">
        <is>
          <t>Carbon capture</t>
        </is>
      </c>
      <c r="D3550" s="12" t="inlineStr">
        <is>
          <t>Motor 18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G-P-0118</t>
        </is>
      </c>
      <c r="B3551" s="12" t="inlineStr">
        <is>
          <t>G</t>
        </is>
      </c>
      <c r="C3551" s="12" t="inlineStr">
        <is>
          <t>Carbon capture</t>
        </is>
      </c>
      <c r="D3551" s="12" t="inlineStr">
        <is>
          <t>Motor 19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G-P-0119</t>
        </is>
      </c>
      <c r="B3552" s="12" t="inlineStr">
        <is>
          <t>G</t>
        </is>
      </c>
      <c r="C3552" s="12" t="inlineStr">
        <is>
          <t>Carbon capture</t>
        </is>
      </c>
      <c r="D3552" s="12" t="inlineStr">
        <is>
          <t>Motor 20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G-P-0120</t>
        </is>
      </c>
      <c r="B3553" s="12" t="inlineStr">
        <is>
          <t>G</t>
        </is>
      </c>
      <c r="C3553" s="12" t="inlineStr">
        <is>
          <t>Carbon capture</t>
        </is>
      </c>
      <c r="D3553" s="12" t="inlineStr">
        <is>
          <t>Motor 21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G-P-0121</t>
        </is>
      </c>
      <c r="B3554" s="12" t="inlineStr">
        <is>
          <t>G</t>
        </is>
      </c>
      <c r="C3554" s="12" t="inlineStr">
        <is>
          <t>Carbon capture</t>
        </is>
      </c>
      <c r="D3554" s="12" t="inlineStr">
        <is>
          <t>Motor 22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G-P-0122</t>
        </is>
      </c>
      <c r="B3555" s="12" t="inlineStr">
        <is>
          <t>G</t>
        </is>
      </c>
      <c r="C3555" s="12" t="inlineStr">
        <is>
          <t>Carbon capture</t>
        </is>
      </c>
      <c r="D3555" s="12" t="inlineStr">
        <is>
          <t>Motor 23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G-P-0123</t>
        </is>
      </c>
      <c r="B3556" s="12" t="inlineStr">
        <is>
          <t>G</t>
        </is>
      </c>
      <c r="C3556" s="12" t="inlineStr">
        <is>
          <t>Carbon capture</t>
        </is>
      </c>
      <c r="D3556" s="12" t="inlineStr">
        <is>
          <t>Motor 24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G-P-0124</t>
        </is>
      </c>
      <c r="B3557" s="12" t="inlineStr">
        <is>
          <t>G</t>
        </is>
      </c>
      <c r="C3557" s="12" t="inlineStr">
        <is>
          <t>Carbon capture</t>
        </is>
      </c>
      <c r="D3557" s="12" t="inlineStr">
        <is>
          <t>Motor 25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G-P-0125</t>
        </is>
      </c>
      <c r="B3558" s="12" t="inlineStr">
        <is>
          <t>G</t>
        </is>
      </c>
      <c r="C3558" s="12" t="inlineStr">
        <is>
          <t>Carbon capture</t>
        </is>
      </c>
      <c r="D3558" s="12" t="inlineStr">
        <is>
          <t>Motor 26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G-P-0126</t>
        </is>
      </c>
      <c r="B3559" s="12" t="inlineStr">
        <is>
          <t>G</t>
        </is>
      </c>
      <c r="C3559" s="12" t="inlineStr">
        <is>
          <t>Carbon capture</t>
        </is>
      </c>
      <c r="D3559" s="12" t="inlineStr">
        <is>
          <t>Motor 27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G-P-0127</t>
        </is>
      </c>
      <c r="B3560" s="12" t="inlineStr">
        <is>
          <t>G</t>
        </is>
      </c>
      <c r="C3560" s="12" t="inlineStr">
        <is>
          <t>Carbon capture</t>
        </is>
      </c>
      <c r="D3560" s="12" t="inlineStr">
        <is>
          <t>Motor 28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G-P-0128</t>
        </is>
      </c>
      <c r="B3561" s="12" t="inlineStr">
        <is>
          <t>G</t>
        </is>
      </c>
      <c r="C3561" s="12" t="inlineStr">
        <is>
          <t>Carbon capture</t>
        </is>
      </c>
      <c r="D3561" s="12" t="inlineStr">
        <is>
          <t>Motor 29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G-P-0129</t>
        </is>
      </c>
      <c r="B3562" s="12" t="inlineStr">
        <is>
          <t>G</t>
        </is>
      </c>
      <c r="C3562" s="12" t="inlineStr">
        <is>
          <t>Carbon capture</t>
        </is>
      </c>
      <c r="D3562" s="12" t="inlineStr">
        <is>
          <t>Motor 30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G-P-0130</t>
        </is>
      </c>
      <c r="B3563" s="12" t="inlineStr">
        <is>
          <t>G</t>
        </is>
      </c>
      <c r="C3563" s="12" t="inlineStr">
        <is>
          <t>Carbon capture</t>
        </is>
      </c>
      <c r="D3563" s="12" t="inlineStr">
        <is>
          <t>Area / platform lighting circuit 1 (12 fixtures)</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3</v>
      </c>
      <c r="R3563" s="12" t="n">
        <v>5</v>
      </c>
      <c r="S3563" s="12" t="inlineStr">
        <is>
          <t>Tray</t>
        </is>
      </c>
      <c r="T3563" s="17" t="n">
        <v>300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fixture-to-fixture run included</t>
        </is>
      </c>
      <c r="AA3563" s="12">
        <f>N3563*O3563</f>
        <v/>
      </c>
    </row>
    <row r="3564">
      <c r="A3564" s="12" t="inlineStr">
        <is>
          <t>G-P-0131</t>
        </is>
      </c>
      <c r="B3564" s="12" t="inlineStr">
        <is>
          <t>G</t>
        </is>
      </c>
      <c r="C3564" s="12" t="inlineStr">
        <is>
          <t>Carbon capture</t>
        </is>
      </c>
      <c r="D3564" s="12" t="inlineStr">
        <is>
          <t>Area / platform lighting circuit 2 (12 fixtures)</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3</v>
      </c>
      <c r="R3564" s="12" t="n">
        <v>5</v>
      </c>
      <c r="S3564" s="12" t="inlineStr">
        <is>
          <t>Tray</t>
        </is>
      </c>
      <c r="T3564" s="17" t="n">
        <v>300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fixture-to-fixture run included</t>
        </is>
      </c>
      <c r="AA3564" s="12">
        <f>N3564*O3564</f>
        <v/>
      </c>
    </row>
    <row r="3565">
      <c r="A3565" s="12" t="inlineStr">
        <is>
          <t>G-P-0132</t>
        </is>
      </c>
      <c r="B3565" s="12" t="inlineStr">
        <is>
          <t>G</t>
        </is>
      </c>
      <c r="C3565" s="12" t="inlineStr">
        <is>
          <t>Carbon capture</t>
        </is>
      </c>
      <c r="D3565" s="12" t="inlineStr">
        <is>
          <t>Area / platform lighting circuit 3 (6 fixtures)</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300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G-P-0133</t>
        </is>
      </c>
      <c r="B3566" s="12" t="inlineStr">
        <is>
          <t>G</t>
        </is>
      </c>
      <c r="C3566" s="12" t="inlineStr">
        <is>
          <t>Carbon capture</t>
        </is>
      </c>
      <c r="D3566" s="12" t="inlineStr">
        <is>
          <t>Motor 1 of 2, 250 kW</t>
        </is>
      </c>
      <c r="E3566" s="12" t="inlineStr"/>
      <c r="F3566" s="12" t="inlineStr">
        <is>
          <t>CCS MV switchgear building (VFDs)</t>
        </is>
      </c>
      <c r="G3566" s="12" t="inlineStr"/>
      <c r="H3566" s="12" t="inlineStr">
        <is>
          <t>CCS instrument air</t>
        </is>
      </c>
      <c r="I3566" s="12" t="inlineStr">
        <is>
          <t>LV 600 V</t>
        </is>
      </c>
      <c r="J3566" s="12" t="inlineStr">
        <is>
          <t>Type TC-ER 600 V 3/C Cu XHHW-2 + ground, PVC jacket</t>
        </is>
      </c>
      <c r="K3566" s="12" t="inlineStr">
        <is>
          <t>LV|3/C+G|4/0</t>
        </is>
      </c>
      <c r="L3566" s="12" t="inlineStr">
        <is>
          <t>3/C+G</t>
        </is>
      </c>
      <c r="M3566" s="12" t="inlineStr">
        <is>
          <t>4/0</t>
        </is>
      </c>
      <c r="N3566" s="12" t="n">
        <v>2</v>
      </c>
      <c r="O3566" s="12" t="n">
        <v>1</v>
      </c>
      <c r="P3566" s="12" t="n">
        <v>480</v>
      </c>
      <c r="Q3566" s="12" t="n">
        <v>250</v>
      </c>
      <c r="R3566" s="12" t="n">
        <v>353.8</v>
      </c>
      <c r="S3566" s="12" t="inlineStr">
        <is>
          <t>Duct bank</t>
        </is>
      </c>
      <c r="T3566" s="17" t="n">
        <v>206</v>
      </c>
      <c r="U3566" s="17" t="n">
        <v>51</v>
      </c>
      <c r="V3566" s="17">
        <f>ROUNDUP((T3566+U3566+2*'Read Me'!$B$13)*(1+'Read Me'!$B$12),-1)</f>
        <v/>
      </c>
      <c r="W3566" s="17">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G-P-0134</t>
        </is>
      </c>
      <c r="B3567" s="12" t="inlineStr">
        <is>
          <t>G</t>
        </is>
      </c>
      <c r="C3567" s="12" t="inlineStr">
        <is>
          <t>Carbon capture</t>
        </is>
      </c>
      <c r="D3567" s="12" t="inlineStr">
        <is>
          <t>Motor 2 of 2, 250 kW</t>
        </is>
      </c>
      <c r="E3567" s="12" t="inlineStr"/>
      <c r="F3567" s="12" t="inlineStr">
        <is>
          <t>CCS MV switchgear building (VFDs)</t>
        </is>
      </c>
      <c r="G3567" s="12" t="inlineStr"/>
      <c r="H3567" s="12" t="inlineStr">
        <is>
          <t>CCS instrument air</t>
        </is>
      </c>
      <c r="I3567" s="12" t="inlineStr">
        <is>
          <t>LV 600 V</t>
        </is>
      </c>
      <c r="J3567" s="12" t="inlineStr">
        <is>
          <t>Type TC-ER 600 V 3/C Cu XHHW-2 + ground, PVC jacket</t>
        </is>
      </c>
      <c r="K3567" s="12" t="inlineStr">
        <is>
          <t>LV|3/C+G|4/0</t>
        </is>
      </c>
      <c r="L3567" s="12" t="inlineStr">
        <is>
          <t>3/C+G</t>
        </is>
      </c>
      <c r="M3567" s="12" t="inlineStr">
        <is>
          <t>4/0</t>
        </is>
      </c>
      <c r="N3567" s="12" t="n">
        <v>2</v>
      </c>
      <c r="O3567" s="12" t="n">
        <v>1</v>
      </c>
      <c r="P3567" s="12" t="n">
        <v>480</v>
      </c>
      <c r="Q3567" s="12" t="n">
        <v>250</v>
      </c>
      <c r="R3567" s="12" t="n">
        <v>353.8</v>
      </c>
      <c r="S3567" s="12" t="inlineStr">
        <is>
          <t>Duct bank</t>
        </is>
      </c>
      <c r="T3567" s="17" t="n">
        <v>206</v>
      </c>
      <c r="U3567" s="17" t="n">
        <v>51</v>
      </c>
      <c r="V3567" s="17">
        <f>ROUNDUP((T3567+U3567+2*'Read Me'!$B$13)*(1+'Read Me'!$B$12),-1)</f>
        <v/>
      </c>
      <c r="W3567" s="17">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G-P-0135</t>
        </is>
      </c>
      <c r="B3568" s="12" t="inlineStr">
        <is>
          <t>G</t>
        </is>
      </c>
      <c r="C3568" s="12" t="inlineStr">
        <is>
          <t>Carbon capture</t>
        </is>
      </c>
      <c r="D3568" s="12" t="inlineStr">
        <is>
          <t>Motor 1 of 6, 15 kW</t>
        </is>
      </c>
      <c r="E3568" s="12" t="inlineStr"/>
      <c r="F3568" s="12" t="inlineStr">
        <is>
          <t>CT MCC / VFD e-house</t>
        </is>
      </c>
      <c r="G3568" s="12" t="inlineStr"/>
      <c r="H3568" s="12" t="inlineStr">
        <is>
          <t>CCS wastewater (DCC + tower blowdown)</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15</v>
      </c>
      <c r="R3568" s="12" t="n">
        <v>21.2</v>
      </c>
      <c r="S3568" s="12" t="inlineStr">
        <is>
          <t>Duct bank</t>
        </is>
      </c>
      <c r="T3568" s="17" t="n">
        <v>5</v>
      </c>
      <c r="U3568" s="17" t="n">
        <v>87</v>
      </c>
      <c r="V3568" s="17">
        <f>ROUNDUP((T3568+U3568+2*'Read Me'!$B$13)*(1+'Read Me'!$B$12),-1)</f>
        <v/>
      </c>
      <c r="W3568" s="17">
        <f>V3568*N3568*O3568</f>
        <v/>
      </c>
      <c r="X3568" s="12">
        <f>IF(LEFT(I3568,2)="MV",2*N3568*IF(L3568="1/C",O3568,1),0)</f>
        <v/>
      </c>
      <c r="Y3568" s="12">
        <f>IF(OR(LEFT(K3568,4)="LVAX",LEFT(K3568,6)="MV15AX",LEFT(K3568,4)="CTAX",LEFT(K3568,2)="W|"),2*N3568*O3568,0)</f>
        <v/>
      </c>
      <c r="Z3568" s="12" t="inlineStr">
        <is>
          <t>VD 0.9 %</t>
        </is>
      </c>
      <c r="AA3568" s="12">
        <f>N3568*O3568</f>
        <v/>
      </c>
    </row>
    <row r="3569">
      <c r="A3569" s="12" t="inlineStr">
        <is>
          <t>G-P-0136</t>
        </is>
      </c>
      <c r="B3569" s="12" t="inlineStr">
        <is>
          <t>G</t>
        </is>
      </c>
      <c r="C3569" s="12" t="inlineStr">
        <is>
          <t>Carbon capture</t>
        </is>
      </c>
      <c r="D3569" s="12" t="inlineStr">
        <is>
          <t>Motor 2 of 6, 15 kW</t>
        </is>
      </c>
      <c r="E3569" s="12" t="inlineStr"/>
      <c r="F3569" s="12" t="inlineStr">
        <is>
          <t>CT MCC / VFD e-house</t>
        </is>
      </c>
      <c r="G3569" s="12" t="inlineStr"/>
      <c r="H3569" s="12" t="inlineStr">
        <is>
          <t>CCS wastewater (DCC + tower blowdown)</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15</v>
      </c>
      <c r="R3569" s="12" t="n">
        <v>21.2</v>
      </c>
      <c r="S3569" s="12" t="inlineStr">
        <is>
          <t>Duct bank</t>
        </is>
      </c>
      <c r="T3569" s="17" t="n">
        <v>5</v>
      </c>
      <c r="U3569" s="17" t="n">
        <v>87</v>
      </c>
      <c r="V3569" s="17">
        <f>ROUNDUP((T3569+U3569+2*'Read Me'!$B$13)*(1+'Read Me'!$B$12),-1)</f>
        <v/>
      </c>
      <c r="W3569" s="17">
        <f>V3569*N3569*O3569</f>
        <v/>
      </c>
      <c r="X3569" s="12">
        <f>IF(LEFT(I3569,2)="MV",2*N3569*IF(L3569="1/C",O3569,1),0)</f>
        <v/>
      </c>
      <c r="Y3569" s="12">
        <f>IF(OR(LEFT(K3569,4)="LVAX",LEFT(K3569,6)="MV15AX",LEFT(K3569,4)="CTAX",LEFT(K3569,2)="W|"),2*N3569*O3569,0)</f>
        <v/>
      </c>
      <c r="Z3569" s="12" t="inlineStr">
        <is>
          <t>VD 0.9 %</t>
        </is>
      </c>
      <c r="AA3569" s="12">
        <f>N3569*O3569</f>
        <v/>
      </c>
    </row>
    <row r="3570">
      <c r="A3570" s="12" t="inlineStr">
        <is>
          <t>G-P-0137</t>
        </is>
      </c>
      <c r="B3570" s="12" t="inlineStr">
        <is>
          <t>G</t>
        </is>
      </c>
      <c r="C3570" s="12" t="inlineStr">
        <is>
          <t>Carbon capture</t>
        </is>
      </c>
      <c r="D3570" s="12" t="inlineStr">
        <is>
          <t>Motor 3 of 6, 15 kW</t>
        </is>
      </c>
      <c r="E3570" s="12" t="inlineStr"/>
      <c r="F3570" s="12" t="inlineStr">
        <is>
          <t>CT MCC / VFD e-house</t>
        </is>
      </c>
      <c r="G3570" s="12" t="inlineStr"/>
      <c r="H3570" s="12" t="inlineStr">
        <is>
          <t>CCS wastewater (DCC + tower blowdown)</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15</v>
      </c>
      <c r="R3570" s="12" t="n">
        <v>21.2</v>
      </c>
      <c r="S3570" s="12" t="inlineStr">
        <is>
          <t>Duct bank</t>
        </is>
      </c>
      <c r="T3570" s="17" t="n">
        <v>5</v>
      </c>
      <c r="U3570" s="17" t="n">
        <v>87</v>
      </c>
      <c r="V3570" s="17">
        <f>ROUNDUP((T3570+U3570+2*'Read Me'!$B$13)*(1+'Read Me'!$B$12),-1)</f>
        <v/>
      </c>
      <c r="W3570" s="17">
        <f>V3570*N3570*O3570</f>
        <v/>
      </c>
      <c r="X3570" s="12">
        <f>IF(LEFT(I3570,2)="MV",2*N3570*IF(L3570="1/C",O3570,1),0)</f>
        <v/>
      </c>
      <c r="Y3570" s="12">
        <f>IF(OR(LEFT(K3570,4)="LVAX",LEFT(K3570,6)="MV15AX",LEFT(K3570,4)="CTAX",LEFT(K3570,2)="W|"),2*N3570*O3570,0)</f>
        <v/>
      </c>
      <c r="Z3570" s="12" t="inlineStr">
        <is>
          <t>VD 0.9 %</t>
        </is>
      </c>
      <c r="AA3570" s="12">
        <f>N3570*O3570</f>
        <v/>
      </c>
    </row>
    <row r="3571">
      <c r="A3571" s="12" t="inlineStr">
        <is>
          <t>G-P-0138</t>
        </is>
      </c>
      <c r="B3571" s="12" t="inlineStr">
        <is>
          <t>G</t>
        </is>
      </c>
      <c r="C3571" s="12" t="inlineStr">
        <is>
          <t>Carbon capture</t>
        </is>
      </c>
      <c r="D3571" s="12" t="inlineStr">
        <is>
          <t>Motor 4 of 6, 15 kW</t>
        </is>
      </c>
      <c r="E3571" s="12" t="inlineStr"/>
      <c r="F3571" s="12" t="inlineStr">
        <is>
          <t>CT MCC / VFD e-house</t>
        </is>
      </c>
      <c r="G3571" s="12" t="inlineStr"/>
      <c r="H3571" s="12" t="inlineStr">
        <is>
          <t>CCS wastewater (DCC + tower blowdown)</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15</v>
      </c>
      <c r="R3571" s="12" t="n">
        <v>21.2</v>
      </c>
      <c r="S3571" s="12" t="inlineStr">
        <is>
          <t>Duct bank</t>
        </is>
      </c>
      <c r="T3571" s="17" t="n">
        <v>5</v>
      </c>
      <c r="U3571" s="17" t="n">
        <v>87</v>
      </c>
      <c r="V3571" s="17">
        <f>ROUNDUP((T3571+U3571+2*'Read Me'!$B$13)*(1+'Read Me'!$B$12),-1)</f>
        <v/>
      </c>
      <c r="W3571" s="17">
        <f>V3571*N3571*O3571</f>
        <v/>
      </c>
      <c r="X3571" s="12">
        <f>IF(LEFT(I3571,2)="MV",2*N3571*IF(L3571="1/C",O3571,1),0)</f>
        <v/>
      </c>
      <c r="Y3571" s="12">
        <f>IF(OR(LEFT(K3571,4)="LVAX",LEFT(K3571,6)="MV15AX",LEFT(K3571,4)="CTAX",LEFT(K3571,2)="W|"),2*N3571*O3571,0)</f>
        <v/>
      </c>
      <c r="Z3571" s="12" t="inlineStr">
        <is>
          <t>VD 0.9 %</t>
        </is>
      </c>
      <c r="AA3571" s="12">
        <f>N3571*O3571</f>
        <v/>
      </c>
    </row>
    <row r="3572">
      <c r="A3572" s="12" t="inlineStr">
        <is>
          <t>G-P-0139</t>
        </is>
      </c>
      <c r="B3572" s="12" t="inlineStr">
        <is>
          <t>G</t>
        </is>
      </c>
      <c r="C3572" s="12" t="inlineStr">
        <is>
          <t>Carbon capture</t>
        </is>
      </c>
      <c r="D3572" s="12" t="inlineStr">
        <is>
          <t>Motor 5 of 6, 15 kW</t>
        </is>
      </c>
      <c r="E3572" s="12" t="inlineStr"/>
      <c r="F3572" s="12" t="inlineStr">
        <is>
          <t>CT MCC / VFD e-house</t>
        </is>
      </c>
      <c r="G3572" s="12" t="inlineStr"/>
      <c r="H3572" s="12" t="inlineStr">
        <is>
          <t>CCS wastewater (DCC + tower blowdown)</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15</v>
      </c>
      <c r="R3572" s="12" t="n">
        <v>21.2</v>
      </c>
      <c r="S3572" s="12" t="inlineStr">
        <is>
          <t>Duct bank</t>
        </is>
      </c>
      <c r="T3572" s="17" t="n">
        <v>5</v>
      </c>
      <c r="U3572" s="17" t="n">
        <v>87</v>
      </c>
      <c r="V3572" s="17">
        <f>ROUNDUP((T3572+U3572+2*'Read Me'!$B$13)*(1+'Read Me'!$B$12),-1)</f>
        <v/>
      </c>
      <c r="W3572" s="17">
        <f>V3572*N3572*O3572</f>
        <v/>
      </c>
      <c r="X3572" s="12">
        <f>IF(LEFT(I3572,2)="MV",2*N3572*IF(L3572="1/C",O3572,1),0)</f>
        <v/>
      </c>
      <c r="Y3572" s="12">
        <f>IF(OR(LEFT(K3572,4)="LVAX",LEFT(K3572,6)="MV15AX",LEFT(K3572,4)="CTAX",LEFT(K3572,2)="W|"),2*N3572*O3572,0)</f>
        <v/>
      </c>
      <c r="Z3572" s="12" t="inlineStr">
        <is>
          <t>VD 0.9 %</t>
        </is>
      </c>
      <c r="AA3572" s="12">
        <f>N3572*O3572</f>
        <v/>
      </c>
    </row>
    <row r="3573">
      <c r="A3573" s="12" t="inlineStr">
        <is>
          <t>G-P-0140</t>
        </is>
      </c>
      <c r="B3573" s="12" t="inlineStr">
        <is>
          <t>G</t>
        </is>
      </c>
      <c r="C3573" s="12" t="inlineStr">
        <is>
          <t>Carbon capture</t>
        </is>
      </c>
      <c r="D3573" s="12" t="inlineStr">
        <is>
          <t>Motor 6 of 6, 15 kW</t>
        </is>
      </c>
      <c r="E3573" s="12" t="inlineStr"/>
      <c r="F3573" s="12" t="inlineStr">
        <is>
          <t>CT MCC / VFD e-house</t>
        </is>
      </c>
      <c r="G3573" s="12" t="inlineStr"/>
      <c r="H3573" s="12" t="inlineStr">
        <is>
          <t>CCS wastewater (DCC + tower blowdown)</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15</v>
      </c>
      <c r="R3573" s="12" t="n">
        <v>21.2</v>
      </c>
      <c r="S3573" s="12" t="inlineStr">
        <is>
          <t>Duct bank</t>
        </is>
      </c>
      <c r="T3573" s="17" t="n">
        <v>5</v>
      </c>
      <c r="U3573" s="17" t="n">
        <v>87</v>
      </c>
      <c r="V3573" s="17">
        <f>ROUNDUP((T3573+U3573+2*'Read Me'!$B$13)*(1+'Read Me'!$B$12),-1)</f>
        <v/>
      </c>
      <c r="W3573" s="17">
        <f>V3573*N3573*O3573</f>
        <v/>
      </c>
      <c r="X3573" s="12">
        <f>IF(LEFT(I3573,2)="MV",2*N3573*IF(L3573="1/C",O3573,1),0)</f>
        <v/>
      </c>
      <c r="Y3573" s="12">
        <f>IF(OR(LEFT(K3573,4)="LVAX",LEFT(K3573,6)="MV15AX",LEFT(K3573,4)="CTAX",LEFT(K3573,2)="W|"),2*N3573*O3573,0)</f>
        <v/>
      </c>
      <c r="Z3573" s="12" t="inlineStr">
        <is>
          <t>VD 0.9 %</t>
        </is>
      </c>
      <c r="AA3573" s="12">
        <f>N3573*O3573</f>
        <v/>
      </c>
    </row>
    <row r="3574">
      <c r="A3574" s="12" t="inlineStr">
        <is>
          <t>G-P-0141</t>
        </is>
      </c>
      <c r="B3574" s="12" t="inlineStr">
        <is>
          <t>G</t>
        </is>
      </c>
      <c r="C3574" s="12" t="inlineStr">
        <is>
          <t>Carbon capture</t>
        </is>
      </c>
      <c r="D3574" s="12" t="inlineStr">
        <is>
          <t>Motor 1 of 10, 30 kW</t>
        </is>
      </c>
      <c r="E3574" s="12" t="inlineStr"/>
      <c r="F3574" s="12" t="inlineStr">
        <is>
          <t>CCS MV switchgear building (VFDs)</t>
        </is>
      </c>
      <c r="G3574" s="12" t="inlineStr"/>
      <c r="H3574" s="12" t="inlineStr">
        <is>
          <t>CO2 compression 3 x ~19 MW + dehydration</t>
        </is>
      </c>
      <c r="I3574" s="12" t="inlineStr">
        <is>
          <t>LV 600 V</t>
        </is>
      </c>
      <c r="J3574" s="12" t="inlineStr">
        <is>
          <t>Type TC-ER 600 V 3/C Cu XHHW-2 + ground, PVC jacket</t>
        </is>
      </c>
      <c r="K3574" s="12" t="inlineStr">
        <is>
          <t>LV|3/C+G|6</t>
        </is>
      </c>
      <c r="L3574" s="12" t="inlineStr">
        <is>
          <t>3/C+G</t>
        </is>
      </c>
      <c r="M3574" s="12" t="inlineStr">
        <is>
          <t>6</t>
        </is>
      </c>
      <c r="N3574" s="12" t="n">
        <v>1</v>
      </c>
      <c r="O3574" s="12" t="n">
        <v>1</v>
      </c>
      <c r="P3574" s="12" t="n">
        <v>480</v>
      </c>
      <c r="Q3574" s="12" t="n">
        <v>30</v>
      </c>
      <c r="R3574" s="12" t="n">
        <v>42.5</v>
      </c>
      <c r="S3574" s="12" t="inlineStr">
        <is>
          <t>Duct bank</t>
        </is>
      </c>
      <c r="T3574" s="17" t="n">
        <v>291</v>
      </c>
      <c r="U3574" s="17" t="n">
        <v>36</v>
      </c>
      <c r="V3574" s="17">
        <f>ROUNDUP((T3574+U3574+2*'Read Me'!$B$13)*(1+'Read Me'!$B$12),-1)</f>
        <v/>
      </c>
      <c r="W3574" s="17">
        <f>V3574*N3574*O3574</f>
        <v/>
      </c>
      <c r="X3574" s="12">
        <f>IF(LEFT(I3574,2)="MV",2*N3574*IF(L3574="1/C",O3574,1),0)</f>
        <v/>
      </c>
      <c r="Y3574" s="12">
        <f>IF(OR(LEFT(K3574,4)="LVAX",LEFT(K3574,6)="MV15AX",LEFT(K3574,4)="CTAX",LEFT(K3574,2)="W|"),2*N3574*O3574,0)</f>
        <v/>
      </c>
      <c r="Z3574" s="12" t="inlineStr">
        <is>
          <t>VD 2.7 %</t>
        </is>
      </c>
      <c r="AA3574" s="12">
        <f>N3574*O3574</f>
        <v/>
      </c>
    </row>
    <row r="3575">
      <c r="A3575" s="12" t="inlineStr">
        <is>
          <t>G-P-0142</t>
        </is>
      </c>
      <c r="B3575" s="12" t="inlineStr">
        <is>
          <t>G</t>
        </is>
      </c>
      <c r="C3575" s="12" t="inlineStr">
        <is>
          <t>Carbon capture</t>
        </is>
      </c>
      <c r="D3575" s="12" t="inlineStr">
        <is>
          <t>Motor 2 of 10, 30 kW</t>
        </is>
      </c>
      <c r="E3575" s="12" t="inlineStr"/>
      <c r="F3575" s="12" t="inlineStr">
        <is>
          <t>CCS MV switchgear building (VFDs)</t>
        </is>
      </c>
      <c r="G3575" s="12" t="inlineStr"/>
      <c r="H3575" s="12" t="inlineStr">
        <is>
          <t>CO2 compression 3 x ~19 MW + dehydration</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30</v>
      </c>
      <c r="R3575" s="12" t="n">
        <v>42.5</v>
      </c>
      <c r="S3575" s="12" t="inlineStr">
        <is>
          <t>Duct bank</t>
        </is>
      </c>
      <c r="T3575" s="17" t="n">
        <v>291</v>
      </c>
      <c r="U3575" s="17" t="n">
        <v>36</v>
      </c>
      <c r="V3575" s="17">
        <f>ROUNDUP((T3575+U3575+2*'Read Me'!$B$13)*(1+'Read Me'!$B$12),-1)</f>
        <v/>
      </c>
      <c r="W3575" s="17">
        <f>V3575*N3575*O3575</f>
        <v/>
      </c>
      <c r="X3575" s="12">
        <f>IF(LEFT(I3575,2)="MV",2*N3575*IF(L3575="1/C",O3575,1),0)</f>
        <v/>
      </c>
      <c r="Y3575" s="12">
        <f>IF(OR(LEFT(K3575,4)="LVAX",LEFT(K3575,6)="MV15AX",LEFT(K3575,4)="CTAX",LEFT(K3575,2)="W|"),2*N3575*O3575,0)</f>
        <v/>
      </c>
      <c r="Z3575" s="12" t="inlineStr">
        <is>
          <t>VD 2.7 %</t>
        </is>
      </c>
      <c r="AA3575" s="12">
        <f>N3575*O3575</f>
        <v/>
      </c>
    </row>
    <row r="3576">
      <c r="A3576" s="12" t="inlineStr">
        <is>
          <t>G-P-0143</t>
        </is>
      </c>
      <c r="B3576" s="12" t="inlineStr">
        <is>
          <t>G</t>
        </is>
      </c>
      <c r="C3576" s="12" t="inlineStr">
        <is>
          <t>Carbon capture</t>
        </is>
      </c>
      <c r="D3576" s="12" t="inlineStr">
        <is>
          <t>Motor 3 of 10, 30 kW</t>
        </is>
      </c>
      <c r="E3576" s="12" t="inlineStr"/>
      <c r="F3576" s="12" t="inlineStr">
        <is>
          <t>CCS MV switchgear building (VFDs)</t>
        </is>
      </c>
      <c r="G3576" s="12" t="inlineStr"/>
      <c r="H3576" s="12" t="inlineStr">
        <is>
          <t>CO2 compression 3 x ~19 MW + dehydration</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30</v>
      </c>
      <c r="R3576" s="12" t="n">
        <v>42.5</v>
      </c>
      <c r="S3576" s="12" t="inlineStr">
        <is>
          <t>Duct bank</t>
        </is>
      </c>
      <c r="T3576" s="17" t="n">
        <v>291</v>
      </c>
      <c r="U3576" s="17" t="n">
        <v>36</v>
      </c>
      <c r="V3576" s="17">
        <f>ROUNDUP((T3576+U3576+2*'Read Me'!$B$13)*(1+'Read Me'!$B$12),-1)</f>
        <v/>
      </c>
      <c r="W3576" s="17">
        <f>V3576*N3576*O3576</f>
        <v/>
      </c>
      <c r="X3576" s="12">
        <f>IF(LEFT(I3576,2)="MV",2*N3576*IF(L3576="1/C",O3576,1),0)</f>
        <v/>
      </c>
      <c r="Y3576" s="12">
        <f>IF(OR(LEFT(K3576,4)="LVAX",LEFT(K3576,6)="MV15AX",LEFT(K3576,4)="CTAX",LEFT(K3576,2)="W|"),2*N3576*O3576,0)</f>
        <v/>
      </c>
      <c r="Z3576" s="12" t="inlineStr">
        <is>
          <t>VD 2.7 %</t>
        </is>
      </c>
      <c r="AA3576" s="12">
        <f>N3576*O3576</f>
        <v/>
      </c>
    </row>
    <row r="3577">
      <c r="A3577" s="12" t="inlineStr">
        <is>
          <t>G-P-0144</t>
        </is>
      </c>
      <c r="B3577" s="12" t="inlineStr">
        <is>
          <t>G</t>
        </is>
      </c>
      <c r="C3577" s="12" t="inlineStr">
        <is>
          <t>Carbon capture</t>
        </is>
      </c>
      <c r="D3577" s="12" t="inlineStr">
        <is>
          <t>Motor 4 of 10, 30 kW</t>
        </is>
      </c>
      <c r="E3577" s="12" t="inlineStr"/>
      <c r="F3577" s="12" t="inlineStr">
        <is>
          <t>CCS MV switchgear building (VFDs)</t>
        </is>
      </c>
      <c r="G3577" s="12" t="inlineStr"/>
      <c r="H3577" s="12" t="inlineStr">
        <is>
          <t>CO2 compression 3 x ~19 MW + dehydration</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30</v>
      </c>
      <c r="R3577" s="12" t="n">
        <v>42.5</v>
      </c>
      <c r="S3577" s="12" t="inlineStr">
        <is>
          <t>Duct bank</t>
        </is>
      </c>
      <c r="T3577" s="17" t="n">
        <v>291</v>
      </c>
      <c r="U3577" s="17" t="n">
        <v>36</v>
      </c>
      <c r="V3577" s="17">
        <f>ROUNDUP((T3577+U3577+2*'Read Me'!$B$13)*(1+'Read Me'!$B$12),-1)</f>
        <v/>
      </c>
      <c r="W3577" s="17">
        <f>V3577*N3577*O3577</f>
        <v/>
      </c>
      <c r="X3577" s="12">
        <f>IF(LEFT(I3577,2)="MV",2*N3577*IF(L3577="1/C",O3577,1),0)</f>
        <v/>
      </c>
      <c r="Y3577" s="12">
        <f>IF(OR(LEFT(K3577,4)="LVAX",LEFT(K3577,6)="MV15AX",LEFT(K3577,4)="CTAX",LEFT(K3577,2)="W|"),2*N3577*O3577,0)</f>
        <v/>
      </c>
      <c r="Z3577" s="12" t="inlineStr">
        <is>
          <t>VD 2.7 %</t>
        </is>
      </c>
      <c r="AA3577" s="12">
        <f>N3577*O3577</f>
        <v/>
      </c>
    </row>
    <row r="3578">
      <c r="A3578" s="12" t="inlineStr">
        <is>
          <t>G-P-0145</t>
        </is>
      </c>
      <c r="B3578" s="12" t="inlineStr">
        <is>
          <t>G</t>
        </is>
      </c>
      <c r="C3578" s="12" t="inlineStr">
        <is>
          <t>Carbon capture</t>
        </is>
      </c>
      <c r="D3578" s="12" t="inlineStr">
        <is>
          <t>Motor 5 of 10, 30 kW</t>
        </is>
      </c>
      <c r="E3578" s="12" t="inlineStr"/>
      <c r="F3578" s="12" t="inlineStr">
        <is>
          <t>CCS MV switchgear building (VFDs)</t>
        </is>
      </c>
      <c r="G3578" s="12" t="inlineStr"/>
      <c r="H3578" s="12" t="inlineStr">
        <is>
          <t>CO2 compression 3 x ~19 MW + dehydration</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30</v>
      </c>
      <c r="R3578" s="12" t="n">
        <v>42.5</v>
      </c>
      <c r="S3578" s="12" t="inlineStr">
        <is>
          <t>Duct bank</t>
        </is>
      </c>
      <c r="T3578" s="17" t="n">
        <v>291</v>
      </c>
      <c r="U3578" s="17" t="n">
        <v>36</v>
      </c>
      <c r="V3578" s="17">
        <f>ROUNDUP((T3578+U3578+2*'Read Me'!$B$13)*(1+'Read Me'!$B$12),-1)</f>
        <v/>
      </c>
      <c r="W3578" s="17">
        <f>V3578*N3578*O3578</f>
        <v/>
      </c>
      <c r="X3578" s="12">
        <f>IF(LEFT(I3578,2)="MV",2*N3578*IF(L3578="1/C",O3578,1),0)</f>
        <v/>
      </c>
      <c r="Y3578" s="12">
        <f>IF(OR(LEFT(K3578,4)="LVAX",LEFT(K3578,6)="MV15AX",LEFT(K3578,4)="CTAX",LEFT(K3578,2)="W|"),2*N3578*O3578,0)</f>
        <v/>
      </c>
      <c r="Z3578" s="12" t="inlineStr">
        <is>
          <t>VD 2.7 %</t>
        </is>
      </c>
      <c r="AA3578" s="12">
        <f>N3578*O3578</f>
        <v/>
      </c>
    </row>
    <row r="3579">
      <c r="A3579" s="12" t="inlineStr">
        <is>
          <t>G-P-0146</t>
        </is>
      </c>
      <c r="B3579" s="12" t="inlineStr">
        <is>
          <t>G</t>
        </is>
      </c>
      <c r="C3579" s="12" t="inlineStr">
        <is>
          <t>Carbon capture</t>
        </is>
      </c>
      <c r="D3579" s="12" t="inlineStr">
        <is>
          <t>Motor 6 of 10, 30 kW</t>
        </is>
      </c>
      <c r="E3579" s="12" t="inlineStr"/>
      <c r="F3579" s="12" t="inlineStr">
        <is>
          <t>CCS MV switchgear building (VFDs)</t>
        </is>
      </c>
      <c r="G3579" s="12" t="inlineStr"/>
      <c r="H3579" s="12" t="inlineStr">
        <is>
          <t>CO2 compression 3 x ~19 MW + dehydration</t>
        </is>
      </c>
      <c r="I3579" s="12" t="inlineStr">
        <is>
          <t>LV 600 V</t>
        </is>
      </c>
      <c r="J3579" s="12" t="inlineStr">
        <is>
          <t>Type TC-ER 600 V 3/C Cu XHHW-2 + ground, PVC jacket</t>
        </is>
      </c>
      <c r="K3579" s="12" t="inlineStr">
        <is>
          <t>LV|3/C+G|6</t>
        </is>
      </c>
      <c r="L3579" s="12" t="inlineStr">
        <is>
          <t>3/C+G</t>
        </is>
      </c>
      <c r="M3579" s="12" t="inlineStr">
        <is>
          <t>6</t>
        </is>
      </c>
      <c r="N3579" s="12" t="n">
        <v>1</v>
      </c>
      <c r="O3579" s="12" t="n">
        <v>1</v>
      </c>
      <c r="P3579" s="12" t="n">
        <v>480</v>
      </c>
      <c r="Q3579" s="12" t="n">
        <v>30</v>
      </c>
      <c r="R3579" s="12" t="n">
        <v>42.5</v>
      </c>
      <c r="S3579" s="12" t="inlineStr">
        <is>
          <t>Duct bank</t>
        </is>
      </c>
      <c r="T3579" s="17" t="n">
        <v>291</v>
      </c>
      <c r="U3579" s="17" t="n">
        <v>36</v>
      </c>
      <c r="V3579" s="17">
        <f>ROUNDUP((T3579+U3579+2*'Read Me'!$B$13)*(1+'Read Me'!$B$12),-1)</f>
        <v/>
      </c>
      <c r="W3579" s="17">
        <f>V3579*N3579*O3579</f>
        <v/>
      </c>
      <c r="X3579" s="12">
        <f>IF(LEFT(I3579,2)="MV",2*N3579*IF(L3579="1/C",O3579,1),0)</f>
        <v/>
      </c>
      <c r="Y3579" s="12">
        <f>IF(OR(LEFT(K3579,4)="LVAX",LEFT(K3579,6)="MV15AX",LEFT(K3579,4)="CTAX",LEFT(K3579,2)="W|"),2*N3579*O3579,0)</f>
        <v/>
      </c>
      <c r="Z3579" s="12" t="inlineStr">
        <is>
          <t>VD 2.7 %</t>
        </is>
      </c>
      <c r="AA3579" s="12">
        <f>N3579*O3579</f>
        <v/>
      </c>
    </row>
    <row r="3580">
      <c r="A3580" s="12" t="inlineStr">
        <is>
          <t>G-P-0147</t>
        </is>
      </c>
      <c r="B3580" s="12" t="inlineStr">
        <is>
          <t>G</t>
        </is>
      </c>
      <c r="C3580" s="12" t="inlineStr">
        <is>
          <t>Carbon capture</t>
        </is>
      </c>
      <c r="D3580" s="12" t="inlineStr">
        <is>
          <t>Motor 7 of 10, 30 kW</t>
        </is>
      </c>
      <c r="E3580" s="12" t="inlineStr"/>
      <c r="F3580" s="12" t="inlineStr">
        <is>
          <t>CCS MV switchgear building (VFDs)</t>
        </is>
      </c>
      <c r="G3580" s="12" t="inlineStr"/>
      <c r="H3580" s="12" t="inlineStr">
        <is>
          <t>CO2 compression 3 x ~19 MW + dehydration</t>
        </is>
      </c>
      <c r="I3580" s="12" t="inlineStr">
        <is>
          <t>LV 600 V</t>
        </is>
      </c>
      <c r="J3580" s="12" t="inlineStr">
        <is>
          <t>Type TC-ER 600 V 3/C Cu XHHW-2 + ground, PVC jacket</t>
        </is>
      </c>
      <c r="K3580" s="12" t="inlineStr">
        <is>
          <t>LV|3/C+G|6</t>
        </is>
      </c>
      <c r="L3580" s="12" t="inlineStr">
        <is>
          <t>3/C+G</t>
        </is>
      </c>
      <c r="M3580" s="12" t="inlineStr">
        <is>
          <t>6</t>
        </is>
      </c>
      <c r="N3580" s="12" t="n">
        <v>1</v>
      </c>
      <c r="O3580" s="12" t="n">
        <v>1</v>
      </c>
      <c r="P3580" s="12" t="n">
        <v>480</v>
      </c>
      <c r="Q3580" s="12" t="n">
        <v>30</v>
      </c>
      <c r="R3580" s="12" t="n">
        <v>42.5</v>
      </c>
      <c r="S3580" s="12" t="inlineStr">
        <is>
          <t>Duct bank</t>
        </is>
      </c>
      <c r="T3580" s="17" t="n">
        <v>291</v>
      </c>
      <c r="U3580" s="17" t="n">
        <v>36</v>
      </c>
      <c r="V3580" s="17">
        <f>ROUNDUP((T3580+U3580+2*'Read Me'!$B$13)*(1+'Read Me'!$B$12),-1)</f>
        <v/>
      </c>
      <c r="W3580" s="17">
        <f>V3580*N3580*O3580</f>
        <v/>
      </c>
      <c r="X3580" s="12">
        <f>IF(LEFT(I3580,2)="MV",2*N3580*IF(L3580="1/C",O3580,1),0)</f>
        <v/>
      </c>
      <c r="Y3580" s="12">
        <f>IF(OR(LEFT(K3580,4)="LVAX",LEFT(K3580,6)="MV15AX",LEFT(K3580,4)="CTAX",LEFT(K3580,2)="W|"),2*N3580*O3580,0)</f>
        <v/>
      </c>
      <c r="Z3580" s="12" t="inlineStr">
        <is>
          <t>VD 2.7 %</t>
        </is>
      </c>
      <c r="AA3580" s="12">
        <f>N3580*O3580</f>
        <v/>
      </c>
    </row>
    <row r="3581">
      <c r="A3581" s="12" t="inlineStr">
        <is>
          <t>G-P-0148</t>
        </is>
      </c>
      <c r="B3581" s="12" t="inlineStr">
        <is>
          <t>G</t>
        </is>
      </c>
      <c r="C3581" s="12" t="inlineStr">
        <is>
          <t>Carbon capture</t>
        </is>
      </c>
      <c r="D3581" s="12" t="inlineStr">
        <is>
          <t>Motor 8 of 10, 30 kW</t>
        </is>
      </c>
      <c r="E3581" s="12" t="inlineStr"/>
      <c r="F3581" s="12" t="inlineStr">
        <is>
          <t>CCS MV switchgear building (VFDs)</t>
        </is>
      </c>
      <c r="G3581" s="12" t="inlineStr"/>
      <c r="H3581" s="12" t="inlineStr">
        <is>
          <t>CO2 compression 3 x ~19 MW + dehydration</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30</v>
      </c>
      <c r="R3581" s="12" t="n">
        <v>42.5</v>
      </c>
      <c r="S3581" s="12" t="inlineStr">
        <is>
          <t>Duct bank</t>
        </is>
      </c>
      <c r="T3581" s="17" t="n">
        <v>291</v>
      </c>
      <c r="U3581" s="17" t="n">
        <v>36</v>
      </c>
      <c r="V3581" s="17">
        <f>ROUNDUP((T3581+U3581+2*'Read Me'!$B$13)*(1+'Read Me'!$B$12),-1)</f>
        <v/>
      </c>
      <c r="W3581" s="17">
        <f>V3581*N3581*O3581</f>
        <v/>
      </c>
      <c r="X3581" s="12">
        <f>IF(LEFT(I3581,2)="MV",2*N3581*IF(L3581="1/C",O3581,1),0)</f>
        <v/>
      </c>
      <c r="Y3581" s="12">
        <f>IF(OR(LEFT(K3581,4)="LVAX",LEFT(K3581,6)="MV15AX",LEFT(K3581,4)="CTAX",LEFT(K3581,2)="W|"),2*N3581*O3581,0)</f>
        <v/>
      </c>
      <c r="Z3581" s="12" t="inlineStr">
        <is>
          <t>VD 2.7 %</t>
        </is>
      </c>
      <c r="AA3581" s="12">
        <f>N3581*O3581</f>
        <v/>
      </c>
    </row>
    <row r="3582">
      <c r="A3582" s="12" t="inlineStr">
        <is>
          <t>G-P-0149</t>
        </is>
      </c>
      <c r="B3582" s="12" t="inlineStr">
        <is>
          <t>G</t>
        </is>
      </c>
      <c r="C3582" s="12" t="inlineStr">
        <is>
          <t>Carbon capture</t>
        </is>
      </c>
      <c r="D3582" s="12" t="inlineStr">
        <is>
          <t>Motor 9 of 10, 30 kW</t>
        </is>
      </c>
      <c r="E3582" s="12" t="inlineStr"/>
      <c r="F3582" s="12" t="inlineStr">
        <is>
          <t>CCS MV switchgear building (VFDs)</t>
        </is>
      </c>
      <c r="G3582" s="12" t="inlineStr"/>
      <c r="H3582" s="12" t="inlineStr">
        <is>
          <t>CO2 compression 3 x ~19 MW + dehydration</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30</v>
      </c>
      <c r="R3582" s="12" t="n">
        <v>42.5</v>
      </c>
      <c r="S3582" s="12" t="inlineStr">
        <is>
          <t>Duct bank</t>
        </is>
      </c>
      <c r="T3582" s="17" t="n">
        <v>291</v>
      </c>
      <c r="U3582" s="17" t="n">
        <v>36</v>
      </c>
      <c r="V3582" s="17">
        <f>ROUNDUP((T3582+U3582+2*'Read Me'!$B$13)*(1+'Read Me'!$B$12),-1)</f>
        <v/>
      </c>
      <c r="W3582" s="17">
        <f>V3582*N3582*O3582</f>
        <v/>
      </c>
      <c r="X3582" s="12">
        <f>IF(LEFT(I3582,2)="MV",2*N3582*IF(L3582="1/C",O3582,1),0)</f>
        <v/>
      </c>
      <c r="Y3582" s="12">
        <f>IF(OR(LEFT(K3582,4)="LVAX",LEFT(K3582,6)="MV15AX",LEFT(K3582,4)="CTAX",LEFT(K3582,2)="W|"),2*N3582*O3582,0)</f>
        <v/>
      </c>
      <c r="Z3582" s="12" t="inlineStr">
        <is>
          <t>VD 2.7 %</t>
        </is>
      </c>
      <c r="AA3582" s="12">
        <f>N3582*O3582</f>
        <v/>
      </c>
    </row>
    <row r="3583">
      <c r="A3583" s="12" t="inlineStr">
        <is>
          <t>G-P-0150</t>
        </is>
      </c>
      <c r="B3583" s="12" t="inlineStr">
        <is>
          <t>G</t>
        </is>
      </c>
      <c r="C3583" s="12" t="inlineStr">
        <is>
          <t>Carbon capture</t>
        </is>
      </c>
      <c r="D3583" s="12" t="inlineStr">
        <is>
          <t>Motor 10 of 10, 30 kW</t>
        </is>
      </c>
      <c r="E3583" s="12" t="inlineStr"/>
      <c r="F3583" s="12" t="inlineStr">
        <is>
          <t>CCS MV switchgear building (VFDs)</t>
        </is>
      </c>
      <c r="G3583" s="12" t="inlineStr"/>
      <c r="H3583" s="12" t="inlineStr">
        <is>
          <t>CO2 compression 3 x ~19 MW + dehydration</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30</v>
      </c>
      <c r="R3583" s="12" t="n">
        <v>42.5</v>
      </c>
      <c r="S3583" s="12" t="inlineStr">
        <is>
          <t>Duct bank</t>
        </is>
      </c>
      <c r="T3583" s="17" t="n">
        <v>291</v>
      </c>
      <c r="U3583" s="17" t="n">
        <v>36</v>
      </c>
      <c r="V3583" s="17">
        <f>ROUNDUP((T3583+U3583+2*'Read Me'!$B$13)*(1+'Read Me'!$B$12),-1)</f>
        <v/>
      </c>
      <c r="W3583" s="17">
        <f>V3583*N3583*O3583</f>
        <v/>
      </c>
      <c r="X3583" s="12">
        <f>IF(LEFT(I3583,2)="MV",2*N3583*IF(L3583="1/C",O3583,1),0)</f>
        <v/>
      </c>
      <c r="Y3583" s="12">
        <f>IF(OR(LEFT(K3583,4)="LVAX",LEFT(K3583,6)="MV15AX",LEFT(K3583,4)="CTAX",LEFT(K3583,2)="W|"),2*N3583*O3583,0)</f>
        <v/>
      </c>
      <c r="Z3583" s="12" t="inlineStr">
        <is>
          <t>VD 2.7 %</t>
        </is>
      </c>
      <c r="AA3583" s="12">
        <f>N3583*O3583</f>
        <v/>
      </c>
    </row>
    <row r="3584">
      <c r="A3584" s="12" t="inlineStr">
        <is>
          <t>G-P-0151</t>
        </is>
      </c>
      <c r="B3584" s="12" t="inlineStr">
        <is>
          <t>G</t>
        </is>
      </c>
      <c r="C3584" s="12" t="inlineStr">
        <is>
          <t>Carbon capture</t>
        </is>
      </c>
      <c r="D3584" s="12" t="inlineStr">
        <is>
          <t>480 V welding receptacle 1</t>
        </is>
      </c>
      <c r="E3584" s="12" t="inlineStr"/>
      <c r="F3584" s="12" t="inlineStr">
        <is>
          <t>CCS MV switchgear building (VFDs)</t>
        </is>
      </c>
      <c r="G3584" s="12" t="inlineStr"/>
      <c r="H3584" s="12" t="inlineStr">
        <is>
          <t>CO2 compression 3 x ~19 MW + dehydration</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60</v>
      </c>
      <c r="R3584" s="12" t="n">
        <v>76</v>
      </c>
      <c r="S3584" s="12" t="inlineStr">
        <is>
          <t>Duct bank</t>
        </is>
      </c>
      <c r="T3584" s="17" t="n">
        <v>291</v>
      </c>
      <c r="U3584" s="17" t="n">
        <v>36</v>
      </c>
      <c r="V3584" s="17">
        <f>ROUNDUP((T3584+U3584+2*'Read Me'!$B$13)*(1+'Read Me'!$B$12),-1)</f>
        <v/>
      </c>
      <c r="W3584" s="17">
        <f>V3584*N3584*O3584</f>
        <v/>
      </c>
      <c r="X3584" s="12">
        <f>IF(LEFT(I3584,2)="MV",2*N3584*IF(L3584="1/C",O3584,1),0)</f>
        <v/>
      </c>
      <c r="Y3584" s="12">
        <f>IF(OR(LEFT(K3584,4)="LVAX",LEFT(K3584,6)="MV15AX",LEFT(K3584,4)="CTAX",LEFT(K3584,2)="W|"),2*N3584*O3584,0)</f>
        <v/>
      </c>
      <c r="Z3584" s="12" t="inlineStr">
        <is>
          <t>VD 1.9 %</t>
        </is>
      </c>
      <c r="AA3584" s="12">
        <f>N3584*O3584</f>
        <v/>
      </c>
    </row>
    <row r="3585">
      <c r="A3585" s="12" t="inlineStr">
        <is>
          <t>G-P-0152</t>
        </is>
      </c>
      <c r="B3585" s="12" t="inlineStr">
        <is>
          <t>G</t>
        </is>
      </c>
      <c r="C3585" s="12" t="inlineStr">
        <is>
          <t>Carbon capture</t>
        </is>
      </c>
      <c r="D3585" s="12" t="inlineStr">
        <is>
          <t>480 V welding receptacle 2</t>
        </is>
      </c>
      <c r="E3585" s="12" t="inlineStr"/>
      <c r="F3585" s="12" t="inlineStr">
        <is>
          <t>CCS MV switchgear building (VFDs)</t>
        </is>
      </c>
      <c r="G3585" s="12" t="inlineStr"/>
      <c r="H3585" s="12" t="inlineStr">
        <is>
          <t>CO2 compression 3 x ~19 MW + dehydration</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7" t="n">
        <v>291</v>
      </c>
      <c r="U3585" s="17" t="n">
        <v>36</v>
      </c>
      <c r="V3585" s="17">
        <f>ROUNDUP((T3585+U3585+2*'Read Me'!$B$13)*(1+'Read Me'!$B$12),-1)</f>
        <v/>
      </c>
      <c r="W3585" s="17">
        <f>V3585*N3585*O3585</f>
        <v/>
      </c>
      <c r="X3585" s="12">
        <f>IF(LEFT(I3585,2)="MV",2*N3585*IF(L3585="1/C",O3585,1),0)</f>
        <v/>
      </c>
      <c r="Y3585" s="12">
        <f>IF(OR(LEFT(K3585,4)="LVAX",LEFT(K3585,6)="MV15AX",LEFT(K3585,4)="CTAX",LEFT(K3585,2)="W|"),2*N3585*O3585,0)</f>
        <v/>
      </c>
      <c r="Z3585" s="12" t="inlineStr">
        <is>
          <t>VD 1.9 %</t>
        </is>
      </c>
      <c r="AA3585" s="12">
        <f>N3585*O3585</f>
        <v/>
      </c>
    </row>
    <row r="3586">
      <c r="A3586" s="12" t="inlineStr">
        <is>
          <t>G-P-0153</t>
        </is>
      </c>
      <c r="B3586" s="12" t="inlineStr">
        <is>
          <t>G</t>
        </is>
      </c>
      <c r="C3586" s="12" t="inlineStr">
        <is>
          <t>Carbon capture</t>
        </is>
      </c>
      <c r="D3586" s="12" t="inlineStr">
        <is>
          <t>480 V welding receptacle 3</t>
        </is>
      </c>
      <c r="E3586" s="12" t="inlineStr"/>
      <c r="F3586" s="12" t="inlineStr">
        <is>
          <t>CCS MV switchgear building (VFDs)</t>
        </is>
      </c>
      <c r="G3586" s="12" t="inlineStr"/>
      <c r="H3586" s="12" t="inlineStr">
        <is>
          <t>CO2 compression 3 x ~19 MW + dehydration</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7" t="n">
        <v>291</v>
      </c>
      <c r="U3586" s="17" t="n">
        <v>36</v>
      </c>
      <c r="V3586" s="17">
        <f>ROUNDUP((T3586+U3586+2*'Read Me'!$B$13)*(1+'Read Me'!$B$12),-1)</f>
        <v/>
      </c>
      <c r="W3586" s="17">
        <f>V3586*N3586*O3586</f>
        <v/>
      </c>
      <c r="X3586" s="12">
        <f>IF(LEFT(I3586,2)="MV",2*N3586*IF(L3586="1/C",O3586,1),0)</f>
        <v/>
      </c>
      <c r="Y3586" s="12">
        <f>IF(OR(LEFT(K3586,4)="LVAX",LEFT(K3586,6)="MV15AX",LEFT(K3586,4)="CTAX",LEFT(K3586,2)="W|"),2*N3586*O3586,0)</f>
        <v/>
      </c>
      <c r="Z3586" s="12" t="inlineStr">
        <is>
          <t>VD 1.9 %</t>
        </is>
      </c>
      <c r="AA3586" s="12">
        <f>N3586*O3586</f>
        <v/>
      </c>
    </row>
    <row r="3587">
      <c r="A3587" s="12" t="inlineStr">
        <is>
          <t>G-P-0154</t>
        </is>
      </c>
      <c r="B3587" s="12" t="inlineStr">
        <is>
          <t>G</t>
        </is>
      </c>
      <c r="C3587" s="12" t="inlineStr">
        <is>
          <t>Carbon capture</t>
        </is>
      </c>
      <c r="D3587" s="12" t="inlineStr">
        <is>
          <t>480 V welding receptacle 4</t>
        </is>
      </c>
      <c r="E3587" s="12" t="inlineStr"/>
      <c r="F3587" s="12" t="inlineStr">
        <is>
          <t>CCS MV switchgear building (VFDs)</t>
        </is>
      </c>
      <c r="G3587" s="12" t="inlineStr"/>
      <c r="H3587" s="12" t="inlineStr">
        <is>
          <t>CO2 compression 3 x ~19 MW + dehydration</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7" t="n">
        <v>291</v>
      </c>
      <c r="U3587" s="17" t="n">
        <v>36</v>
      </c>
      <c r="V3587" s="17">
        <f>ROUNDUP((T3587+U3587+2*'Read Me'!$B$13)*(1+'Read Me'!$B$12),-1)</f>
        <v/>
      </c>
      <c r="W3587" s="17">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G-P-0155</t>
        </is>
      </c>
      <c r="B3588" s="12" t="inlineStr">
        <is>
          <t>G</t>
        </is>
      </c>
      <c r="C3588" s="12" t="inlineStr">
        <is>
          <t>Carbon capture</t>
        </is>
      </c>
      <c r="D3588" s="12" t="inlineStr">
        <is>
          <t>Motor 1 of 2, 20 kW</t>
        </is>
      </c>
      <c r="E3588" s="12" t="inlineStr"/>
      <c r="F3588" s="12" t="inlineStr">
        <is>
          <t>CCS MV switchgear building (VFDs)</t>
        </is>
      </c>
      <c r="G3588" s="12" t="inlineStr"/>
      <c r="H3588" s="12" t="inlineStr">
        <is>
          <t>CO2 dehydration: molecular-sieve towers and regeneration heater</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20</v>
      </c>
      <c r="R3588" s="12" t="n">
        <v>28.3</v>
      </c>
      <c r="S3588" s="12" t="inlineStr">
        <is>
          <t>Duct bank</t>
        </is>
      </c>
      <c r="T3588" s="17" t="n">
        <v>305</v>
      </c>
      <c r="U3588" s="17" t="n">
        <v>160</v>
      </c>
      <c r="V3588" s="17">
        <f>ROUNDUP((T3588+U3588+2*'Read Me'!$B$13)*(1+'Read Me'!$B$12),-1)</f>
        <v/>
      </c>
      <c r="W3588" s="17">
        <f>V3588*N3588*O3588</f>
        <v/>
      </c>
      <c r="X3588" s="12">
        <f>IF(LEFT(I3588,2)="MV",2*N3588*IF(L3588="1/C",O3588,1),0)</f>
        <v/>
      </c>
      <c r="Y3588" s="12">
        <f>IF(OR(LEFT(K3588,4)="LVAX",LEFT(K3588,6)="MV15AX",LEFT(K3588,4)="CTAX",LEFT(K3588,2)="W|"),2*N3588*O3588,0)</f>
        <v/>
      </c>
      <c r="Z3588" s="12" t="inlineStr">
        <is>
          <t>VD 2.6 %</t>
        </is>
      </c>
      <c r="AA3588" s="12">
        <f>N3588*O3588</f>
        <v/>
      </c>
    </row>
    <row r="3589">
      <c r="A3589" s="12" t="inlineStr">
        <is>
          <t>G-P-0156</t>
        </is>
      </c>
      <c r="B3589" s="12" t="inlineStr">
        <is>
          <t>G</t>
        </is>
      </c>
      <c r="C3589" s="12" t="inlineStr">
        <is>
          <t>Carbon capture</t>
        </is>
      </c>
      <c r="D3589" s="12" t="inlineStr">
        <is>
          <t>Motor 2 of 2, 20 kW</t>
        </is>
      </c>
      <c r="E3589" s="12" t="inlineStr"/>
      <c r="F3589" s="12" t="inlineStr">
        <is>
          <t>CCS MV switchgear building (VFDs)</t>
        </is>
      </c>
      <c r="G3589" s="12" t="inlineStr"/>
      <c r="H3589" s="12" t="inlineStr">
        <is>
          <t>CO2 dehydration: molecular-sieve towers and regeneration heater</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20</v>
      </c>
      <c r="R3589" s="12" t="n">
        <v>28.3</v>
      </c>
      <c r="S3589" s="12" t="inlineStr">
        <is>
          <t>Duct bank</t>
        </is>
      </c>
      <c r="T3589" s="17" t="n">
        <v>305</v>
      </c>
      <c r="U3589" s="17" t="n">
        <v>160</v>
      </c>
      <c r="V3589" s="17">
        <f>ROUNDUP((T3589+U3589+2*'Read Me'!$B$13)*(1+'Read Me'!$B$12),-1)</f>
        <v/>
      </c>
      <c r="W3589" s="17">
        <f>V3589*N3589*O3589</f>
        <v/>
      </c>
      <c r="X3589" s="12">
        <f>IF(LEFT(I3589,2)="MV",2*N3589*IF(L3589="1/C",O3589,1),0)</f>
        <v/>
      </c>
      <c r="Y3589" s="12">
        <f>IF(OR(LEFT(K3589,4)="LVAX",LEFT(K3589,6)="MV15AX",LEFT(K3589,4)="CTAX",LEFT(K3589,2)="W|"),2*N3589*O3589,0)</f>
        <v/>
      </c>
      <c r="Z3589" s="12" t="inlineStr">
        <is>
          <t>VD 2.6 %</t>
        </is>
      </c>
      <c r="AA3589" s="12">
        <f>N3589*O3589</f>
        <v/>
      </c>
    </row>
    <row r="3590">
      <c r="A3590" s="12" t="inlineStr">
        <is>
          <t>G-P-0157</t>
        </is>
      </c>
      <c r="B3590" s="12" t="inlineStr">
        <is>
          <t>G</t>
        </is>
      </c>
      <c r="C3590" s="12" t="inlineStr">
        <is>
          <t>Carbon capture</t>
        </is>
      </c>
      <c r="D3590" s="12" t="inlineStr">
        <is>
          <t>Motor 1 of 1, 200 kW</t>
        </is>
      </c>
      <c r="E3590" s="12" t="inlineStr"/>
      <c r="F3590" s="12" t="inlineStr">
        <is>
          <t>CCS MV switchgear building (VFDs)</t>
        </is>
      </c>
      <c r="G3590" s="12" t="inlineStr"/>
      <c r="H3590" s="12" t="inlineStr">
        <is>
          <t>CO2 dehydration: molecular-sieve towers and regeneration heater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Duct bank</t>
        </is>
      </c>
      <c r="T3590" s="17" t="n">
        <v>305</v>
      </c>
      <c r="U3590" s="17" t="n">
        <v>160</v>
      </c>
      <c r="V3590" s="17">
        <f>ROUNDUP((T3590+U3590+2*'Read Me'!$B$13)*(1+'Read Me'!$B$12),-1)</f>
        <v/>
      </c>
      <c r="W3590" s="17">
        <f>V3590*N3590*O3590</f>
        <v/>
      </c>
      <c r="X3590" s="12">
        <f>IF(LEFT(I3590,2)="MV",2*N3590*IF(L3590="1/C",O3590,1),0)</f>
        <v/>
      </c>
      <c r="Y3590" s="12">
        <f>IF(OR(LEFT(K3590,4)="LVAX",LEFT(K3590,6)="MV15AX",LEFT(K3590,4)="CTAX",LEFT(K3590,2)="W|"),2*N3590*O3590,0)</f>
        <v/>
      </c>
      <c r="Z3590" s="12" t="inlineStr">
        <is>
          <t>VD 1.3 %</t>
        </is>
      </c>
      <c r="AA3590" s="12">
        <f>N3590*O3590</f>
        <v/>
      </c>
    </row>
    <row r="3591">
      <c r="A3591" s="12" t="inlineStr">
        <is>
          <t>G-P-0158</t>
        </is>
      </c>
      <c r="B3591" s="12" t="inlineStr">
        <is>
          <t>G</t>
        </is>
      </c>
      <c r="C3591" s="12" t="inlineStr">
        <is>
          <t>Carbon capture</t>
        </is>
      </c>
      <c r="D3591" s="12" t="inlineStr">
        <is>
          <t>MOV 1: power</t>
        </is>
      </c>
      <c r="E3591" s="12" t="inlineStr"/>
      <c r="F3591" s="12" t="inlineStr">
        <is>
          <t>CCS MV switchgear building (VFDs)</t>
        </is>
      </c>
      <c r="G3591" s="12" t="inlineStr"/>
      <c r="H3591" s="12" t="inlineStr">
        <is>
          <t>CO2 dehydration: molecular-sieve towers and regeneration heater</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2.5</v>
      </c>
      <c r="R3591" s="12" t="n">
        <v>3.5</v>
      </c>
      <c r="S3591" s="12" t="inlineStr">
        <is>
          <t>Duct bank</t>
        </is>
      </c>
      <c r="T3591" s="17" t="n">
        <v>305</v>
      </c>
      <c r="U3591" s="17" t="n">
        <v>160</v>
      </c>
      <c r="V3591" s="17">
        <f>ROUNDUP((T3591+U3591+2*'Read Me'!$B$13)*(1+'Read Me'!$B$12),-1)</f>
        <v/>
      </c>
      <c r="W3591" s="17">
        <f>V3591*N3591*O3591</f>
        <v/>
      </c>
      <c r="X3591" s="12">
        <f>IF(LEFT(I3591,2)="MV",2*N3591*IF(L3591="1/C",O3591,1),0)</f>
        <v/>
      </c>
      <c r="Y3591" s="12">
        <f>IF(OR(LEFT(K3591,4)="LVAX",LEFT(K3591,6)="MV15AX",LEFT(K3591,4)="CTAX",LEFT(K3591,2)="W|"),2*N3591*O3591,0)</f>
        <v/>
      </c>
      <c r="Z3591" s="12" t="inlineStr">
        <is>
          <t>VD 0.8 %</t>
        </is>
      </c>
      <c r="AA3591" s="12">
        <f>N3591*O3591</f>
        <v/>
      </c>
    </row>
    <row r="3592">
      <c r="A3592" s="12" t="inlineStr">
        <is>
          <t>G-P-0159</t>
        </is>
      </c>
      <c r="B3592" s="12" t="inlineStr">
        <is>
          <t>G</t>
        </is>
      </c>
      <c r="C3592" s="12" t="inlineStr">
        <is>
          <t>Carbon capture</t>
        </is>
      </c>
      <c r="D3592" s="12" t="inlineStr">
        <is>
          <t>MOV 2: power</t>
        </is>
      </c>
      <c r="E3592" s="12" t="inlineStr"/>
      <c r="F3592" s="12" t="inlineStr">
        <is>
          <t>CCS MV switchgear building (VFDs)</t>
        </is>
      </c>
      <c r="G3592" s="12" t="inlineStr"/>
      <c r="H3592" s="12" t="inlineStr">
        <is>
          <t>CO2 dehydration: molecular-sieve towers and regeneration heater</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2.5</v>
      </c>
      <c r="R3592" s="12" t="n">
        <v>3.5</v>
      </c>
      <c r="S3592" s="12" t="inlineStr">
        <is>
          <t>Duct bank</t>
        </is>
      </c>
      <c r="T3592" s="17" t="n">
        <v>305</v>
      </c>
      <c r="U3592" s="17" t="n">
        <v>160</v>
      </c>
      <c r="V3592" s="17">
        <f>ROUNDUP((T3592+U3592+2*'Read Me'!$B$13)*(1+'Read Me'!$B$12),-1)</f>
        <v/>
      </c>
      <c r="W3592" s="17">
        <f>V3592*N3592*O3592</f>
        <v/>
      </c>
      <c r="X3592" s="12">
        <f>IF(LEFT(I3592,2)="MV",2*N3592*IF(L3592="1/C",O3592,1),0)</f>
        <v/>
      </c>
      <c r="Y3592" s="12">
        <f>IF(OR(LEFT(K3592,4)="LVAX",LEFT(K3592,6)="MV15AX",LEFT(K3592,4)="CTAX",LEFT(K3592,2)="W|"),2*N3592*O3592,0)</f>
        <v/>
      </c>
      <c r="Z3592" s="12" t="inlineStr">
        <is>
          <t>VD 0.8 %</t>
        </is>
      </c>
      <c r="AA3592" s="12">
        <f>N3592*O3592</f>
        <v/>
      </c>
    </row>
    <row r="3593">
      <c r="A3593" s="12" t="inlineStr">
        <is>
          <t>G-P-0160</t>
        </is>
      </c>
      <c r="B3593" s="12" t="inlineStr">
        <is>
          <t>G</t>
        </is>
      </c>
      <c r="C3593" s="12" t="inlineStr">
        <is>
          <t>Carbon capture</t>
        </is>
      </c>
      <c r="D3593" s="12" t="inlineStr">
        <is>
          <t>MOV 3: power</t>
        </is>
      </c>
      <c r="E3593" s="12" t="inlineStr"/>
      <c r="F3593" s="12" t="inlineStr">
        <is>
          <t>CCS MV switchgear building (VFDs)</t>
        </is>
      </c>
      <c r="G3593" s="12" t="inlineStr"/>
      <c r="H3593" s="12" t="inlineStr">
        <is>
          <t>CO2 dehydration: molecular-sieve towers and regeneration heater</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2.5</v>
      </c>
      <c r="R3593" s="12" t="n">
        <v>3.5</v>
      </c>
      <c r="S3593" s="12" t="inlineStr">
        <is>
          <t>Duct bank</t>
        </is>
      </c>
      <c r="T3593" s="17" t="n">
        <v>305</v>
      </c>
      <c r="U3593" s="17" t="n">
        <v>160</v>
      </c>
      <c r="V3593" s="17">
        <f>ROUNDUP((T3593+U3593+2*'Read Me'!$B$13)*(1+'Read Me'!$B$12),-1)</f>
        <v/>
      </c>
      <c r="W3593" s="17">
        <f>V3593*N3593*O3593</f>
        <v/>
      </c>
      <c r="X3593" s="12">
        <f>IF(LEFT(I3593,2)="MV",2*N3593*IF(L3593="1/C",O3593,1),0)</f>
        <v/>
      </c>
      <c r="Y3593" s="12">
        <f>IF(OR(LEFT(K3593,4)="LVAX",LEFT(K3593,6)="MV15AX",LEFT(K3593,4)="CTAX",LEFT(K3593,2)="W|"),2*N3593*O3593,0)</f>
        <v/>
      </c>
      <c r="Z3593" s="12" t="inlineStr">
        <is>
          <t>VD 0.8 %</t>
        </is>
      </c>
      <c r="AA3593" s="12">
        <f>N3593*O3593</f>
        <v/>
      </c>
    </row>
    <row r="3594">
      <c r="A3594" s="12" t="inlineStr">
        <is>
          <t>G-P-0161</t>
        </is>
      </c>
      <c r="B3594" s="12" t="inlineStr">
        <is>
          <t>G</t>
        </is>
      </c>
      <c r="C3594" s="12" t="inlineStr">
        <is>
          <t>Carbon capture</t>
        </is>
      </c>
      <c r="D3594" s="12" t="inlineStr">
        <is>
          <t>MOV 4: power</t>
        </is>
      </c>
      <c r="E3594" s="12" t="inlineStr"/>
      <c r="F3594" s="12" t="inlineStr">
        <is>
          <t>CCS MV switchgear building (VFDs)</t>
        </is>
      </c>
      <c r="G3594" s="12" t="inlineStr"/>
      <c r="H3594" s="12" t="inlineStr">
        <is>
          <t>CO2 dehydration: molecular-sieve towers and regeneration heater</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Duct bank</t>
        </is>
      </c>
      <c r="T3594" s="17" t="n">
        <v>305</v>
      </c>
      <c r="U3594" s="17" t="n">
        <v>160</v>
      </c>
      <c r="V3594" s="17">
        <f>ROUNDUP((T3594+U3594+2*'Read Me'!$B$13)*(1+'Read Me'!$B$12),-1)</f>
        <v/>
      </c>
      <c r="W3594" s="17">
        <f>V3594*N3594*O3594</f>
        <v/>
      </c>
      <c r="X3594" s="12">
        <f>IF(LEFT(I3594,2)="MV",2*N3594*IF(L3594="1/C",O3594,1),0)</f>
        <v/>
      </c>
      <c r="Y3594" s="12">
        <f>IF(OR(LEFT(K3594,4)="LVAX",LEFT(K3594,6)="MV15AX",LEFT(K3594,4)="CTAX",LEFT(K3594,2)="W|"),2*N3594*O3594,0)</f>
        <v/>
      </c>
      <c r="Z3594" s="12" t="inlineStr">
        <is>
          <t>VD 0.8 %</t>
        </is>
      </c>
      <c r="AA3594" s="12">
        <f>N3594*O3594</f>
        <v/>
      </c>
    </row>
    <row r="3595">
      <c r="A3595" s="12" t="inlineStr">
        <is>
          <t>G-P-0162</t>
        </is>
      </c>
      <c r="B3595" s="12" t="inlineStr">
        <is>
          <t>G</t>
        </is>
      </c>
      <c r="C3595" s="12" t="inlineStr">
        <is>
          <t>Carbon capture</t>
        </is>
      </c>
      <c r="D3595" s="12" t="inlineStr">
        <is>
          <t>MOV 5: power</t>
        </is>
      </c>
      <c r="E3595" s="12" t="inlineStr"/>
      <c r="F3595" s="12" t="inlineStr">
        <is>
          <t>CCS MV switchgear building (VFDs)</t>
        </is>
      </c>
      <c r="G3595" s="12" t="inlineStr"/>
      <c r="H3595" s="12" t="inlineStr">
        <is>
          <t>CO2 dehydration: molecular-sieve towers and regeneration heater</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Duct bank</t>
        </is>
      </c>
      <c r="T3595" s="17" t="n">
        <v>305</v>
      </c>
      <c r="U3595" s="17" t="n">
        <v>160</v>
      </c>
      <c r="V3595" s="17">
        <f>ROUNDUP((T3595+U3595+2*'Read Me'!$B$13)*(1+'Read Me'!$B$12),-1)</f>
        <v/>
      </c>
      <c r="W3595" s="17">
        <f>V3595*N3595*O3595</f>
        <v/>
      </c>
      <c r="X3595" s="12">
        <f>IF(LEFT(I3595,2)="MV",2*N3595*IF(L3595="1/C",O3595,1),0)</f>
        <v/>
      </c>
      <c r="Y3595" s="12">
        <f>IF(OR(LEFT(K3595,4)="LVAX",LEFT(K3595,6)="MV15AX",LEFT(K3595,4)="CTAX",LEFT(K3595,2)="W|"),2*N3595*O3595,0)</f>
        <v/>
      </c>
      <c r="Z3595" s="12" t="inlineStr">
        <is>
          <t>VD 0.8 %</t>
        </is>
      </c>
      <c r="AA3595" s="12">
        <f>N3595*O3595</f>
        <v/>
      </c>
    </row>
    <row r="3596">
      <c r="A3596" s="12" t="inlineStr">
        <is>
          <t>G-P-0163</t>
        </is>
      </c>
      <c r="B3596" s="12" t="inlineStr">
        <is>
          <t>G</t>
        </is>
      </c>
      <c r="C3596" s="12" t="inlineStr">
        <is>
          <t>Carbon capture</t>
        </is>
      </c>
      <c r="D3596" s="12" t="inlineStr">
        <is>
          <t>MOV 6: power</t>
        </is>
      </c>
      <c r="E3596" s="12" t="inlineStr"/>
      <c r="F3596" s="12" t="inlineStr">
        <is>
          <t>CCS MV switchgear building (VFDs)</t>
        </is>
      </c>
      <c r="G3596" s="12" t="inlineStr"/>
      <c r="H3596" s="12" t="inlineStr">
        <is>
          <t>CO2 dehydration: molecular-sieve towers and regeneration heater</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Duct bank</t>
        </is>
      </c>
      <c r="T3596" s="17" t="n">
        <v>305</v>
      </c>
      <c r="U3596" s="17" t="n">
        <v>160</v>
      </c>
      <c r="V3596" s="17">
        <f>ROUNDUP((T3596+U3596+2*'Read Me'!$B$13)*(1+'Read Me'!$B$12),-1)</f>
        <v/>
      </c>
      <c r="W3596" s="17">
        <f>V3596*N3596*O3596</f>
        <v/>
      </c>
      <c r="X3596" s="12">
        <f>IF(LEFT(I3596,2)="MV",2*N3596*IF(L3596="1/C",O3596,1),0)</f>
        <v/>
      </c>
      <c r="Y3596" s="12">
        <f>IF(OR(LEFT(K3596,4)="LVAX",LEFT(K3596,6)="MV15AX",LEFT(K3596,4)="CTAX",LEFT(K3596,2)="W|"),2*N3596*O3596,0)</f>
        <v/>
      </c>
      <c r="Z3596" s="12" t="inlineStr">
        <is>
          <t>VD 0.8 %</t>
        </is>
      </c>
      <c r="AA3596" s="12">
        <f>N3596*O3596</f>
        <v/>
      </c>
    </row>
    <row r="3597">
      <c r="A3597" s="12" t="inlineStr">
        <is>
          <t>G-P-0164</t>
        </is>
      </c>
      <c r="B3597" s="12" t="inlineStr">
        <is>
          <t>G</t>
        </is>
      </c>
      <c r="C3597" s="12" t="inlineStr">
        <is>
          <t>Carbon capture</t>
        </is>
      </c>
      <c r="D3597" s="12" t="inlineStr">
        <is>
          <t>MOV 7: power</t>
        </is>
      </c>
      <c r="E3597" s="12" t="inlineStr"/>
      <c r="F3597" s="12" t="inlineStr">
        <is>
          <t>CCS MV switchgear building (VFDs)</t>
        </is>
      </c>
      <c r="G3597" s="12" t="inlineStr"/>
      <c r="H3597" s="12" t="inlineStr">
        <is>
          <t>CO2 dehydration: molecular-sieve towers and regeneration heater</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Duct bank</t>
        </is>
      </c>
      <c r="T3597" s="17" t="n">
        <v>305</v>
      </c>
      <c r="U3597" s="17" t="n">
        <v>160</v>
      </c>
      <c r="V3597" s="17">
        <f>ROUNDUP((T3597+U3597+2*'Read Me'!$B$13)*(1+'Read Me'!$B$12),-1)</f>
        <v/>
      </c>
      <c r="W3597" s="17">
        <f>V3597*N3597*O3597</f>
        <v/>
      </c>
      <c r="X3597" s="12">
        <f>IF(LEFT(I3597,2)="MV",2*N3597*IF(L3597="1/C",O3597,1),0)</f>
        <v/>
      </c>
      <c r="Y3597" s="12">
        <f>IF(OR(LEFT(K3597,4)="LVAX",LEFT(K3597,6)="MV15AX",LEFT(K3597,4)="CTAX",LEFT(K3597,2)="W|"),2*N3597*O3597,0)</f>
        <v/>
      </c>
      <c r="Z3597" s="12" t="inlineStr">
        <is>
          <t>VD 0.8 %</t>
        </is>
      </c>
      <c r="AA3597" s="12">
        <f>N3597*O3597</f>
        <v/>
      </c>
    </row>
    <row r="3598">
      <c r="A3598" s="12" t="inlineStr">
        <is>
          <t>G-P-0165</t>
        </is>
      </c>
      <c r="B3598" s="12" t="inlineStr">
        <is>
          <t>G</t>
        </is>
      </c>
      <c r="C3598" s="12" t="inlineStr">
        <is>
          <t>Carbon capture</t>
        </is>
      </c>
      <c r="D3598" s="12" t="inlineStr">
        <is>
          <t>MOV 8: power</t>
        </is>
      </c>
      <c r="E3598" s="12" t="inlineStr"/>
      <c r="F3598" s="12" t="inlineStr">
        <is>
          <t>CCS MV switchgear building (VFDs)</t>
        </is>
      </c>
      <c r="G3598" s="12" t="inlineStr"/>
      <c r="H3598" s="12" t="inlineStr">
        <is>
          <t>CO2 dehydration: molecular-sieve towers and regeneration heater</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Duct bank</t>
        </is>
      </c>
      <c r="T3598" s="17" t="n">
        <v>305</v>
      </c>
      <c r="U3598" s="17" t="n">
        <v>160</v>
      </c>
      <c r="V3598" s="17">
        <f>ROUNDUP((T3598+U3598+2*'Read Me'!$B$13)*(1+'Read Me'!$B$12),-1)</f>
        <v/>
      </c>
      <c r="W3598" s="17">
        <f>V3598*N3598*O3598</f>
        <v/>
      </c>
      <c r="X3598" s="12">
        <f>IF(LEFT(I3598,2)="MV",2*N3598*IF(L3598="1/C",O3598,1),0)</f>
        <v/>
      </c>
      <c r="Y3598" s="12">
        <f>IF(OR(LEFT(K3598,4)="LVAX",LEFT(K3598,6)="MV15AX",LEFT(K3598,4)="CTAX",LEFT(K3598,2)="W|"),2*N3598*O3598,0)</f>
        <v/>
      </c>
      <c r="Z3598" s="12" t="inlineStr">
        <is>
          <t>VD 0.8 %</t>
        </is>
      </c>
      <c r="AA3598" s="12">
        <f>N3598*O3598</f>
        <v/>
      </c>
    </row>
    <row r="3599">
      <c r="A3599" s="12" t="inlineStr">
        <is>
          <t>G-P-0166</t>
        </is>
      </c>
      <c r="B3599" s="12" t="inlineStr">
        <is>
          <t>G</t>
        </is>
      </c>
      <c r="C3599" s="12" t="inlineStr">
        <is>
          <t>Carbon capture</t>
        </is>
      </c>
      <c r="D3599" s="12" t="inlineStr">
        <is>
          <t>MOV 9: power</t>
        </is>
      </c>
      <c r="E3599" s="12" t="inlineStr"/>
      <c r="F3599" s="12" t="inlineStr">
        <is>
          <t>CCS MV switchgear building (VFDs)</t>
        </is>
      </c>
      <c r="G3599" s="12" t="inlineStr"/>
      <c r="H3599" s="12" t="inlineStr">
        <is>
          <t>CO2 dehydration: molecular-sieve towers and regeneration heater</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Duct bank</t>
        </is>
      </c>
      <c r="T3599" s="17" t="n">
        <v>305</v>
      </c>
      <c r="U3599" s="17" t="n">
        <v>160</v>
      </c>
      <c r="V3599" s="17">
        <f>ROUNDUP((T3599+U3599+2*'Read Me'!$B$13)*(1+'Read Me'!$B$12),-1)</f>
        <v/>
      </c>
      <c r="W3599" s="17">
        <f>V3599*N3599*O3599</f>
        <v/>
      </c>
      <c r="X3599" s="12">
        <f>IF(LEFT(I3599,2)="MV",2*N3599*IF(L3599="1/C",O3599,1),0)</f>
        <v/>
      </c>
      <c r="Y3599" s="12">
        <f>IF(OR(LEFT(K3599,4)="LVAX",LEFT(K3599,6)="MV15AX",LEFT(K3599,4)="CTAX",LEFT(K3599,2)="W|"),2*N3599*O3599,0)</f>
        <v/>
      </c>
      <c r="Z3599" s="12" t="inlineStr">
        <is>
          <t>VD 0.8 %</t>
        </is>
      </c>
      <c r="AA3599" s="12">
        <f>N3599*O3599</f>
        <v/>
      </c>
    </row>
    <row r="3600">
      <c r="A3600" s="12" t="inlineStr">
        <is>
          <t>G-P-0167</t>
        </is>
      </c>
      <c r="B3600" s="12" t="inlineStr">
        <is>
          <t>G</t>
        </is>
      </c>
      <c r="C3600" s="12" t="inlineStr">
        <is>
          <t>Carbon capture</t>
        </is>
      </c>
      <c r="D3600" s="12" t="inlineStr">
        <is>
          <t>MOV 10: power</t>
        </is>
      </c>
      <c r="E3600" s="12" t="inlineStr"/>
      <c r="F3600" s="12" t="inlineStr">
        <is>
          <t>CCS MV switchgear building (VFDs)</t>
        </is>
      </c>
      <c r="G3600" s="12" t="inlineStr"/>
      <c r="H3600" s="12" t="inlineStr">
        <is>
          <t>CO2 dehydration: molecular-sieve towers and regeneration heater</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Duct bank</t>
        </is>
      </c>
      <c r="T3600" s="17" t="n">
        <v>305</v>
      </c>
      <c r="U3600" s="17" t="n">
        <v>160</v>
      </c>
      <c r="V3600" s="17">
        <f>ROUNDUP((T3600+U3600+2*'Read Me'!$B$13)*(1+'Read Me'!$B$12),-1)</f>
        <v/>
      </c>
      <c r="W3600" s="17">
        <f>V3600*N3600*O3600</f>
        <v/>
      </c>
      <c r="X3600" s="12">
        <f>IF(LEFT(I3600,2)="MV",2*N3600*IF(L3600="1/C",O3600,1),0)</f>
        <v/>
      </c>
      <c r="Y3600" s="12">
        <f>IF(OR(LEFT(K3600,4)="LVAX",LEFT(K3600,6)="MV15AX",LEFT(K3600,4)="CTAX",LEFT(K3600,2)="W|"),2*N3600*O3600,0)</f>
        <v/>
      </c>
      <c r="Z3600" s="12" t="inlineStr">
        <is>
          <t>VD 0.8 %</t>
        </is>
      </c>
      <c r="AA3600" s="12">
        <f>N3600*O3600</f>
        <v/>
      </c>
    </row>
    <row r="3601">
      <c r="A3601" s="12" t="inlineStr">
        <is>
          <t>G-P-0168</t>
        </is>
      </c>
      <c r="B3601" s="12" t="inlineStr">
        <is>
          <t>G</t>
        </is>
      </c>
      <c r="C3601" s="12" t="inlineStr">
        <is>
          <t>Carbon capture</t>
        </is>
      </c>
      <c r="D3601" s="12" t="inlineStr">
        <is>
          <t>MOV 11: power</t>
        </is>
      </c>
      <c r="E3601" s="12" t="inlineStr"/>
      <c r="F3601" s="12" t="inlineStr">
        <is>
          <t>CCS MV switchgear building (VFDs)</t>
        </is>
      </c>
      <c r="G3601" s="12" t="inlineStr"/>
      <c r="H3601" s="12" t="inlineStr">
        <is>
          <t>CO2 dehydration: molecular-sieve towers and regeneration heater</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Duct bank</t>
        </is>
      </c>
      <c r="T3601" s="17" t="n">
        <v>305</v>
      </c>
      <c r="U3601" s="17" t="n">
        <v>160</v>
      </c>
      <c r="V3601" s="17">
        <f>ROUNDUP((T3601+U3601+2*'Read Me'!$B$13)*(1+'Read Me'!$B$12),-1)</f>
        <v/>
      </c>
      <c r="W3601" s="17">
        <f>V3601*N3601*O3601</f>
        <v/>
      </c>
      <c r="X3601" s="12">
        <f>IF(LEFT(I3601,2)="MV",2*N3601*IF(L3601="1/C",O3601,1),0)</f>
        <v/>
      </c>
      <c r="Y3601" s="12">
        <f>IF(OR(LEFT(K3601,4)="LVAX",LEFT(K3601,6)="MV15AX",LEFT(K3601,4)="CTAX",LEFT(K3601,2)="W|"),2*N3601*O3601,0)</f>
        <v/>
      </c>
      <c r="Z3601" s="12" t="inlineStr">
        <is>
          <t>VD 0.8 %</t>
        </is>
      </c>
      <c r="AA3601" s="12">
        <f>N3601*O3601</f>
        <v/>
      </c>
    </row>
    <row r="3602">
      <c r="A3602" s="12" t="inlineStr">
        <is>
          <t>G-P-0169</t>
        </is>
      </c>
      <c r="B3602" s="12" t="inlineStr">
        <is>
          <t>G</t>
        </is>
      </c>
      <c r="C3602" s="12" t="inlineStr">
        <is>
          <t>Carbon capture</t>
        </is>
      </c>
      <c r="D3602" s="12" t="inlineStr">
        <is>
          <t>MOV 12: power</t>
        </is>
      </c>
      <c r="E3602" s="12" t="inlineStr"/>
      <c r="F3602" s="12" t="inlineStr">
        <is>
          <t>CCS MV switchgear building (VFDs)</t>
        </is>
      </c>
      <c r="G3602" s="12" t="inlineStr"/>
      <c r="H3602" s="12" t="inlineStr">
        <is>
          <t>CO2 dehydration: molecular-sieve towers and regeneration heater</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Duct bank</t>
        </is>
      </c>
      <c r="T3602" s="17" t="n">
        <v>305</v>
      </c>
      <c r="U3602" s="17" t="n">
        <v>160</v>
      </c>
      <c r="V3602" s="17">
        <f>ROUNDUP((T3602+U3602+2*'Read Me'!$B$13)*(1+'Read Me'!$B$12),-1)</f>
        <v/>
      </c>
      <c r="W3602" s="17">
        <f>V3602*N3602*O3602</f>
        <v/>
      </c>
      <c r="X3602" s="12">
        <f>IF(LEFT(I3602,2)="MV",2*N3602*IF(L3602="1/C",O3602,1),0)</f>
        <v/>
      </c>
      <c r="Y3602" s="12">
        <f>IF(OR(LEFT(K3602,4)="LVAX",LEFT(K3602,6)="MV15AX",LEFT(K3602,4)="CTAX",LEFT(K3602,2)="W|"),2*N3602*O3602,0)</f>
        <v/>
      </c>
      <c r="Z3602" s="12" t="inlineStr">
        <is>
          <t>VD 0.8 %</t>
        </is>
      </c>
      <c r="AA3602" s="12">
        <f>N3602*O3602</f>
        <v/>
      </c>
    </row>
    <row r="3603">
      <c r="A3603" s="12" t="inlineStr">
        <is>
          <t>G-P-0170</t>
        </is>
      </c>
      <c r="B3603" s="12" t="inlineStr">
        <is>
          <t>G</t>
        </is>
      </c>
      <c r="C3603" s="12" t="inlineStr">
        <is>
          <t>Carbon capture</t>
        </is>
      </c>
      <c r="D3603" s="12" t="inlineStr">
        <is>
          <t>Motor 1 of 4, 30 kW</t>
        </is>
      </c>
      <c r="E3603" s="12" t="inlineStr"/>
      <c r="F3603" s="12" t="inlineStr">
        <is>
          <t>CCS MV switchgear building (VFDs)</t>
        </is>
      </c>
      <c r="G3603" s="12" t="inlineStr"/>
      <c r="H3603" s="12" t="inlineStr">
        <is>
          <t>CONDITIONAL: HP export compressor + metering</t>
        </is>
      </c>
      <c r="I3603" s="12" t="inlineStr">
        <is>
          <t>LV 600 V</t>
        </is>
      </c>
      <c r="J3603" s="12" t="inlineStr">
        <is>
          <t>ARMOR-X MC-HL 600 V 3/C Cu XHHW-2 + ground, CWA, black PVC (Class I Div 2)</t>
        </is>
      </c>
      <c r="K3603" s="12" t="inlineStr">
        <is>
          <t>LVAX|3/C+G|6</t>
        </is>
      </c>
      <c r="L3603" s="12" t="inlineStr">
        <is>
          <t>3/C+G</t>
        </is>
      </c>
      <c r="M3603" s="12" t="inlineStr">
        <is>
          <t>6</t>
        </is>
      </c>
      <c r="N3603" s="12" t="n">
        <v>1</v>
      </c>
      <c r="O3603" s="12" t="n">
        <v>1</v>
      </c>
      <c r="P3603" s="12" t="n">
        <v>480</v>
      </c>
      <c r="Q3603" s="12" t="n">
        <v>30</v>
      </c>
      <c r="R3603" s="12" t="n">
        <v>42.5</v>
      </c>
      <c r="S3603" s="12" t="inlineStr">
        <is>
          <t>Duct bank</t>
        </is>
      </c>
      <c r="T3603" s="17" t="n">
        <v>303</v>
      </c>
      <c r="U3603" s="17" t="n">
        <v>34</v>
      </c>
      <c r="V3603" s="17">
        <f>ROUNDUP((T3603+U3603+2*'Read Me'!$B$13)*(1+'Read Me'!$B$12),-1)</f>
        <v/>
      </c>
      <c r="W3603" s="17">
        <f>V3603*N3603*O3603</f>
        <v/>
      </c>
      <c r="X3603" s="12">
        <f>IF(LEFT(I3603,2)="MV",2*N3603*IF(L3603="1/C",O3603,1),0)</f>
        <v/>
      </c>
      <c r="Y3603" s="12">
        <f>IF(OR(LEFT(K3603,4)="LVAX",LEFT(K3603,6)="MV15AX",LEFT(K3603,4)="CTAX",LEFT(K3603,2)="W|"),2*N3603*O3603,0)</f>
        <v/>
      </c>
      <c r="Z3603" s="12" t="inlineStr">
        <is>
          <t>VD 2.8 %</t>
        </is>
      </c>
      <c r="AA3603" s="12">
        <f>N3603*O3603</f>
        <v/>
      </c>
    </row>
    <row r="3604">
      <c r="A3604" s="12" t="inlineStr">
        <is>
          <t>G-P-0171</t>
        </is>
      </c>
      <c r="B3604" s="12" t="inlineStr">
        <is>
          <t>G</t>
        </is>
      </c>
      <c r="C3604" s="12" t="inlineStr">
        <is>
          <t>Carbon capture</t>
        </is>
      </c>
      <c r="D3604" s="12" t="inlineStr">
        <is>
          <t>Motor 2 of 4, 30 kW</t>
        </is>
      </c>
      <c r="E3604" s="12" t="inlineStr"/>
      <c r="F3604" s="12" t="inlineStr">
        <is>
          <t>CCS MV switchgear building (VFDs)</t>
        </is>
      </c>
      <c r="G3604" s="12" t="inlineStr"/>
      <c r="H3604" s="12" t="inlineStr">
        <is>
          <t>CONDITIONAL: HP export compressor + metering</t>
        </is>
      </c>
      <c r="I3604" s="12" t="inlineStr">
        <is>
          <t>LV 600 V</t>
        </is>
      </c>
      <c r="J3604" s="12" t="inlineStr">
        <is>
          <t>ARMOR-X MC-HL 600 V 3/C Cu XHHW-2 + ground, CWA, black PVC (Class I Div 2)</t>
        </is>
      </c>
      <c r="K3604" s="12" t="inlineStr">
        <is>
          <t>LVAX|3/C+G|6</t>
        </is>
      </c>
      <c r="L3604" s="12" t="inlineStr">
        <is>
          <t>3/C+G</t>
        </is>
      </c>
      <c r="M3604" s="12" t="inlineStr">
        <is>
          <t>6</t>
        </is>
      </c>
      <c r="N3604" s="12" t="n">
        <v>1</v>
      </c>
      <c r="O3604" s="12" t="n">
        <v>1</v>
      </c>
      <c r="P3604" s="12" t="n">
        <v>480</v>
      </c>
      <c r="Q3604" s="12" t="n">
        <v>30</v>
      </c>
      <c r="R3604" s="12" t="n">
        <v>42.5</v>
      </c>
      <c r="S3604" s="12" t="inlineStr">
        <is>
          <t>Duct bank</t>
        </is>
      </c>
      <c r="T3604" s="17" t="n">
        <v>303</v>
      </c>
      <c r="U3604" s="17" t="n">
        <v>34</v>
      </c>
      <c r="V3604" s="17">
        <f>ROUNDUP((T3604+U3604+2*'Read Me'!$B$13)*(1+'Read Me'!$B$12),-1)</f>
        <v/>
      </c>
      <c r="W3604" s="17">
        <f>V3604*N3604*O3604</f>
        <v/>
      </c>
      <c r="X3604" s="12">
        <f>IF(LEFT(I3604,2)="MV",2*N3604*IF(L3604="1/C",O3604,1),0)</f>
        <v/>
      </c>
      <c r="Y3604" s="12">
        <f>IF(OR(LEFT(K3604,4)="LVAX",LEFT(K3604,6)="MV15AX",LEFT(K3604,4)="CTAX",LEFT(K3604,2)="W|"),2*N3604*O3604,0)</f>
        <v/>
      </c>
      <c r="Z3604" s="12" t="inlineStr">
        <is>
          <t>VD 2.8 %</t>
        </is>
      </c>
      <c r="AA3604" s="12">
        <f>N3604*O3604</f>
        <v/>
      </c>
    </row>
    <row r="3605">
      <c r="A3605" s="12" t="inlineStr">
        <is>
          <t>G-P-0172</t>
        </is>
      </c>
      <c r="B3605" s="12" t="inlineStr">
        <is>
          <t>G</t>
        </is>
      </c>
      <c r="C3605" s="12" t="inlineStr">
        <is>
          <t>Carbon capture</t>
        </is>
      </c>
      <c r="D3605" s="12" t="inlineStr">
        <is>
          <t>Motor 3 of 4, 30 kW</t>
        </is>
      </c>
      <c r="E3605" s="12" t="inlineStr"/>
      <c r="F3605" s="12" t="inlineStr">
        <is>
          <t>CCS MV switchgear building (VFDs)</t>
        </is>
      </c>
      <c r="G3605" s="12" t="inlineStr"/>
      <c r="H3605" s="12" t="inlineStr">
        <is>
          <t>CONDITIONAL: HP export compressor + metering</t>
        </is>
      </c>
      <c r="I3605" s="12" t="inlineStr">
        <is>
          <t>LV 600 V</t>
        </is>
      </c>
      <c r="J3605" s="12" t="inlineStr">
        <is>
          <t>ARMOR-X MC-HL 600 V 3/C Cu XHHW-2 + ground, CWA, black PVC (Class I Div 2)</t>
        </is>
      </c>
      <c r="K3605" s="12" t="inlineStr">
        <is>
          <t>LVAX|3/C+G|6</t>
        </is>
      </c>
      <c r="L3605" s="12" t="inlineStr">
        <is>
          <t>3/C+G</t>
        </is>
      </c>
      <c r="M3605" s="12" t="inlineStr">
        <is>
          <t>6</t>
        </is>
      </c>
      <c r="N3605" s="12" t="n">
        <v>1</v>
      </c>
      <c r="O3605" s="12" t="n">
        <v>1</v>
      </c>
      <c r="P3605" s="12" t="n">
        <v>480</v>
      </c>
      <c r="Q3605" s="12" t="n">
        <v>30</v>
      </c>
      <c r="R3605" s="12" t="n">
        <v>42.5</v>
      </c>
      <c r="S3605" s="12" t="inlineStr">
        <is>
          <t>Duct bank</t>
        </is>
      </c>
      <c r="T3605" s="17" t="n">
        <v>303</v>
      </c>
      <c r="U3605" s="17" t="n">
        <v>34</v>
      </c>
      <c r="V3605" s="17">
        <f>ROUNDUP((T3605+U3605+2*'Read Me'!$B$13)*(1+'Read Me'!$B$12),-1)</f>
        <v/>
      </c>
      <c r="W3605" s="17">
        <f>V3605*N3605*O3605</f>
        <v/>
      </c>
      <c r="X3605" s="12">
        <f>IF(LEFT(I3605,2)="MV",2*N3605*IF(L3605="1/C",O3605,1),0)</f>
        <v/>
      </c>
      <c r="Y3605" s="12">
        <f>IF(OR(LEFT(K3605,4)="LVAX",LEFT(K3605,6)="MV15AX",LEFT(K3605,4)="CTAX",LEFT(K3605,2)="W|"),2*N3605*O3605,0)</f>
        <v/>
      </c>
      <c r="Z3605" s="12" t="inlineStr">
        <is>
          <t>VD 2.8 %</t>
        </is>
      </c>
      <c r="AA3605" s="12">
        <f>N3605*O3605</f>
        <v/>
      </c>
    </row>
    <row r="3606">
      <c r="A3606" s="12" t="inlineStr">
        <is>
          <t>G-P-0173</t>
        </is>
      </c>
      <c r="B3606" s="12" t="inlineStr">
        <is>
          <t>G</t>
        </is>
      </c>
      <c r="C3606" s="12" t="inlineStr">
        <is>
          <t>Carbon capture</t>
        </is>
      </c>
      <c r="D3606" s="12" t="inlineStr">
        <is>
          <t>Motor 4 of 4, 30 kW</t>
        </is>
      </c>
      <c r="E3606" s="12" t="inlineStr"/>
      <c r="F3606" s="12" t="inlineStr">
        <is>
          <t>CCS MV switchgear building (VFDs)</t>
        </is>
      </c>
      <c r="G3606" s="12" t="inlineStr"/>
      <c r="H3606" s="12" t="inlineStr">
        <is>
          <t>CONDITIONAL: HP export compressor + metering</t>
        </is>
      </c>
      <c r="I3606" s="12" t="inlineStr">
        <is>
          <t>LV 600 V</t>
        </is>
      </c>
      <c r="J3606" s="12" t="inlineStr">
        <is>
          <t>ARMOR-X MC-HL 600 V 3/C Cu XHHW-2 + ground, CWA, black PVC (Class I Div 2)</t>
        </is>
      </c>
      <c r="K3606" s="12" t="inlineStr">
        <is>
          <t>LVAX|3/C+G|6</t>
        </is>
      </c>
      <c r="L3606" s="12" t="inlineStr">
        <is>
          <t>3/C+G</t>
        </is>
      </c>
      <c r="M3606" s="12" t="inlineStr">
        <is>
          <t>6</t>
        </is>
      </c>
      <c r="N3606" s="12" t="n">
        <v>1</v>
      </c>
      <c r="O3606" s="12" t="n">
        <v>1</v>
      </c>
      <c r="P3606" s="12" t="n">
        <v>480</v>
      </c>
      <c r="Q3606" s="12" t="n">
        <v>30</v>
      </c>
      <c r="R3606" s="12" t="n">
        <v>42.5</v>
      </c>
      <c r="S3606" s="12" t="inlineStr">
        <is>
          <t>Duct bank</t>
        </is>
      </c>
      <c r="T3606" s="17" t="n">
        <v>303</v>
      </c>
      <c r="U3606" s="17" t="n">
        <v>34</v>
      </c>
      <c r="V3606" s="17">
        <f>ROUNDUP((T3606+U3606+2*'Read Me'!$B$13)*(1+'Read Me'!$B$12),-1)</f>
        <v/>
      </c>
      <c r="W3606" s="17">
        <f>V3606*N3606*O3606</f>
        <v/>
      </c>
      <c r="X3606" s="12">
        <f>IF(LEFT(I3606,2)="MV",2*N3606*IF(L3606="1/C",O3606,1),0)</f>
        <v/>
      </c>
      <c r="Y3606" s="12">
        <f>IF(OR(LEFT(K3606,4)="LVAX",LEFT(K3606,6)="MV15AX",LEFT(K3606,4)="CTAX",LEFT(K3606,2)="W|"),2*N3606*O3606,0)</f>
        <v/>
      </c>
      <c r="Z3606" s="12" t="inlineStr">
        <is>
          <t>VD 2.8 %</t>
        </is>
      </c>
      <c r="AA3606" s="12">
        <f>N3606*O3606</f>
        <v/>
      </c>
    </row>
    <row r="3607">
      <c r="A3607" s="12" t="inlineStr">
        <is>
          <t>G-P-0174</t>
        </is>
      </c>
      <c r="B3607" s="12" t="inlineStr">
        <is>
          <t>G</t>
        </is>
      </c>
      <c r="C3607" s="12" t="inlineStr">
        <is>
          <t>Carbon capture</t>
        </is>
      </c>
      <c r="D3607" s="12" t="inlineStr">
        <is>
          <t>Motor 1 of 2, 200 kW</t>
        </is>
      </c>
      <c r="E3607" s="12" t="inlineStr"/>
      <c r="F3607" s="12" t="inlineStr">
        <is>
          <t>CCS MV switchgear building (VFDs)</t>
        </is>
      </c>
      <c r="G3607" s="12" t="inlineStr"/>
      <c r="H3607" s="12" t="inlineStr">
        <is>
          <t>DCC-A pumps + water filter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Tray</t>
        </is>
      </c>
      <c r="T3607" s="17" t="n">
        <v>515</v>
      </c>
      <c r="U3607" s="17" t="n">
        <v>164</v>
      </c>
      <c r="V3607" s="17">
        <f>ROUNDUP((T3607+U3607+2*'Read Me'!$B$13)*(1+'Read Me'!$B$12),-1)</f>
        <v/>
      </c>
      <c r="W3607" s="17">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G-P-0175</t>
        </is>
      </c>
      <c r="B3608" s="12" t="inlineStr">
        <is>
          <t>G</t>
        </is>
      </c>
      <c r="C3608" s="12" t="inlineStr">
        <is>
          <t>Carbon capture</t>
        </is>
      </c>
      <c r="D3608" s="12" t="inlineStr">
        <is>
          <t>Motor 2 of 2, 200 kW</t>
        </is>
      </c>
      <c r="E3608" s="12" t="inlineStr"/>
      <c r="F3608" s="12" t="inlineStr">
        <is>
          <t>CCS MV switchgear building (VFDs)</t>
        </is>
      </c>
      <c r="G3608" s="12" t="inlineStr"/>
      <c r="H3608" s="12" t="inlineStr">
        <is>
          <t>DCC-A pumps + water filter</t>
        </is>
      </c>
      <c r="I3608" s="12" t="inlineStr">
        <is>
          <t>LV 600 V</t>
        </is>
      </c>
      <c r="J3608" s="12" t="inlineStr">
        <is>
          <t>Type TC-ER 600 V 3/C Cu XHHW-2 + ground, PVC jacket</t>
        </is>
      </c>
      <c r="K3608" s="12" t="inlineStr">
        <is>
          <t>LV|3/C+G|500</t>
        </is>
      </c>
      <c r="L3608" s="12" t="inlineStr">
        <is>
          <t>3/C+G</t>
        </is>
      </c>
      <c r="M3608" s="12" t="inlineStr">
        <is>
          <t>500 kcmil</t>
        </is>
      </c>
      <c r="N3608" s="12" t="n">
        <v>1</v>
      </c>
      <c r="O3608" s="12" t="n">
        <v>1</v>
      </c>
      <c r="P3608" s="12" t="n">
        <v>480</v>
      </c>
      <c r="Q3608" s="12" t="n">
        <v>200</v>
      </c>
      <c r="R3608" s="12" t="n">
        <v>283</v>
      </c>
      <c r="S3608" s="12" t="inlineStr">
        <is>
          <t>Tray</t>
        </is>
      </c>
      <c r="T3608" s="17" t="n">
        <v>515</v>
      </c>
      <c r="U3608" s="17" t="n">
        <v>164</v>
      </c>
      <c r="V3608" s="17">
        <f>ROUNDUP((T3608+U3608+2*'Read Me'!$B$13)*(1+'Read Me'!$B$12),-1)</f>
        <v/>
      </c>
      <c r="W3608" s="17">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G-P-0176</t>
        </is>
      </c>
      <c r="B3609" s="12" t="inlineStr">
        <is>
          <t>G</t>
        </is>
      </c>
      <c r="C3609" s="12" t="inlineStr">
        <is>
          <t>Carbon capture</t>
        </is>
      </c>
      <c r="D3609" s="12" t="inlineStr">
        <is>
          <t>LV power feeder</t>
        </is>
      </c>
      <c r="E3609" s="12" t="inlineStr"/>
      <c r="F3609" s="12" t="inlineStr">
        <is>
          <t>CCS MV switchgear building (VFDs)</t>
        </is>
      </c>
      <c r="G3609" s="12" t="inlineStr">
        <is>
          <t>DCC-A</t>
        </is>
      </c>
      <c r="H3609" s="12" t="inlineStr">
        <is>
          <t>DCC-A: direct-contact cooler (quench)</t>
        </is>
      </c>
      <c r="I3609" s="12" t="inlineStr">
        <is>
          <t>LV 600 V</t>
        </is>
      </c>
      <c r="J3609" s="12" t="inlineStr">
        <is>
          <t>Type TC-ER 600 V 3/C Cu XHHW-2 + ground, PVC jacket</t>
        </is>
      </c>
      <c r="K3609" s="12" t="inlineStr">
        <is>
          <t>LV|3/C+G|6</t>
        </is>
      </c>
      <c r="L3609" s="12" t="inlineStr">
        <is>
          <t>3/C+G</t>
        </is>
      </c>
      <c r="M3609" s="12" t="inlineStr">
        <is>
          <t>6</t>
        </is>
      </c>
      <c r="N3609" s="12" t="n">
        <v>1</v>
      </c>
      <c r="O3609" s="12" t="n">
        <v>1</v>
      </c>
      <c r="P3609" s="12" t="n">
        <v>480</v>
      </c>
      <c r="Q3609" s="12" t="n">
        <v>15</v>
      </c>
      <c r="R3609" s="12" t="n">
        <v>21.2</v>
      </c>
      <c r="S3609" s="12" t="inlineStr">
        <is>
          <t>Duct bank</t>
        </is>
      </c>
      <c r="T3609" s="17" t="n">
        <v>460</v>
      </c>
      <c r="U3609" s="17" t="n">
        <v>60</v>
      </c>
      <c r="V3609" s="17">
        <f>ROUNDUP((T3609+U3609+2*'Read Me'!$B$13)*(1+'Read Me'!$B$12),-1)</f>
        <v/>
      </c>
      <c r="W3609" s="17">
        <f>V3609*N3609*O3609</f>
        <v/>
      </c>
      <c r="X3609" s="12">
        <f>IF(LEFT(I3609,2)="MV",2*N3609*IF(L3609="1/C",O3609,1),0)</f>
        <v/>
      </c>
      <c r="Y3609" s="12">
        <f>IF(OR(LEFT(K3609,4)="LVAX",LEFT(K3609,6)="MV15AX",LEFT(K3609,4)="CTAX",LEFT(K3609,2)="W|"),2*N3609*O3609,0)</f>
        <v/>
      </c>
      <c r="Z3609" s="12" t="inlineStr">
        <is>
          <t>VD 2.2 %</t>
        </is>
      </c>
      <c r="AA3609" s="12">
        <f>N3609*O3609</f>
        <v/>
      </c>
    </row>
    <row r="3610">
      <c r="A3610" s="12" t="inlineStr">
        <is>
          <t>G-P-0177</t>
        </is>
      </c>
      <c r="B3610" s="12" t="inlineStr">
        <is>
          <t>G</t>
        </is>
      </c>
      <c r="C3610" s="12" t="inlineStr">
        <is>
          <t>Carbon capture</t>
        </is>
      </c>
      <c r="D3610" s="12" t="inlineStr">
        <is>
          <t>Area / platform lighting circuit 1 (8 fixtures)</t>
        </is>
      </c>
      <c r="E3610" s="12" t="inlineStr"/>
      <c r="F3610" s="12" t="inlineStr">
        <is>
          <t>CCS MV switchgear building (VFDs)</t>
        </is>
      </c>
      <c r="G3610" s="12" t="inlineStr">
        <is>
          <t>DCC-A</t>
        </is>
      </c>
      <c r="H3610" s="12" t="inlineStr">
        <is>
          <t>DCC-A: direct-contact cooler (quench)</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Duct bank</t>
        </is>
      </c>
      <c r="T3610" s="17" t="n">
        <v>760</v>
      </c>
      <c r="U3610" s="17" t="n">
        <v>60</v>
      </c>
      <c r="V3610" s="17">
        <f>ROUNDUP((T3610+U3610+2*'Read Me'!$B$13)*(1+'Read Me'!$B$12),-1)</f>
        <v/>
      </c>
      <c r="W3610" s="17">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G-P-0178</t>
        </is>
      </c>
      <c r="B3611" s="12" t="inlineStr">
        <is>
          <t>G</t>
        </is>
      </c>
      <c r="C3611" s="12" t="inlineStr">
        <is>
          <t>Carbon capture</t>
        </is>
      </c>
      <c r="D3611" s="12" t="inlineStr">
        <is>
          <t>Motor 1 of 2, 200 kW</t>
        </is>
      </c>
      <c r="E3611" s="12" t="inlineStr"/>
      <c r="F3611" s="12" t="inlineStr">
        <is>
          <t>CCS MV switchgear building (VFDs)</t>
        </is>
      </c>
      <c r="G3611" s="12" t="inlineStr"/>
      <c r="H3611" s="12" t="inlineStr">
        <is>
          <t>DCC-B pumps + water filter</t>
        </is>
      </c>
      <c r="I3611" s="12" t="inlineStr">
        <is>
          <t>LV 600 V</t>
        </is>
      </c>
      <c r="J3611" s="12" t="inlineStr">
        <is>
          <t>Type TC-ER 600 V 3/C Cu XHHW-2 + ground, PVC jacket</t>
        </is>
      </c>
      <c r="K3611" s="12" t="inlineStr">
        <is>
          <t>LV|3/C+G|500</t>
        </is>
      </c>
      <c r="L3611" s="12" t="inlineStr">
        <is>
          <t>3/C+G</t>
        </is>
      </c>
      <c r="M3611" s="12" t="inlineStr">
        <is>
          <t>500 kcmil</t>
        </is>
      </c>
      <c r="N3611" s="12" t="n">
        <v>1</v>
      </c>
      <c r="O3611" s="12" t="n">
        <v>1</v>
      </c>
      <c r="P3611" s="12" t="n">
        <v>480</v>
      </c>
      <c r="Q3611" s="12" t="n">
        <v>200</v>
      </c>
      <c r="R3611" s="12" t="n">
        <v>283</v>
      </c>
      <c r="S3611" s="12" t="inlineStr">
        <is>
          <t>Tray</t>
        </is>
      </c>
      <c r="T3611" s="17" t="n">
        <v>415</v>
      </c>
      <c r="U3611" s="17" t="n">
        <v>122</v>
      </c>
      <c r="V3611" s="17">
        <f>ROUNDUP((T3611+U3611+2*'Read Me'!$B$13)*(1+'Read Me'!$B$12),-1)</f>
        <v/>
      </c>
      <c r="W3611" s="17">
        <f>V3611*N3611*O3611</f>
        <v/>
      </c>
      <c r="X3611" s="12">
        <f>IF(LEFT(I3611,2)="MV",2*N3611*IF(L3611="1/C",O3611,1),0)</f>
        <v/>
      </c>
      <c r="Y3611" s="12">
        <f>IF(OR(LEFT(K3611,4)="LVAX",LEFT(K3611,6)="MV15AX",LEFT(K3611,4)="CTAX",LEFT(K3611,2)="W|"),2*N3611*O3611,0)</f>
        <v/>
      </c>
      <c r="Z3611" s="12" t="inlineStr">
        <is>
          <t>VD 1.6 %</t>
        </is>
      </c>
      <c r="AA3611" s="12">
        <f>N3611*O3611</f>
        <v/>
      </c>
    </row>
    <row r="3612">
      <c r="A3612" s="12" t="inlineStr">
        <is>
          <t>G-P-0179</t>
        </is>
      </c>
      <c r="B3612" s="12" t="inlineStr">
        <is>
          <t>G</t>
        </is>
      </c>
      <c r="C3612" s="12" t="inlineStr">
        <is>
          <t>Carbon capture</t>
        </is>
      </c>
      <c r="D3612" s="12" t="inlineStr">
        <is>
          <t>Motor 2 of 2, 200 kW</t>
        </is>
      </c>
      <c r="E3612" s="12" t="inlineStr"/>
      <c r="F3612" s="12" t="inlineStr">
        <is>
          <t>CCS MV switchgear building (VFDs)</t>
        </is>
      </c>
      <c r="G3612" s="12" t="inlineStr"/>
      <c r="H3612" s="12" t="inlineStr">
        <is>
          <t>DCC-B pumps + water filter</t>
        </is>
      </c>
      <c r="I3612" s="12" t="inlineStr">
        <is>
          <t>LV 600 V</t>
        </is>
      </c>
      <c r="J3612" s="12" t="inlineStr">
        <is>
          <t>Type TC-ER 600 V 3/C Cu XHHW-2 + ground, PVC jacket</t>
        </is>
      </c>
      <c r="K3612" s="12" t="inlineStr">
        <is>
          <t>LV|3/C+G|500</t>
        </is>
      </c>
      <c r="L3612" s="12" t="inlineStr">
        <is>
          <t>3/C+G</t>
        </is>
      </c>
      <c r="M3612" s="12" t="inlineStr">
        <is>
          <t>500 kcmil</t>
        </is>
      </c>
      <c r="N3612" s="12" t="n">
        <v>1</v>
      </c>
      <c r="O3612" s="12" t="n">
        <v>1</v>
      </c>
      <c r="P3612" s="12" t="n">
        <v>480</v>
      </c>
      <c r="Q3612" s="12" t="n">
        <v>200</v>
      </c>
      <c r="R3612" s="12" t="n">
        <v>283</v>
      </c>
      <c r="S3612" s="12" t="inlineStr">
        <is>
          <t>Tray</t>
        </is>
      </c>
      <c r="T3612" s="17" t="n">
        <v>415</v>
      </c>
      <c r="U3612" s="17" t="n">
        <v>122</v>
      </c>
      <c r="V3612" s="17">
        <f>ROUNDUP((T3612+U3612+2*'Read Me'!$B$13)*(1+'Read Me'!$B$12),-1)</f>
        <v/>
      </c>
      <c r="W3612" s="17">
        <f>V3612*N3612*O3612</f>
        <v/>
      </c>
      <c r="X3612" s="12">
        <f>IF(LEFT(I3612,2)="MV",2*N3612*IF(L3612="1/C",O3612,1),0)</f>
        <v/>
      </c>
      <c r="Y3612" s="12">
        <f>IF(OR(LEFT(K3612,4)="LVAX",LEFT(K3612,6)="MV15AX",LEFT(K3612,4)="CTAX",LEFT(K3612,2)="W|"),2*N3612*O3612,0)</f>
        <v/>
      </c>
      <c r="Z3612" s="12" t="inlineStr">
        <is>
          <t>VD 1.6 %</t>
        </is>
      </c>
      <c r="AA3612" s="12">
        <f>N3612*O3612</f>
        <v/>
      </c>
    </row>
    <row r="3613">
      <c r="A3613" s="12" t="inlineStr">
        <is>
          <t>G-P-0180</t>
        </is>
      </c>
      <c r="B3613" s="12" t="inlineStr">
        <is>
          <t>G</t>
        </is>
      </c>
      <c r="C3613" s="12" t="inlineStr">
        <is>
          <t>Carbon capture</t>
        </is>
      </c>
      <c r="D3613" s="12" t="inlineStr">
        <is>
          <t>LV power feeder</t>
        </is>
      </c>
      <c r="E3613" s="12" t="inlineStr"/>
      <c r="F3613" s="12" t="inlineStr">
        <is>
          <t>CCS MV switchgear building (VFDs)</t>
        </is>
      </c>
      <c r="G3613" s="12" t="inlineStr">
        <is>
          <t>DCC-B</t>
        </is>
      </c>
      <c r="H3613" s="12" t="inlineStr">
        <is>
          <t>DCC-B: direct-contact cooler (quench)</t>
        </is>
      </c>
      <c r="I3613" s="12" t="inlineStr">
        <is>
          <t>LV 600 V</t>
        </is>
      </c>
      <c r="J3613" s="12" t="inlineStr">
        <is>
          <t>Type TC-ER 600 V 3/C Cu XHHW-2 + ground, PVC jacket</t>
        </is>
      </c>
      <c r="K3613" s="12" t="inlineStr">
        <is>
          <t>LV|3/C+G|8</t>
        </is>
      </c>
      <c r="L3613" s="12" t="inlineStr">
        <is>
          <t>3/C+G</t>
        </is>
      </c>
      <c r="M3613" s="12" t="inlineStr">
        <is>
          <t>8</t>
        </is>
      </c>
      <c r="N3613" s="12" t="n">
        <v>1</v>
      </c>
      <c r="O3613" s="12" t="n">
        <v>1</v>
      </c>
      <c r="P3613" s="12" t="n">
        <v>480</v>
      </c>
      <c r="Q3613" s="12" t="n">
        <v>15</v>
      </c>
      <c r="R3613" s="12" t="n">
        <v>21.2</v>
      </c>
      <c r="S3613" s="12" t="inlineStr">
        <is>
          <t>Duct bank</t>
        </is>
      </c>
      <c r="T3613" s="17" t="n">
        <v>300</v>
      </c>
      <c r="U3613" s="17" t="n">
        <v>60</v>
      </c>
      <c r="V3613" s="17">
        <f>ROUNDUP((T3613+U3613+2*'Read Me'!$B$13)*(1+'Read Me'!$B$12),-1)</f>
        <v/>
      </c>
      <c r="W3613" s="17">
        <f>V3613*N3613*O3613</f>
        <v/>
      </c>
      <c r="X3613" s="12">
        <f>IF(LEFT(I3613,2)="MV",2*N3613*IF(L3613="1/C",O3613,1),0)</f>
        <v/>
      </c>
      <c r="Y3613" s="12">
        <f>IF(OR(LEFT(K3613,4)="LVAX",LEFT(K3613,6)="MV15AX",LEFT(K3613,4)="CTAX",LEFT(K3613,2)="W|"),2*N3613*O3613,0)</f>
        <v/>
      </c>
      <c r="Z3613" s="12" t="inlineStr">
        <is>
          <t>VD 2.3 %</t>
        </is>
      </c>
      <c r="AA3613" s="12">
        <f>N3613*O3613</f>
        <v/>
      </c>
    </row>
    <row r="3614">
      <c r="A3614" s="12" t="inlineStr">
        <is>
          <t>G-P-0181</t>
        </is>
      </c>
      <c r="B3614" s="12" t="inlineStr">
        <is>
          <t>G</t>
        </is>
      </c>
      <c r="C3614" s="12" t="inlineStr">
        <is>
          <t>Carbon capture</t>
        </is>
      </c>
      <c r="D3614" s="12" t="inlineStr">
        <is>
          <t>Area / platform lighting circuit 1 (8 fixtures)</t>
        </is>
      </c>
      <c r="E3614" s="12" t="inlineStr"/>
      <c r="F3614" s="12" t="inlineStr">
        <is>
          <t>CCS MV switchgear building (VFDs)</t>
        </is>
      </c>
      <c r="G3614" s="12" t="inlineStr">
        <is>
          <t>DCC-B</t>
        </is>
      </c>
      <c r="H3614" s="12" t="inlineStr">
        <is>
          <t>DCC-B: direct-contact cooler (quench)</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Duct bank</t>
        </is>
      </c>
      <c r="T3614" s="17" t="n">
        <v>600</v>
      </c>
      <c r="U3614" s="17" t="n">
        <v>60</v>
      </c>
      <c r="V3614" s="17">
        <f>ROUNDUP((T3614+U3614+2*'Read Me'!$B$13)*(1+'Read Me'!$B$12),-1)</f>
        <v/>
      </c>
      <c r="W3614" s="17">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G-P-0182</t>
        </is>
      </c>
      <c r="B3615" s="12" t="inlineStr">
        <is>
          <t>G</t>
        </is>
      </c>
      <c r="C3615" s="12" t="inlineStr">
        <is>
          <t>Carbon capture</t>
        </is>
      </c>
      <c r="D3615" s="12" t="inlineStr">
        <is>
          <t>Motor 1 of 2, 200 kW</t>
        </is>
      </c>
      <c r="E3615" s="12" t="inlineStr"/>
      <c r="F3615" s="12" t="inlineStr">
        <is>
          <t>CCS MV switchgear building (VFDs)</t>
        </is>
      </c>
      <c r="G3615" s="12" t="inlineStr"/>
      <c r="H3615" s="12" t="inlineStr">
        <is>
          <t>DCC-C pumps + water filter</t>
        </is>
      </c>
      <c r="I3615" s="12" t="inlineStr">
        <is>
          <t>LV 600 V</t>
        </is>
      </c>
      <c r="J3615" s="12" t="inlineStr">
        <is>
          <t>Type TC-ER 600 V 3/C Cu XHHW-2 + ground, PVC jacket</t>
        </is>
      </c>
      <c r="K3615" s="12" t="inlineStr">
        <is>
          <t>LV|3/C+G|500</t>
        </is>
      </c>
      <c r="L3615" s="12" t="inlineStr">
        <is>
          <t>3/C+G</t>
        </is>
      </c>
      <c r="M3615" s="12" t="inlineStr">
        <is>
          <t>500 kcmil</t>
        </is>
      </c>
      <c r="N3615" s="12" t="n">
        <v>1</v>
      </c>
      <c r="O3615" s="12" t="n">
        <v>1</v>
      </c>
      <c r="P3615" s="12" t="n">
        <v>480</v>
      </c>
      <c r="Q3615" s="12" t="n">
        <v>200</v>
      </c>
      <c r="R3615" s="12" t="n">
        <v>283</v>
      </c>
      <c r="S3615" s="12" t="inlineStr">
        <is>
          <t>Tray</t>
        </is>
      </c>
      <c r="T3615" s="17" t="n">
        <v>195</v>
      </c>
      <c r="U3615" s="17" t="n">
        <v>164</v>
      </c>
      <c r="V3615" s="17">
        <f>ROUNDUP((T3615+U3615+2*'Read Me'!$B$13)*(1+'Read Me'!$B$12),-1)</f>
        <v/>
      </c>
      <c r="W3615" s="17">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G-P-0183</t>
        </is>
      </c>
      <c r="B3616" s="12" t="inlineStr">
        <is>
          <t>G</t>
        </is>
      </c>
      <c r="C3616" s="12" t="inlineStr">
        <is>
          <t>Carbon capture</t>
        </is>
      </c>
      <c r="D3616" s="12" t="inlineStr">
        <is>
          <t>Motor 2 of 2, 200 kW</t>
        </is>
      </c>
      <c r="E3616" s="12" t="inlineStr"/>
      <c r="F3616" s="12" t="inlineStr">
        <is>
          <t>CCS MV switchgear building (VFDs)</t>
        </is>
      </c>
      <c r="G3616" s="12" t="inlineStr"/>
      <c r="H3616" s="12" t="inlineStr">
        <is>
          <t>DCC-C pumps + water filter</t>
        </is>
      </c>
      <c r="I3616" s="12" t="inlineStr">
        <is>
          <t>LV 600 V</t>
        </is>
      </c>
      <c r="J3616" s="12" t="inlineStr">
        <is>
          <t>Type TC-ER 600 V 3/C Cu XHHW-2 + ground, PVC jacket</t>
        </is>
      </c>
      <c r="K3616" s="12" t="inlineStr">
        <is>
          <t>LV|3/C+G|500</t>
        </is>
      </c>
      <c r="L3616" s="12" t="inlineStr">
        <is>
          <t>3/C+G</t>
        </is>
      </c>
      <c r="M3616" s="12" t="inlineStr">
        <is>
          <t>500 kcmil</t>
        </is>
      </c>
      <c r="N3616" s="12" t="n">
        <v>1</v>
      </c>
      <c r="O3616" s="12" t="n">
        <v>1</v>
      </c>
      <c r="P3616" s="12" t="n">
        <v>480</v>
      </c>
      <c r="Q3616" s="12" t="n">
        <v>200</v>
      </c>
      <c r="R3616" s="12" t="n">
        <v>283</v>
      </c>
      <c r="S3616" s="12" t="inlineStr">
        <is>
          <t>Tray</t>
        </is>
      </c>
      <c r="T3616" s="17" t="n">
        <v>195</v>
      </c>
      <c r="U3616" s="17" t="n">
        <v>164</v>
      </c>
      <c r="V3616" s="17">
        <f>ROUNDUP((T3616+U3616+2*'Read Me'!$B$13)*(1+'Read Me'!$B$12),-1)</f>
        <v/>
      </c>
      <c r="W3616" s="17">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G-P-0184</t>
        </is>
      </c>
      <c r="B3617" s="12" t="inlineStr">
        <is>
          <t>G</t>
        </is>
      </c>
      <c r="C3617" s="12" t="inlineStr">
        <is>
          <t>Carbon capture</t>
        </is>
      </c>
      <c r="D3617" s="12" t="inlineStr">
        <is>
          <t>LV power feeder</t>
        </is>
      </c>
      <c r="E3617" s="12" t="inlineStr"/>
      <c r="F3617" s="12" t="inlineStr">
        <is>
          <t>CCS MV switchgear building (VFDs)</t>
        </is>
      </c>
      <c r="G3617" s="12" t="inlineStr">
        <is>
          <t>DCC-C</t>
        </is>
      </c>
      <c r="H3617" s="12" t="inlineStr">
        <is>
          <t>DCC-C: direct-contact cooler (quench)</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15</v>
      </c>
      <c r="R3617" s="12" t="n">
        <v>21.2</v>
      </c>
      <c r="S3617" s="12" t="inlineStr">
        <is>
          <t>Duct bank</t>
        </is>
      </c>
      <c r="T3617" s="17" t="n">
        <v>140</v>
      </c>
      <c r="U3617" s="17" t="n">
        <v>60</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G-P-0185</t>
        </is>
      </c>
      <c r="B3618" s="12" t="inlineStr">
        <is>
          <t>G</t>
        </is>
      </c>
      <c r="C3618" s="12" t="inlineStr">
        <is>
          <t>Carbon capture</t>
        </is>
      </c>
      <c r="D3618" s="12" t="inlineStr">
        <is>
          <t>Area / platform lighting circuit 1 (8 fixtures)</t>
        </is>
      </c>
      <c r="E3618" s="12" t="inlineStr"/>
      <c r="F3618" s="12" t="inlineStr">
        <is>
          <t>CCS MV switchgear building (VFDs)</t>
        </is>
      </c>
      <c r="G3618" s="12" t="inlineStr">
        <is>
          <t>DCC-C</t>
        </is>
      </c>
      <c r="H3618" s="12" t="inlineStr">
        <is>
          <t>DCC-C: direct-contact cooler (quench)</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3</v>
      </c>
      <c r="R3618" s="12" t="n">
        <v>5</v>
      </c>
      <c r="S3618" s="12" t="inlineStr">
        <is>
          <t>Duct bank</t>
        </is>
      </c>
      <c r="T3618" s="17" t="n">
        <v>440</v>
      </c>
      <c r="U3618" s="17" t="n">
        <v>60</v>
      </c>
      <c r="V3618" s="17">
        <f>ROUNDUP((T3618+U3618+2*'Read Me'!$B$13)*(1+'Read Me'!$B$12),-1)</f>
        <v/>
      </c>
      <c r="W3618" s="17">
        <f>V3618*N3618*O3618</f>
        <v/>
      </c>
      <c r="X3618" s="12">
        <f>IF(LEFT(I3618,2)="MV",2*N3618*IF(L3618="1/C",O3618,1),0)</f>
        <v/>
      </c>
      <c r="Y3618" s="12">
        <f>IF(OR(LEFT(K3618,4)="LVAX",LEFT(K3618,6)="MV15AX",LEFT(K3618,4)="CTAX",LEFT(K3618,2)="W|"),2*N3618*O3618,0)</f>
        <v/>
      </c>
      <c r="Z3618" s="12" t="inlineStr">
        <is>
          <t>fixture-to-fixture run included</t>
        </is>
      </c>
      <c r="AA3618" s="12">
        <f>N3618*O3618</f>
        <v/>
      </c>
    </row>
    <row r="3619">
      <c r="A3619" s="12" t="inlineStr">
        <is>
          <t>G-P-0186</t>
        </is>
      </c>
      <c r="B3619" s="12" t="inlineStr">
        <is>
          <t>G</t>
        </is>
      </c>
      <c r="C3619" s="12" t="inlineStr">
        <is>
          <t>Carbon capture</t>
        </is>
      </c>
      <c r="D3619" s="12" t="inlineStr">
        <is>
          <t>Motor 1 of 2, 15 kW</t>
        </is>
      </c>
      <c r="E3619" s="12" t="inlineStr"/>
      <c r="F3619" s="12" t="inlineStr">
        <is>
          <t>CCS MV switchgear building (VFDs)</t>
        </is>
      </c>
      <c r="G3619" s="12" t="inlineStr">
        <is>
          <t>DMP-A</t>
        </is>
      </c>
      <c r="H3619" s="12" t="inlineStr">
        <is>
          <t>DMP-A: diverter / bypass damper</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15</v>
      </c>
      <c r="R3619" s="12" t="n">
        <v>21.2</v>
      </c>
      <c r="S3619" s="12" t="inlineStr">
        <is>
          <t>Duct bank</t>
        </is>
      </c>
      <c r="T3619" s="17" t="n">
        <v>1436</v>
      </c>
      <c r="U3619" s="17" t="n">
        <v>124</v>
      </c>
      <c r="V3619" s="17">
        <f>ROUNDUP((T3619+U3619+2*'Read Me'!$B$13)*(1+'Read Me'!$B$12),-1)</f>
        <v/>
      </c>
      <c r="W3619" s="17">
        <f>V3619*N3619*O3619</f>
        <v/>
      </c>
      <c r="X3619" s="12">
        <f>IF(LEFT(I3619,2)="MV",2*N3619*IF(L3619="1/C",O3619,1),0)</f>
        <v/>
      </c>
      <c r="Y3619" s="12">
        <f>IF(OR(LEFT(K3619,4)="LVAX",LEFT(K3619,6)="MV15AX",LEFT(K3619,4)="CTAX",LEFT(K3619,2)="W|"),2*N3619*O3619,0)</f>
        <v/>
      </c>
      <c r="Z3619" s="12" t="inlineStr">
        <is>
          <t>VD 2.5 %</t>
        </is>
      </c>
      <c r="AA3619" s="12">
        <f>N3619*O3619</f>
        <v/>
      </c>
    </row>
    <row r="3620">
      <c r="A3620" s="12" t="inlineStr">
        <is>
          <t>G-P-0187</t>
        </is>
      </c>
      <c r="B3620" s="12" t="inlineStr">
        <is>
          <t>G</t>
        </is>
      </c>
      <c r="C3620" s="12" t="inlineStr">
        <is>
          <t>Carbon capture</t>
        </is>
      </c>
      <c r="D3620" s="12" t="inlineStr">
        <is>
          <t>Motor 2 of 2, 15 kW</t>
        </is>
      </c>
      <c r="E3620" s="12" t="inlineStr"/>
      <c r="F3620" s="12" t="inlineStr">
        <is>
          <t>CCS MV switchgear building (VFDs)</t>
        </is>
      </c>
      <c r="G3620" s="12" t="inlineStr">
        <is>
          <t>DMP-A</t>
        </is>
      </c>
      <c r="H3620" s="12" t="inlineStr">
        <is>
          <t>DMP-A: diverter / bypass damper</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15</v>
      </c>
      <c r="R3620" s="12" t="n">
        <v>21.2</v>
      </c>
      <c r="S3620" s="12" t="inlineStr">
        <is>
          <t>Duct bank</t>
        </is>
      </c>
      <c r="T3620" s="17" t="n">
        <v>1436</v>
      </c>
      <c r="U3620" s="17" t="n">
        <v>124</v>
      </c>
      <c r="V3620" s="17">
        <f>ROUNDUP((T3620+U3620+2*'Read Me'!$B$13)*(1+'Read Me'!$B$12),-1)</f>
        <v/>
      </c>
      <c r="W3620" s="17">
        <f>V3620*N3620*O3620</f>
        <v/>
      </c>
      <c r="X3620" s="12">
        <f>IF(LEFT(I3620,2)="MV",2*N3620*IF(L3620="1/C",O3620,1),0)</f>
        <v/>
      </c>
      <c r="Y3620" s="12">
        <f>IF(OR(LEFT(K3620,4)="LVAX",LEFT(K3620,6)="MV15AX",LEFT(K3620,4)="CTAX",LEFT(K3620,2)="W|"),2*N3620*O3620,0)</f>
        <v/>
      </c>
      <c r="Z3620" s="12" t="inlineStr">
        <is>
          <t>VD 2.5 %</t>
        </is>
      </c>
      <c r="AA3620" s="12">
        <f>N3620*O3620</f>
        <v/>
      </c>
    </row>
    <row r="3621">
      <c r="A3621" s="12" t="inlineStr">
        <is>
          <t>G-P-0188</t>
        </is>
      </c>
      <c r="B3621" s="12" t="inlineStr">
        <is>
          <t>G</t>
        </is>
      </c>
      <c r="C3621" s="12" t="inlineStr">
        <is>
          <t>Carbon capture</t>
        </is>
      </c>
      <c r="D3621" s="12" t="inlineStr">
        <is>
          <t>Motor 1 of 2, 15 kW</t>
        </is>
      </c>
      <c r="E3621" s="12" t="inlineStr"/>
      <c r="F3621" s="12" t="inlineStr">
        <is>
          <t>CCS MV switchgear building (VFDs)</t>
        </is>
      </c>
      <c r="G3621" s="12" t="inlineStr">
        <is>
          <t>DMP-B</t>
        </is>
      </c>
      <c r="H3621" s="12" t="inlineStr">
        <is>
          <t>DMP-B: diverter / bypass damper</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15</v>
      </c>
      <c r="R3621" s="12" t="n">
        <v>21.2</v>
      </c>
      <c r="S3621" s="12" t="inlineStr">
        <is>
          <t>Duct bank</t>
        </is>
      </c>
      <c r="T3621" s="17" t="n">
        <v>1280</v>
      </c>
      <c r="U3621" s="17" t="n">
        <v>120</v>
      </c>
      <c r="V3621" s="17">
        <f>ROUNDUP((T3621+U3621+2*'Read Me'!$B$13)*(1+'Read Me'!$B$12),-1)</f>
        <v/>
      </c>
      <c r="W3621" s="17">
        <f>V3621*N3621*O3621</f>
        <v/>
      </c>
      <c r="X3621" s="12">
        <f>IF(LEFT(I3621,2)="MV",2*N3621*IF(L3621="1/C",O3621,1),0)</f>
        <v/>
      </c>
      <c r="Y3621" s="12">
        <f>IF(OR(LEFT(K3621,4)="LVAX",LEFT(K3621,6)="MV15AX",LEFT(K3621,4)="CTAX",LEFT(K3621,2)="W|"),2*N3621*O3621,0)</f>
        <v/>
      </c>
      <c r="Z3621" s="12" t="inlineStr">
        <is>
          <t>VD 2.3 %</t>
        </is>
      </c>
      <c r="AA3621" s="12">
        <f>N3621*O3621</f>
        <v/>
      </c>
    </row>
    <row r="3622">
      <c r="A3622" s="12" t="inlineStr">
        <is>
          <t>G-P-0189</t>
        </is>
      </c>
      <c r="B3622" s="12" t="inlineStr">
        <is>
          <t>G</t>
        </is>
      </c>
      <c r="C3622" s="12" t="inlineStr">
        <is>
          <t>Carbon capture</t>
        </is>
      </c>
      <c r="D3622" s="12" t="inlineStr">
        <is>
          <t>Motor 2 of 2, 15 kW</t>
        </is>
      </c>
      <c r="E3622" s="12" t="inlineStr"/>
      <c r="F3622" s="12" t="inlineStr">
        <is>
          <t>CCS MV switchgear building (VFDs)</t>
        </is>
      </c>
      <c r="G3622" s="12" t="inlineStr">
        <is>
          <t>DMP-B</t>
        </is>
      </c>
      <c r="H3622" s="12" t="inlineStr">
        <is>
          <t>DMP-B: diverter / bypass damper</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15</v>
      </c>
      <c r="R3622" s="12" t="n">
        <v>21.2</v>
      </c>
      <c r="S3622" s="12" t="inlineStr">
        <is>
          <t>Duct bank</t>
        </is>
      </c>
      <c r="T3622" s="17" t="n">
        <v>1280</v>
      </c>
      <c r="U3622" s="17" t="n">
        <v>120</v>
      </c>
      <c r="V3622" s="17">
        <f>ROUNDUP((T3622+U3622+2*'Read Me'!$B$13)*(1+'Read Me'!$B$12),-1)</f>
        <v/>
      </c>
      <c r="W3622" s="17">
        <f>V3622*N3622*O3622</f>
        <v/>
      </c>
      <c r="X3622" s="12">
        <f>IF(LEFT(I3622,2)="MV",2*N3622*IF(L3622="1/C",O3622,1),0)</f>
        <v/>
      </c>
      <c r="Y3622" s="12">
        <f>IF(OR(LEFT(K3622,4)="LVAX",LEFT(K3622,6)="MV15AX",LEFT(K3622,4)="CTAX",LEFT(K3622,2)="W|"),2*N3622*O3622,0)</f>
        <v/>
      </c>
      <c r="Z3622" s="12" t="inlineStr">
        <is>
          <t>VD 2.3 %</t>
        </is>
      </c>
      <c r="AA3622" s="12">
        <f>N3622*O3622</f>
        <v/>
      </c>
    </row>
    <row r="3623">
      <c r="A3623" s="12" t="inlineStr">
        <is>
          <t>G-P-0190</t>
        </is>
      </c>
      <c r="B3623" s="12" t="inlineStr">
        <is>
          <t>G</t>
        </is>
      </c>
      <c r="C3623" s="12" t="inlineStr">
        <is>
          <t>Carbon capture</t>
        </is>
      </c>
      <c r="D3623" s="12" t="inlineStr">
        <is>
          <t>Motor 1 of 2, 15 kW</t>
        </is>
      </c>
      <c r="E3623" s="12" t="inlineStr"/>
      <c r="F3623" s="12" t="inlineStr">
        <is>
          <t>CCS MV switchgear building (VFDs)</t>
        </is>
      </c>
      <c r="G3623" s="12" t="inlineStr">
        <is>
          <t>DMP-C</t>
        </is>
      </c>
      <c r="H3623" s="12" t="inlineStr">
        <is>
          <t>DMP-C: diverter / bypass damper</t>
        </is>
      </c>
      <c r="I3623" s="12" t="inlineStr">
        <is>
          <t>LV 600 V</t>
        </is>
      </c>
      <c r="J3623" s="12" t="inlineStr">
        <is>
          <t>Type TC-ER 600 V 3/C Cu XHHW-2 + ground, PVC jacket</t>
        </is>
      </c>
      <c r="K3623" s="12" t="inlineStr">
        <is>
          <t>LV|3/C+G|2</t>
        </is>
      </c>
      <c r="L3623" s="12" t="inlineStr">
        <is>
          <t>3/C+G</t>
        </is>
      </c>
      <c r="M3623" s="12" t="inlineStr">
        <is>
          <t>2</t>
        </is>
      </c>
      <c r="N3623" s="12" t="n">
        <v>1</v>
      </c>
      <c r="O3623" s="12" t="n">
        <v>1</v>
      </c>
      <c r="P3623" s="12" t="n">
        <v>480</v>
      </c>
      <c r="Q3623" s="12" t="n">
        <v>15</v>
      </c>
      <c r="R3623" s="12" t="n">
        <v>21.2</v>
      </c>
      <c r="S3623" s="12" t="inlineStr">
        <is>
          <t>Duct bank</t>
        </is>
      </c>
      <c r="T3623" s="17" t="n">
        <v>1116</v>
      </c>
      <c r="U3623" s="17" t="n">
        <v>124</v>
      </c>
      <c r="V3623" s="17">
        <f>ROUNDUP((T3623+U3623+2*'Read Me'!$B$13)*(1+'Read Me'!$B$12),-1)</f>
        <v/>
      </c>
      <c r="W3623" s="17">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G-P-0191</t>
        </is>
      </c>
      <c r="B3624" s="12" t="inlineStr">
        <is>
          <t>G</t>
        </is>
      </c>
      <c r="C3624" s="12" t="inlineStr">
        <is>
          <t>Carbon capture</t>
        </is>
      </c>
      <c r="D3624" s="12" t="inlineStr">
        <is>
          <t>Motor 2 of 2, 15 kW</t>
        </is>
      </c>
      <c r="E3624" s="12" t="inlineStr"/>
      <c r="F3624" s="12" t="inlineStr">
        <is>
          <t>CCS MV switchgear building (VFDs)</t>
        </is>
      </c>
      <c r="G3624" s="12" t="inlineStr">
        <is>
          <t>DMP-C</t>
        </is>
      </c>
      <c r="H3624" s="12" t="inlineStr">
        <is>
          <t>DMP-C: diverter / bypass damper</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15</v>
      </c>
      <c r="R3624" s="12" t="n">
        <v>21.2</v>
      </c>
      <c r="S3624" s="12" t="inlineStr">
        <is>
          <t>Duct bank</t>
        </is>
      </c>
      <c r="T3624" s="17" t="n">
        <v>1116</v>
      </c>
      <c r="U3624" s="17" t="n">
        <v>124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G-P-0192</t>
        </is>
      </c>
      <c r="B3625" s="12" t="inlineStr">
        <is>
          <t>G</t>
        </is>
      </c>
      <c r="C3625" s="12" t="inlineStr">
        <is>
          <t>Carbon capture</t>
        </is>
      </c>
      <c r="D3625" s="12" t="inlineStr">
        <is>
          <t>MOV 1: power</t>
        </is>
      </c>
      <c r="E3625" s="12" t="inlineStr"/>
      <c r="F3625" s="12" t="inlineStr">
        <is>
          <t>CCS MV switchgear building (VFDs)</t>
        </is>
      </c>
      <c r="G3625" s="12" t="inlineStr"/>
      <c r="H3625" s="12" t="inlineStr">
        <is>
          <t>RB-A: reboiler (LP steam from ST extraction)</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7" t="n">
        <v>50</v>
      </c>
      <c r="U3625" s="17" t="n">
        <v>37</v>
      </c>
      <c r="V3625" s="17">
        <f>ROUNDUP((T3625+U3625+2*'Read Me'!$B$13)*(1+'Read Me'!$B$12),-1)</f>
        <v/>
      </c>
      <c r="W3625" s="17">
        <f>V3625*N3625*O3625</f>
        <v/>
      </c>
      <c r="X3625" s="12">
        <f>IF(LEFT(I3625,2)="MV",2*N3625*IF(L3625="1/C",O3625,1),0)</f>
        <v/>
      </c>
      <c r="Y3625" s="12">
        <f>IF(OR(LEFT(K3625,4)="LVAX",LEFT(K3625,6)="MV15AX",LEFT(K3625,4)="CTAX",LEFT(K3625,2)="W|"),2*N3625*O3625,0)</f>
        <v/>
      </c>
      <c r="Z3625" s="12" t="inlineStr">
        <is>
          <t>VD 0.1 %</t>
        </is>
      </c>
      <c r="AA3625" s="12">
        <f>N3625*O3625</f>
        <v/>
      </c>
    </row>
    <row r="3626">
      <c r="A3626" s="12" t="inlineStr">
        <is>
          <t>G-P-0193</t>
        </is>
      </c>
      <c r="B3626" s="12" t="inlineStr">
        <is>
          <t>G</t>
        </is>
      </c>
      <c r="C3626" s="12" t="inlineStr">
        <is>
          <t>Carbon capture</t>
        </is>
      </c>
      <c r="D3626" s="12" t="inlineStr">
        <is>
          <t>MOV 2: power</t>
        </is>
      </c>
      <c r="E3626" s="12" t="inlineStr"/>
      <c r="F3626" s="12" t="inlineStr">
        <is>
          <t>CCS MV switchgear building (VFDs)</t>
        </is>
      </c>
      <c r="G3626" s="12" t="inlineStr"/>
      <c r="H3626" s="12" t="inlineStr">
        <is>
          <t>RB-A: reboiler (LP steam from ST extraction)</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7" t="n">
        <v>50</v>
      </c>
      <c r="U3626" s="17" t="n">
        <v>37</v>
      </c>
      <c r="V3626" s="17">
        <f>ROUNDUP((T3626+U3626+2*'Read Me'!$B$13)*(1+'Read Me'!$B$12),-1)</f>
        <v/>
      </c>
      <c r="W3626" s="17">
        <f>V3626*N3626*O3626</f>
        <v/>
      </c>
      <c r="X3626" s="12">
        <f>IF(LEFT(I3626,2)="MV",2*N3626*IF(L3626="1/C",O3626,1),0)</f>
        <v/>
      </c>
      <c r="Y3626" s="12">
        <f>IF(OR(LEFT(K3626,4)="LVAX",LEFT(K3626,6)="MV15AX",LEFT(K3626,4)="CTAX",LEFT(K3626,2)="W|"),2*N3626*O3626,0)</f>
        <v/>
      </c>
      <c r="Z3626" s="12" t="inlineStr">
        <is>
          <t>VD 0.1 %</t>
        </is>
      </c>
      <c r="AA3626" s="12">
        <f>N3626*O3626</f>
        <v/>
      </c>
    </row>
    <row r="3627">
      <c r="A3627" s="12" t="inlineStr">
        <is>
          <t>G-P-0194</t>
        </is>
      </c>
      <c r="B3627" s="12" t="inlineStr">
        <is>
          <t>G</t>
        </is>
      </c>
      <c r="C3627" s="12" t="inlineStr">
        <is>
          <t>Carbon capture</t>
        </is>
      </c>
      <c r="D3627" s="12" t="inlineStr">
        <is>
          <t>MOV 3: power</t>
        </is>
      </c>
      <c r="E3627" s="12" t="inlineStr"/>
      <c r="F3627" s="12" t="inlineStr">
        <is>
          <t>CCS MV switchgear building (VFDs)</t>
        </is>
      </c>
      <c r="G3627" s="12" t="inlineStr"/>
      <c r="H3627" s="12" t="inlineStr">
        <is>
          <t>RB-A: reboiler (LP steam from ST extraction)</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7" t="n">
        <v>50</v>
      </c>
      <c r="U3627" s="17" t="n">
        <v>37</v>
      </c>
      <c r="V3627" s="17">
        <f>ROUNDUP((T3627+U3627+2*'Read Me'!$B$13)*(1+'Read Me'!$B$12),-1)</f>
        <v/>
      </c>
      <c r="W3627" s="17">
        <f>V3627*N3627*O3627</f>
        <v/>
      </c>
      <c r="X3627" s="12">
        <f>IF(LEFT(I3627,2)="MV",2*N3627*IF(L3627="1/C",O3627,1),0)</f>
        <v/>
      </c>
      <c r="Y3627" s="12">
        <f>IF(OR(LEFT(K3627,4)="LVAX",LEFT(K3627,6)="MV15AX",LEFT(K3627,4)="CTAX",LEFT(K3627,2)="W|"),2*N3627*O3627,0)</f>
        <v/>
      </c>
      <c r="Z3627" s="12" t="inlineStr">
        <is>
          <t>VD 0.1 %</t>
        </is>
      </c>
      <c r="AA3627" s="12">
        <f>N3627*O3627</f>
        <v/>
      </c>
    </row>
    <row r="3628">
      <c r="A3628" s="12" t="inlineStr">
        <is>
          <t>G-P-0195</t>
        </is>
      </c>
      <c r="B3628" s="12" t="inlineStr">
        <is>
          <t>G</t>
        </is>
      </c>
      <c r="C3628" s="12" t="inlineStr">
        <is>
          <t>Carbon capture</t>
        </is>
      </c>
      <c r="D3628" s="12" t="inlineStr">
        <is>
          <t>MOV 4: power</t>
        </is>
      </c>
      <c r="E3628" s="12" t="inlineStr"/>
      <c r="F3628" s="12" t="inlineStr">
        <is>
          <t>CCS MV switchgear building (VFDs)</t>
        </is>
      </c>
      <c r="G3628" s="12" t="inlineStr"/>
      <c r="H3628" s="12" t="inlineStr">
        <is>
          <t>RB-A: reboiler (LP steam from ST extraction)</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7" t="n">
        <v>50</v>
      </c>
      <c r="U3628" s="17" t="n">
        <v>37</v>
      </c>
      <c r="V3628" s="17">
        <f>ROUNDUP((T3628+U3628+2*'Read Me'!$B$13)*(1+'Read Me'!$B$12),-1)</f>
        <v/>
      </c>
      <c r="W3628" s="17">
        <f>V3628*N3628*O3628</f>
        <v/>
      </c>
      <c r="X3628" s="12">
        <f>IF(LEFT(I3628,2)="MV",2*N3628*IF(L3628="1/C",O3628,1),0)</f>
        <v/>
      </c>
      <c r="Y3628" s="12">
        <f>IF(OR(LEFT(K3628,4)="LVAX",LEFT(K3628,6)="MV15AX",LEFT(K3628,4)="CTAX",LEFT(K3628,2)="W|"),2*N3628*O3628,0)</f>
        <v/>
      </c>
      <c r="Z3628" s="12" t="inlineStr">
        <is>
          <t>VD 0.1 %</t>
        </is>
      </c>
      <c r="AA3628" s="12">
        <f>N3628*O3628</f>
        <v/>
      </c>
    </row>
    <row r="3629">
      <c r="A3629" s="12" t="inlineStr">
        <is>
          <t>G-P-0196</t>
        </is>
      </c>
      <c r="B3629" s="12" t="inlineStr">
        <is>
          <t>G</t>
        </is>
      </c>
      <c r="C3629" s="12" t="inlineStr">
        <is>
          <t>Carbon capture</t>
        </is>
      </c>
      <c r="D3629" s="12" t="inlineStr">
        <is>
          <t>LV power feeder</t>
        </is>
      </c>
      <c r="E3629" s="12" t="inlineStr"/>
      <c r="F3629" s="12" t="inlineStr">
        <is>
          <t>CCS MV switchgear building (VFDs)</t>
        </is>
      </c>
      <c r="G3629" s="12" t="inlineStr"/>
      <c r="H3629" s="12" t="inlineStr">
        <is>
          <t>RB-A: reboiler (LP steam from ST extraction)</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10</v>
      </c>
      <c r="R3629" s="12" t="n">
        <v>14.2</v>
      </c>
      <c r="S3629" s="12" t="inlineStr">
        <is>
          <t>Duct bank</t>
        </is>
      </c>
      <c r="T3629" s="17" t="n">
        <v>50</v>
      </c>
      <c r="U3629" s="17" t="n">
        <v>37</v>
      </c>
      <c r="V3629" s="17">
        <f>ROUNDUP((T3629+U3629+2*'Read Me'!$B$13)*(1+'Read Me'!$B$12),-1)</f>
        <v/>
      </c>
      <c r="W3629" s="17">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G-P-0197</t>
        </is>
      </c>
      <c r="B3630" s="12" t="inlineStr">
        <is>
          <t>G</t>
        </is>
      </c>
      <c r="C3630" s="12" t="inlineStr">
        <is>
          <t>Carbon capture</t>
        </is>
      </c>
      <c r="D3630" s="12" t="inlineStr">
        <is>
          <t>MOV 1: power</t>
        </is>
      </c>
      <c r="E3630" s="12" t="inlineStr"/>
      <c r="F3630" s="12" t="inlineStr">
        <is>
          <t>CCS MV switchgear building (VFDs)</t>
        </is>
      </c>
      <c r="G3630" s="12" t="inlineStr"/>
      <c r="H3630" s="12" t="inlineStr">
        <is>
          <t>RB-B: reboiler (LP steam from ST extraction)</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7" t="n">
        <v>83</v>
      </c>
      <c r="U3630" s="17" t="n">
        <v>42</v>
      </c>
      <c r="V3630" s="17">
        <f>ROUNDUP((T3630+U3630+2*'Read Me'!$B$13)*(1+'Read Me'!$B$12),-1)</f>
        <v/>
      </c>
      <c r="W3630" s="17">
        <f>V3630*N3630*O3630</f>
        <v/>
      </c>
      <c r="X3630" s="12">
        <f>IF(LEFT(I3630,2)="MV",2*N3630*IF(L3630="1/C",O3630,1),0)</f>
        <v/>
      </c>
      <c r="Y3630" s="12">
        <f>IF(OR(LEFT(K3630,4)="LVAX",LEFT(K3630,6)="MV15AX",LEFT(K3630,4)="CTAX",LEFT(K3630,2)="W|"),2*N3630*O3630,0)</f>
        <v/>
      </c>
      <c r="Z3630" s="12" t="inlineStr">
        <is>
          <t>VD 0.2 %</t>
        </is>
      </c>
      <c r="AA3630" s="12">
        <f>N3630*O3630</f>
        <v/>
      </c>
    </row>
    <row r="3631">
      <c r="A3631" s="12" t="inlineStr">
        <is>
          <t>G-P-0198</t>
        </is>
      </c>
      <c r="B3631" s="12" t="inlineStr">
        <is>
          <t>G</t>
        </is>
      </c>
      <c r="C3631" s="12" t="inlineStr">
        <is>
          <t>Carbon capture</t>
        </is>
      </c>
      <c r="D3631" s="12" t="inlineStr">
        <is>
          <t>MOV 2: power</t>
        </is>
      </c>
      <c r="E3631" s="12" t="inlineStr"/>
      <c r="F3631" s="12" t="inlineStr">
        <is>
          <t>CCS MV switchgear building (VFDs)</t>
        </is>
      </c>
      <c r="G3631" s="12" t="inlineStr"/>
      <c r="H3631" s="12" t="inlineStr">
        <is>
          <t>RB-B: reboiler (LP steam from ST extraction)</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7" t="n">
        <v>83</v>
      </c>
      <c r="U3631" s="17" t="n">
        <v>42</v>
      </c>
      <c r="V3631" s="17">
        <f>ROUNDUP((T3631+U3631+2*'Read Me'!$B$13)*(1+'Read Me'!$B$12),-1)</f>
        <v/>
      </c>
      <c r="W3631" s="17">
        <f>V3631*N3631*O3631</f>
        <v/>
      </c>
      <c r="X3631" s="12">
        <f>IF(LEFT(I3631,2)="MV",2*N3631*IF(L3631="1/C",O3631,1),0)</f>
        <v/>
      </c>
      <c r="Y3631" s="12">
        <f>IF(OR(LEFT(K3631,4)="LVAX",LEFT(K3631,6)="MV15AX",LEFT(K3631,4)="CTAX",LEFT(K3631,2)="W|"),2*N3631*O3631,0)</f>
        <v/>
      </c>
      <c r="Z3631" s="12" t="inlineStr">
        <is>
          <t>VD 0.2 %</t>
        </is>
      </c>
      <c r="AA3631" s="12">
        <f>N3631*O3631</f>
        <v/>
      </c>
    </row>
    <row r="3632">
      <c r="A3632" s="12" t="inlineStr">
        <is>
          <t>G-P-0199</t>
        </is>
      </c>
      <c r="B3632" s="12" t="inlineStr">
        <is>
          <t>G</t>
        </is>
      </c>
      <c r="C3632" s="12" t="inlineStr">
        <is>
          <t>Carbon capture</t>
        </is>
      </c>
      <c r="D3632" s="12" t="inlineStr">
        <is>
          <t>MOV 3: power</t>
        </is>
      </c>
      <c r="E3632" s="12" t="inlineStr"/>
      <c r="F3632" s="12" t="inlineStr">
        <is>
          <t>CCS MV switchgear building (VFDs)</t>
        </is>
      </c>
      <c r="G3632" s="12" t="inlineStr"/>
      <c r="H3632" s="12" t="inlineStr">
        <is>
          <t>RB-B: reboiler (LP steam from ST extraction)</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2.5</v>
      </c>
      <c r="R3632" s="12" t="n">
        <v>3.5</v>
      </c>
      <c r="S3632" s="12" t="inlineStr">
        <is>
          <t>Duct bank</t>
        </is>
      </c>
      <c r="T3632" s="17" t="n">
        <v>83</v>
      </c>
      <c r="U3632" s="17" t="n">
        <v>42</v>
      </c>
      <c r="V3632" s="17">
        <f>ROUNDUP((T3632+U3632+2*'Read Me'!$B$13)*(1+'Read Me'!$B$12),-1)</f>
        <v/>
      </c>
      <c r="W3632" s="17">
        <f>V3632*N3632*O3632</f>
        <v/>
      </c>
      <c r="X3632" s="12">
        <f>IF(LEFT(I3632,2)="MV",2*N3632*IF(L3632="1/C",O3632,1),0)</f>
        <v/>
      </c>
      <c r="Y3632" s="12">
        <f>IF(OR(LEFT(K3632,4)="LVAX",LEFT(K3632,6)="MV15AX",LEFT(K3632,4)="CTAX",LEFT(K3632,2)="W|"),2*N3632*O3632,0)</f>
        <v/>
      </c>
      <c r="Z3632" s="12" t="inlineStr">
        <is>
          <t>VD 0.2 %</t>
        </is>
      </c>
      <c r="AA3632" s="12">
        <f>N3632*O3632</f>
        <v/>
      </c>
    </row>
    <row r="3633">
      <c r="A3633" s="12" t="inlineStr">
        <is>
          <t>G-P-0200</t>
        </is>
      </c>
      <c r="B3633" s="12" t="inlineStr">
        <is>
          <t>G</t>
        </is>
      </c>
      <c r="C3633" s="12" t="inlineStr">
        <is>
          <t>Carbon capture</t>
        </is>
      </c>
      <c r="D3633" s="12" t="inlineStr">
        <is>
          <t>MOV 4: power</t>
        </is>
      </c>
      <c r="E3633" s="12" t="inlineStr"/>
      <c r="F3633" s="12" t="inlineStr">
        <is>
          <t>CCS MV switchgear building (VFDs)</t>
        </is>
      </c>
      <c r="G3633" s="12" t="inlineStr"/>
      <c r="H3633" s="12" t="inlineStr">
        <is>
          <t>RB-B: reboiler (LP steam from ST extraction)</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7" t="n">
        <v>83</v>
      </c>
      <c r="U3633" s="17" t="n">
        <v>42</v>
      </c>
      <c r="V3633" s="17">
        <f>ROUNDUP((T3633+U3633+2*'Read Me'!$B$13)*(1+'Read Me'!$B$12),-1)</f>
        <v/>
      </c>
      <c r="W3633" s="17">
        <f>V3633*N3633*O3633</f>
        <v/>
      </c>
      <c r="X3633" s="12">
        <f>IF(LEFT(I3633,2)="MV",2*N3633*IF(L3633="1/C",O3633,1),0)</f>
        <v/>
      </c>
      <c r="Y3633" s="12">
        <f>IF(OR(LEFT(K3633,4)="LVAX",LEFT(K3633,6)="MV15AX",LEFT(K3633,4)="CTAX",LEFT(K3633,2)="W|"),2*N3633*O3633,0)</f>
        <v/>
      </c>
      <c r="Z3633" s="12" t="inlineStr">
        <is>
          <t>VD 0.2 %</t>
        </is>
      </c>
      <c r="AA3633" s="12">
        <f>N3633*O3633</f>
        <v/>
      </c>
    </row>
    <row r="3634">
      <c r="A3634" s="12" t="inlineStr">
        <is>
          <t>G-P-0201</t>
        </is>
      </c>
      <c r="B3634" s="12" t="inlineStr">
        <is>
          <t>G</t>
        </is>
      </c>
      <c r="C3634" s="12" t="inlineStr">
        <is>
          <t>Carbon capture</t>
        </is>
      </c>
      <c r="D3634" s="12" t="inlineStr">
        <is>
          <t>LV power feeder</t>
        </is>
      </c>
      <c r="E3634" s="12" t="inlineStr"/>
      <c r="F3634" s="12" t="inlineStr">
        <is>
          <t>CCS MV switchgear building (VFDs)</t>
        </is>
      </c>
      <c r="G3634" s="12" t="inlineStr"/>
      <c r="H3634" s="12" t="inlineStr">
        <is>
          <t>RB-B: reboiler (LP steam from ST extraction)</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10</v>
      </c>
      <c r="R3634" s="12" t="n">
        <v>14.2</v>
      </c>
      <c r="S3634" s="12" t="inlineStr">
        <is>
          <t>Duct bank</t>
        </is>
      </c>
      <c r="T3634" s="17" t="n">
        <v>83</v>
      </c>
      <c r="U3634" s="17" t="n">
        <v>42</v>
      </c>
      <c r="V3634" s="17">
        <f>ROUNDUP((T3634+U3634+2*'Read Me'!$B$13)*(1+'Read Me'!$B$12),-1)</f>
        <v/>
      </c>
      <c r="W3634" s="17">
        <f>V3634*N3634*O3634</f>
        <v/>
      </c>
      <c r="X3634" s="12">
        <f>IF(LEFT(I3634,2)="MV",2*N3634*IF(L3634="1/C",O3634,1),0)</f>
        <v/>
      </c>
      <c r="Y3634" s="12">
        <f>IF(OR(LEFT(K3634,4)="LVAX",LEFT(K3634,6)="MV15AX",LEFT(K3634,4)="CTAX",LEFT(K3634,2)="W|"),2*N3634*O3634,0)</f>
        <v/>
      </c>
      <c r="Z3634" s="12" t="inlineStr">
        <is>
          <t>VD 0.8 %</t>
        </is>
      </c>
      <c r="AA3634" s="12">
        <f>N3634*O3634</f>
        <v/>
      </c>
    </row>
    <row r="3635">
      <c r="A3635" s="12" t="inlineStr">
        <is>
          <t>G-P-0202</t>
        </is>
      </c>
      <c r="B3635" s="12" t="inlineStr">
        <is>
          <t>G</t>
        </is>
      </c>
      <c r="C3635" s="12" t="inlineStr">
        <is>
          <t>Carbon capture</t>
        </is>
      </c>
      <c r="D3635" s="12" t="inlineStr">
        <is>
          <t>MOV 1: power</t>
        </is>
      </c>
      <c r="E3635" s="12" t="inlineStr"/>
      <c r="F3635" s="12" t="inlineStr">
        <is>
          <t>CCS MV switchgear building (VFDs)</t>
        </is>
      </c>
      <c r="G3635" s="12" t="inlineStr"/>
      <c r="H3635" s="12" t="inlineStr">
        <is>
          <t>RB-C: reboiler (LP steam from ST extraction)</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7" t="n">
        <v>45</v>
      </c>
      <c r="U3635" s="17" t="n">
        <v>47</v>
      </c>
      <c r="V3635" s="17">
        <f>ROUNDUP((T3635+U3635+2*'Read Me'!$B$13)*(1+'Read Me'!$B$12),-1)</f>
        <v/>
      </c>
      <c r="W3635" s="17">
        <f>V3635*N3635*O3635</f>
        <v/>
      </c>
      <c r="X3635" s="12">
        <f>IF(LEFT(I3635,2)="MV",2*N3635*IF(L3635="1/C",O3635,1),0)</f>
        <v/>
      </c>
      <c r="Y3635" s="12">
        <f>IF(OR(LEFT(K3635,4)="LVAX",LEFT(K3635,6)="MV15AX",LEFT(K3635,4)="CTAX",LEFT(K3635,2)="W|"),2*N3635*O3635,0)</f>
        <v/>
      </c>
      <c r="Z3635" s="12" t="inlineStr">
        <is>
          <t>VD 0.2 %</t>
        </is>
      </c>
      <c r="AA3635" s="12">
        <f>N3635*O3635</f>
        <v/>
      </c>
    </row>
    <row r="3636">
      <c r="A3636" s="12" t="inlineStr">
        <is>
          <t>G-P-0203</t>
        </is>
      </c>
      <c r="B3636" s="12" t="inlineStr">
        <is>
          <t>G</t>
        </is>
      </c>
      <c r="C3636" s="12" t="inlineStr">
        <is>
          <t>Carbon capture</t>
        </is>
      </c>
      <c r="D3636" s="12" t="inlineStr">
        <is>
          <t>MOV 2: power</t>
        </is>
      </c>
      <c r="E3636" s="12" t="inlineStr"/>
      <c r="F3636" s="12" t="inlineStr">
        <is>
          <t>CCS MV switchgear building (VFDs)</t>
        </is>
      </c>
      <c r="G3636" s="12" t="inlineStr"/>
      <c r="H3636" s="12" t="inlineStr">
        <is>
          <t>RB-C: reboiler (LP steam from ST extraction)</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7" t="n">
        <v>45</v>
      </c>
      <c r="U3636" s="17" t="n">
        <v>47</v>
      </c>
      <c r="V3636" s="17">
        <f>ROUNDUP((T3636+U3636+2*'Read Me'!$B$13)*(1+'Read Me'!$B$12),-1)</f>
        <v/>
      </c>
      <c r="W3636" s="17">
        <f>V3636*N3636*O3636</f>
        <v/>
      </c>
      <c r="X3636" s="12">
        <f>IF(LEFT(I3636,2)="MV",2*N3636*IF(L3636="1/C",O3636,1),0)</f>
        <v/>
      </c>
      <c r="Y3636" s="12">
        <f>IF(OR(LEFT(K3636,4)="LVAX",LEFT(K3636,6)="MV15AX",LEFT(K3636,4)="CTAX",LEFT(K3636,2)="W|"),2*N3636*O3636,0)</f>
        <v/>
      </c>
      <c r="Z3636" s="12" t="inlineStr">
        <is>
          <t>VD 0.2 %</t>
        </is>
      </c>
      <c r="AA3636" s="12">
        <f>N3636*O3636</f>
        <v/>
      </c>
    </row>
    <row r="3637">
      <c r="A3637" s="12" t="inlineStr">
        <is>
          <t>G-P-0204</t>
        </is>
      </c>
      <c r="B3637" s="12" t="inlineStr">
        <is>
          <t>G</t>
        </is>
      </c>
      <c r="C3637" s="12" t="inlineStr">
        <is>
          <t>Carbon capture</t>
        </is>
      </c>
      <c r="D3637" s="12" t="inlineStr">
        <is>
          <t>MOV 3: power</t>
        </is>
      </c>
      <c r="E3637" s="12" t="inlineStr"/>
      <c r="F3637" s="12" t="inlineStr">
        <is>
          <t>CCS MV switchgear building (VFDs)</t>
        </is>
      </c>
      <c r="G3637" s="12" t="inlineStr"/>
      <c r="H3637" s="12" t="inlineStr">
        <is>
          <t>RB-C: reboiler (LP steam from ST extraction)</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7" t="n">
        <v>45</v>
      </c>
      <c r="U3637" s="17" t="n">
        <v>47</v>
      </c>
      <c r="V3637" s="17">
        <f>ROUNDUP((T3637+U3637+2*'Read Me'!$B$13)*(1+'Read Me'!$B$12),-1)</f>
        <v/>
      </c>
      <c r="W3637" s="17">
        <f>V3637*N3637*O3637</f>
        <v/>
      </c>
      <c r="X3637" s="12">
        <f>IF(LEFT(I3637,2)="MV",2*N3637*IF(L3637="1/C",O3637,1),0)</f>
        <v/>
      </c>
      <c r="Y3637" s="12">
        <f>IF(OR(LEFT(K3637,4)="LVAX",LEFT(K3637,6)="MV15AX",LEFT(K3637,4)="CTAX",LEFT(K3637,2)="W|"),2*N3637*O3637,0)</f>
        <v/>
      </c>
      <c r="Z3637" s="12" t="inlineStr">
        <is>
          <t>VD 0.2 %</t>
        </is>
      </c>
      <c r="AA3637" s="12">
        <f>N3637*O3637</f>
        <v/>
      </c>
    </row>
    <row r="3638">
      <c r="A3638" s="12" t="inlineStr">
        <is>
          <t>G-P-0205</t>
        </is>
      </c>
      <c r="B3638" s="12" t="inlineStr">
        <is>
          <t>G</t>
        </is>
      </c>
      <c r="C3638" s="12" t="inlineStr">
        <is>
          <t>Carbon capture</t>
        </is>
      </c>
      <c r="D3638" s="12" t="inlineStr">
        <is>
          <t>MOV 4: power</t>
        </is>
      </c>
      <c r="E3638" s="12" t="inlineStr"/>
      <c r="F3638" s="12" t="inlineStr">
        <is>
          <t>CCS MV switchgear building (VFDs)</t>
        </is>
      </c>
      <c r="G3638" s="12" t="inlineStr"/>
      <c r="H3638" s="12" t="inlineStr">
        <is>
          <t>RB-C: reboiler (LP steam from ST extraction)</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7" t="n">
        <v>45</v>
      </c>
      <c r="U3638" s="17" t="n">
        <v>47</v>
      </c>
      <c r="V3638" s="17">
        <f>ROUNDUP((T3638+U3638+2*'Read Me'!$B$13)*(1+'Read Me'!$B$12),-1)</f>
        <v/>
      </c>
      <c r="W3638" s="17">
        <f>V3638*N3638*O3638</f>
        <v/>
      </c>
      <c r="X3638" s="12">
        <f>IF(LEFT(I3638,2)="MV",2*N3638*IF(L3638="1/C",O3638,1),0)</f>
        <v/>
      </c>
      <c r="Y3638" s="12">
        <f>IF(OR(LEFT(K3638,4)="LVAX",LEFT(K3638,6)="MV15AX",LEFT(K3638,4)="CTAX",LEFT(K3638,2)="W|"),2*N3638*O3638,0)</f>
        <v/>
      </c>
      <c r="Z3638" s="12" t="inlineStr">
        <is>
          <t>VD 0.2 %</t>
        </is>
      </c>
      <c r="AA3638" s="12">
        <f>N3638*O3638</f>
        <v/>
      </c>
    </row>
    <row r="3639">
      <c r="A3639" s="12" t="inlineStr">
        <is>
          <t>G-P-0206</t>
        </is>
      </c>
      <c r="B3639" s="12" t="inlineStr">
        <is>
          <t>G</t>
        </is>
      </c>
      <c r="C3639" s="12" t="inlineStr">
        <is>
          <t>Carbon capture</t>
        </is>
      </c>
      <c r="D3639" s="12" t="inlineStr">
        <is>
          <t>LV power feeder</t>
        </is>
      </c>
      <c r="E3639" s="12" t="inlineStr"/>
      <c r="F3639" s="12" t="inlineStr">
        <is>
          <t>CCS MV switchgear building (VFDs)</t>
        </is>
      </c>
      <c r="G3639" s="12" t="inlineStr"/>
      <c r="H3639" s="12" t="inlineStr">
        <is>
          <t>RB-C: reboiler (LP steam from ST extraction)</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10</v>
      </c>
      <c r="R3639" s="12" t="n">
        <v>14.2</v>
      </c>
      <c r="S3639" s="12" t="inlineStr">
        <is>
          <t>Duct bank</t>
        </is>
      </c>
      <c r="T3639" s="17" t="n">
        <v>45</v>
      </c>
      <c r="U3639" s="17" t="n">
        <v>47</v>
      </c>
      <c r="V3639" s="17">
        <f>ROUNDUP((T3639+U3639+2*'Read Me'!$B$13)*(1+'Read Me'!$B$12),-1)</f>
        <v/>
      </c>
      <c r="W3639" s="17">
        <f>V3639*N3639*O3639</f>
        <v/>
      </c>
      <c r="X3639" s="12">
        <f>IF(LEFT(I3639,2)="MV",2*N3639*IF(L3639="1/C",O3639,1),0)</f>
        <v/>
      </c>
      <c r="Y3639" s="12">
        <f>IF(OR(LEFT(K3639,4)="LVAX",LEFT(K3639,6)="MV15AX",LEFT(K3639,4)="CTAX",LEFT(K3639,2)="W|"),2*N3639*O3639,0)</f>
        <v/>
      </c>
      <c r="Z3639" s="12" t="inlineStr">
        <is>
          <t>VD 0.6 %</t>
        </is>
      </c>
      <c r="AA3639" s="12">
        <f>N3639*O3639</f>
        <v/>
      </c>
    </row>
    <row r="3640">
      <c r="A3640" s="12" t="inlineStr">
        <is>
          <t>G-P-0207</t>
        </is>
      </c>
      <c r="B3640" s="12" t="inlineStr">
        <is>
          <t>G</t>
        </is>
      </c>
      <c r="C3640" s="12" t="inlineStr">
        <is>
          <t>Carbon capture</t>
        </is>
      </c>
      <c r="D3640" s="12" t="inlineStr">
        <is>
          <t>Motor 1 of 2, 15 kW</t>
        </is>
      </c>
      <c r="E3640" s="12" t="inlineStr"/>
      <c r="F3640" s="12" t="inlineStr">
        <is>
          <t>CCS MV switchgear building (VFDs)</t>
        </is>
      </c>
      <c r="G3640" s="12" t="inlineStr"/>
      <c r="H3640" s="12" t="inlineStr">
        <is>
          <t>Reclaimer (thermal, intermittent)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15</v>
      </c>
      <c r="R3640" s="12" t="n">
        <v>21.2</v>
      </c>
      <c r="S3640" s="12" t="inlineStr">
        <is>
          <t>Duct bank</t>
        </is>
      </c>
      <c r="T3640" s="17" t="n">
        <v>45</v>
      </c>
      <c r="U3640" s="17" t="n">
        <v>57</v>
      </c>
      <c r="V3640" s="17">
        <f>ROUNDUP((T3640+U3640+2*'Read Me'!$B$13)*(1+'Read Me'!$B$12),-1)</f>
        <v/>
      </c>
      <c r="W3640" s="17">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G-P-0208</t>
        </is>
      </c>
      <c r="B3641" s="12" t="inlineStr">
        <is>
          <t>G</t>
        </is>
      </c>
      <c r="C3641" s="12" t="inlineStr">
        <is>
          <t>Carbon capture</t>
        </is>
      </c>
      <c r="D3641" s="12" t="inlineStr">
        <is>
          <t>Motor 2 of 2, 15 kW</t>
        </is>
      </c>
      <c r="E3641" s="12" t="inlineStr"/>
      <c r="F3641" s="12" t="inlineStr">
        <is>
          <t>CCS MV switchgear building (VFDs)</t>
        </is>
      </c>
      <c r="G3641" s="12" t="inlineStr"/>
      <c r="H3641" s="12" t="inlineStr">
        <is>
          <t>Reclaimer (thermal, intermittent)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15</v>
      </c>
      <c r="R3641" s="12" t="n">
        <v>21.2</v>
      </c>
      <c r="S3641" s="12" t="inlineStr">
        <is>
          <t>Duct bank</t>
        </is>
      </c>
      <c r="T3641" s="17" t="n">
        <v>45</v>
      </c>
      <c r="U3641" s="17" t="n">
        <v>57</v>
      </c>
      <c r="V3641" s="17">
        <f>ROUNDUP((T3641+U3641+2*'Read Me'!$B$13)*(1+'Read Me'!$B$12),-1)</f>
        <v/>
      </c>
      <c r="W3641" s="17">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G-P-0209</t>
        </is>
      </c>
      <c r="B3642" s="12" t="inlineStr">
        <is>
          <t>G</t>
        </is>
      </c>
      <c r="C3642" s="12" t="inlineStr">
        <is>
          <t>Carbon capture</t>
        </is>
      </c>
      <c r="D3642" s="12" t="inlineStr">
        <is>
          <t>MOV 1: power</t>
        </is>
      </c>
      <c r="E3642" s="12" t="inlineStr"/>
      <c r="F3642" s="12" t="inlineStr">
        <is>
          <t>CCS MV switchgear building (VFDs)</t>
        </is>
      </c>
      <c r="G3642" s="12" t="inlineStr">
        <is>
          <t>STR-A</t>
        </is>
      </c>
      <c r="H3642" s="12" t="inlineStr">
        <is>
          <t>STR-A: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146</v>
      </c>
      <c r="U3642" s="17" t="n">
        <v>36</v>
      </c>
      <c r="V3642" s="17">
        <f>ROUNDUP((T3642+U3642+2*'Read Me'!$B$13)*(1+'Read Me'!$B$12),-1)</f>
        <v/>
      </c>
      <c r="W3642" s="17">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G-P-0210</t>
        </is>
      </c>
      <c r="B3643" s="12" t="inlineStr">
        <is>
          <t>G</t>
        </is>
      </c>
      <c r="C3643" s="12" t="inlineStr">
        <is>
          <t>Carbon capture</t>
        </is>
      </c>
      <c r="D3643" s="12" t="inlineStr">
        <is>
          <t>MOV 2: power</t>
        </is>
      </c>
      <c r="E3643" s="12" t="inlineStr"/>
      <c r="F3643" s="12" t="inlineStr">
        <is>
          <t>CCS MV switchgear building (VFDs)</t>
        </is>
      </c>
      <c r="G3643" s="12" t="inlineStr">
        <is>
          <t>STR-A</t>
        </is>
      </c>
      <c r="H3643" s="12" t="inlineStr">
        <is>
          <t>STR-A: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146</v>
      </c>
      <c r="U3643" s="17" t="n">
        <v>36</v>
      </c>
      <c r="V3643" s="17">
        <f>ROUNDUP((T3643+U3643+2*'Read Me'!$B$13)*(1+'Read Me'!$B$12),-1)</f>
        <v/>
      </c>
      <c r="W3643" s="17">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G-P-0211</t>
        </is>
      </c>
      <c r="B3644" s="12" t="inlineStr">
        <is>
          <t>G</t>
        </is>
      </c>
      <c r="C3644" s="12" t="inlineStr">
        <is>
          <t>Carbon capture</t>
        </is>
      </c>
      <c r="D3644" s="12" t="inlineStr">
        <is>
          <t>MOV 3: power</t>
        </is>
      </c>
      <c r="E3644" s="12" t="inlineStr"/>
      <c r="F3644" s="12" t="inlineStr">
        <is>
          <t>CCS MV switchgear building (VFDs)</t>
        </is>
      </c>
      <c r="G3644" s="12" t="inlineStr">
        <is>
          <t>STR-A</t>
        </is>
      </c>
      <c r="H3644" s="12" t="inlineStr">
        <is>
          <t>STR-A: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146</v>
      </c>
      <c r="U3644" s="17" t="n">
        <v>36</v>
      </c>
      <c r="V3644" s="17">
        <f>ROUNDUP((T3644+U3644+2*'Read Me'!$B$13)*(1+'Read Me'!$B$12),-1)</f>
        <v/>
      </c>
      <c r="W3644" s="17">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G-P-0212</t>
        </is>
      </c>
      <c r="B3645" s="12" t="inlineStr">
        <is>
          <t>G</t>
        </is>
      </c>
      <c r="C3645" s="12" t="inlineStr">
        <is>
          <t>Carbon capture</t>
        </is>
      </c>
      <c r="D3645" s="12" t="inlineStr">
        <is>
          <t>MOV 4: power</t>
        </is>
      </c>
      <c r="E3645" s="12" t="inlineStr"/>
      <c r="F3645" s="12" t="inlineStr">
        <is>
          <t>CCS MV switchgear building (VFDs)</t>
        </is>
      </c>
      <c r="G3645" s="12" t="inlineStr">
        <is>
          <t>STR-A</t>
        </is>
      </c>
      <c r="H3645" s="12" t="inlineStr">
        <is>
          <t>STR-A: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146</v>
      </c>
      <c r="U3645" s="17" t="n">
        <v>36</v>
      </c>
      <c r="V3645" s="17">
        <f>ROUNDUP((T3645+U3645+2*'Read Me'!$B$13)*(1+'Read Me'!$B$12),-1)</f>
        <v/>
      </c>
      <c r="W3645" s="17">
        <f>V3645*N3645*O3645</f>
        <v/>
      </c>
      <c r="X3645" s="12">
        <f>IF(LEFT(I3645,2)="MV",2*N3645*IF(L3645="1/C",O3645,1),0)</f>
        <v/>
      </c>
      <c r="Y3645" s="12">
        <f>IF(OR(LEFT(K3645,4)="LVAX",LEFT(K3645,6)="MV15AX",LEFT(K3645,4)="CTAX",LEFT(K3645,2)="W|"),2*N3645*O3645,0)</f>
        <v/>
      </c>
      <c r="Z3645" s="12" t="inlineStr">
        <is>
          <t>VD 0.3 %</t>
        </is>
      </c>
      <c r="AA3645" s="12">
        <f>N3645*O3645</f>
        <v/>
      </c>
    </row>
    <row r="3646">
      <c r="A3646" s="12" t="inlineStr">
        <is>
          <t>G-P-0213</t>
        </is>
      </c>
      <c r="B3646" s="12" t="inlineStr">
        <is>
          <t>G</t>
        </is>
      </c>
      <c r="C3646" s="12" t="inlineStr">
        <is>
          <t>Carbon capture</t>
        </is>
      </c>
      <c r="D3646" s="12" t="inlineStr">
        <is>
          <t>MOV 5: power</t>
        </is>
      </c>
      <c r="E3646" s="12" t="inlineStr"/>
      <c r="F3646" s="12" t="inlineStr">
        <is>
          <t>CCS MV switchgear building (VFDs)</t>
        </is>
      </c>
      <c r="G3646" s="12" t="inlineStr">
        <is>
          <t>STR-A</t>
        </is>
      </c>
      <c r="H3646" s="12" t="inlineStr">
        <is>
          <t>STR-A: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7" t="n">
        <v>146</v>
      </c>
      <c r="U3646" s="17" t="n">
        <v>36</v>
      </c>
      <c r="V3646" s="17">
        <f>ROUNDUP((T3646+U3646+2*'Read Me'!$B$13)*(1+'Read Me'!$B$12),-1)</f>
        <v/>
      </c>
      <c r="W3646" s="17">
        <f>V3646*N3646*O3646</f>
        <v/>
      </c>
      <c r="X3646" s="12">
        <f>IF(LEFT(I3646,2)="MV",2*N3646*IF(L3646="1/C",O3646,1),0)</f>
        <v/>
      </c>
      <c r="Y3646" s="12">
        <f>IF(OR(LEFT(K3646,4)="LVAX",LEFT(K3646,6)="MV15AX",LEFT(K3646,4)="CTAX",LEFT(K3646,2)="W|"),2*N3646*O3646,0)</f>
        <v/>
      </c>
      <c r="Z3646" s="12" t="inlineStr">
        <is>
          <t>VD 0.3 %</t>
        </is>
      </c>
      <c r="AA3646" s="12">
        <f>N3646*O3646</f>
        <v/>
      </c>
    </row>
    <row r="3647">
      <c r="A3647" s="12" t="inlineStr">
        <is>
          <t>G-P-0214</t>
        </is>
      </c>
      <c r="B3647" s="12" t="inlineStr">
        <is>
          <t>G</t>
        </is>
      </c>
      <c r="C3647" s="12" t="inlineStr">
        <is>
          <t>Carbon capture</t>
        </is>
      </c>
      <c r="D3647" s="12" t="inlineStr">
        <is>
          <t>MOV 6: power</t>
        </is>
      </c>
      <c r="E3647" s="12" t="inlineStr"/>
      <c r="F3647" s="12" t="inlineStr">
        <is>
          <t>CCS MV switchgear building (VFDs)</t>
        </is>
      </c>
      <c r="G3647" s="12" t="inlineStr">
        <is>
          <t>STR-A</t>
        </is>
      </c>
      <c r="H3647" s="12" t="inlineStr">
        <is>
          <t>STR-A: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146</v>
      </c>
      <c r="U3647" s="17" t="n">
        <v>36</v>
      </c>
      <c r="V3647" s="17">
        <f>ROUNDUP((T3647+U3647+2*'Read Me'!$B$13)*(1+'Read Me'!$B$12),-1)</f>
        <v/>
      </c>
      <c r="W3647" s="17">
        <f>V3647*N3647*O3647</f>
        <v/>
      </c>
      <c r="X3647" s="12">
        <f>IF(LEFT(I3647,2)="MV",2*N3647*IF(L3647="1/C",O3647,1),0)</f>
        <v/>
      </c>
      <c r="Y3647" s="12">
        <f>IF(OR(LEFT(K3647,4)="LVAX",LEFT(K3647,6)="MV15AX",LEFT(K3647,4)="CTAX",LEFT(K3647,2)="W|"),2*N3647*O3647,0)</f>
        <v/>
      </c>
      <c r="Z3647" s="12" t="inlineStr">
        <is>
          <t>VD 0.3 %</t>
        </is>
      </c>
      <c r="AA3647" s="12">
        <f>N3647*O3647</f>
        <v/>
      </c>
    </row>
    <row r="3648">
      <c r="A3648" s="12" t="inlineStr">
        <is>
          <t>G-P-0215</t>
        </is>
      </c>
      <c r="B3648" s="12" t="inlineStr">
        <is>
          <t>G</t>
        </is>
      </c>
      <c r="C3648" s="12" t="inlineStr">
        <is>
          <t>Carbon capture</t>
        </is>
      </c>
      <c r="D3648" s="12" t="inlineStr">
        <is>
          <t>LV power feeder</t>
        </is>
      </c>
      <c r="E3648" s="12" t="inlineStr"/>
      <c r="F3648" s="12" t="inlineStr">
        <is>
          <t>CCS MV switchgear building (VFDs)</t>
        </is>
      </c>
      <c r="G3648" s="12" t="inlineStr">
        <is>
          <t>STR-A</t>
        </is>
      </c>
      <c r="H3648" s="12" t="inlineStr">
        <is>
          <t>STR-A: stripper / regenerator (45 ft dia x 207 ft)</t>
        </is>
      </c>
      <c r="I3648" s="12" t="inlineStr">
        <is>
          <t>LV 600 V</t>
        </is>
      </c>
      <c r="J3648" s="12" t="inlineStr">
        <is>
          <t>Type TC-ER 600 V 3/C Cu XHHW-2 + ground, PVC jacket</t>
        </is>
      </c>
      <c r="K3648" s="12" t="inlineStr">
        <is>
          <t>LV|3/C+G|6</t>
        </is>
      </c>
      <c r="L3648" s="12" t="inlineStr">
        <is>
          <t>3/C+G</t>
        </is>
      </c>
      <c r="M3648" s="12" t="inlineStr">
        <is>
          <t>6</t>
        </is>
      </c>
      <c r="N3648" s="12" t="n">
        <v>1</v>
      </c>
      <c r="O3648" s="12" t="n">
        <v>1</v>
      </c>
      <c r="P3648" s="12" t="n">
        <v>480</v>
      </c>
      <c r="Q3648" s="12" t="n">
        <v>30</v>
      </c>
      <c r="R3648" s="12" t="n">
        <v>42.5</v>
      </c>
      <c r="S3648" s="12" t="inlineStr">
        <is>
          <t>Duct bank</t>
        </is>
      </c>
      <c r="T3648" s="17" t="n">
        <v>146</v>
      </c>
      <c r="U3648" s="17" t="n">
        <v>36</v>
      </c>
      <c r="V3648" s="17">
        <f>ROUNDUP((T3648+U3648+2*'Read Me'!$B$13)*(1+'Read Me'!$B$12),-1)</f>
        <v/>
      </c>
      <c r="W3648" s="17">
        <f>V3648*N3648*O3648</f>
        <v/>
      </c>
      <c r="X3648" s="12">
        <f>IF(LEFT(I3648,2)="MV",2*N3648*IF(L3648="1/C",O3648,1),0)</f>
        <v/>
      </c>
      <c r="Y3648" s="12">
        <f>IF(OR(LEFT(K3648,4)="LVAX",LEFT(K3648,6)="MV15AX",LEFT(K3648,4)="CTAX",LEFT(K3648,2)="W|"),2*N3648*O3648,0)</f>
        <v/>
      </c>
      <c r="Z3648" s="12" t="inlineStr">
        <is>
          <t>VD 1.5 %</t>
        </is>
      </c>
      <c r="AA3648" s="12">
        <f>N3648*O3648</f>
        <v/>
      </c>
    </row>
    <row r="3649">
      <c r="A3649" s="12" t="inlineStr">
        <is>
          <t>G-P-0216</t>
        </is>
      </c>
      <c r="B3649" s="12" t="inlineStr">
        <is>
          <t>G</t>
        </is>
      </c>
      <c r="C3649" s="12" t="inlineStr">
        <is>
          <t>Carbon capture</t>
        </is>
      </c>
      <c r="D3649" s="12" t="inlineStr">
        <is>
          <t>Area / platform lighting circuit 1 (12 fixtures)</t>
        </is>
      </c>
      <c r="E3649" s="12" t="inlineStr"/>
      <c r="F3649" s="12" t="inlineStr">
        <is>
          <t>CCS MV switchgear building (VFDs)</t>
        </is>
      </c>
      <c r="G3649" s="12" t="inlineStr">
        <is>
          <t>STR-A</t>
        </is>
      </c>
      <c r="H3649" s="12" t="inlineStr">
        <is>
          <t>STR-A: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Duct bank</t>
        </is>
      </c>
      <c r="T3649" s="17" t="n">
        <v>446</v>
      </c>
      <c r="U3649" s="17" t="n">
        <v>36</v>
      </c>
      <c r="V3649" s="17">
        <f>ROUNDUP((T3649+U3649+2*'Read Me'!$B$13)*(1+'Read Me'!$B$12),-1)</f>
        <v/>
      </c>
      <c r="W3649" s="17">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G-P-0217</t>
        </is>
      </c>
      <c r="B3650" s="12" t="inlineStr">
        <is>
          <t>G</t>
        </is>
      </c>
      <c r="C3650" s="12" t="inlineStr">
        <is>
          <t>Carbon capture</t>
        </is>
      </c>
      <c r="D3650" s="12" t="inlineStr">
        <is>
          <t>Area / platform lighting circuit 2 (8 fixtures)</t>
        </is>
      </c>
      <c r="E3650" s="12" t="inlineStr"/>
      <c r="F3650" s="12" t="inlineStr">
        <is>
          <t>CCS MV switchgear building (VFDs)</t>
        </is>
      </c>
      <c r="G3650" s="12" t="inlineStr">
        <is>
          <t>STR-A</t>
        </is>
      </c>
      <c r="H3650" s="12" t="inlineStr">
        <is>
          <t>STR-A: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Duct bank</t>
        </is>
      </c>
      <c r="T3650" s="17" t="n">
        <v>446</v>
      </c>
      <c r="U3650" s="17" t="n">
        <v>36</v>
      </c>
      <c r="V3650" s="17">
        <f>ROUNDUP((T3650+U3650+2*'Read Me'!$B$13)*(1+'Read Me'!$B$12),-1)</f>
        <v/>
      </c>
      <c r="W3650" s="17">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G-P-0218</t>
        </is>
      </c>
      <c r="B3651" s="12" t="inlineStr">
        <is>
          <t>G</t>
        </is>
      </c>
      <c r="C3651" s="12" t="inlineStr">
        <is>
          <t>Carbon capture</t>
        </is>
      </c>
      <c r="D3651" s="12" t="inlineStr">
        <is>
          <t>480 V welding receptacle 1</t>
        </is>
      </c>
      <c r="E3651" s="12" t="inlineStr"/>
      <c r="F3651" s="12" t="inlineStr">
        <is>
          <t>CCS MV switchgear building (VFDs)</t>
        </is>
      </c>
      <c r="G3651" s="12" t="inlineStr">
        <is>
          <t>STR-A</t>
        </is>
      </c>
      <c r="H3651" s="12" t="inlineStr">
        <is>
          <t>STR-A: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7" t="n">
        <v>146</v>
      </c>
      <c r="U3651" s="17" t="n">
        <v>36</v>
      </c>
      <c r="V3651" s="17">
        <f>ROUNDUP((T3651+U3651+2*'Read Me'!$B$13)*(1+'Read Me'!$B$12),-1)</f>
        <v/>
      </c>
      <c r="W3651" s="17">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G-P-0219</t>
        </is>
      </c>
      <c r="B3652" s="12" t="inlineStr">
        <is>
          <t>G</t>
        </is>
      </c>
      <c r="C3652" s="12" t="inlineStr">
        <is>
          <t>Carbon capture</t>
        </is>
      </c>
      <c r="D3652" s="12" t="inlineStr">
        <is>
          <t>480 V welding receptacle 2</t>
        </is>
      </c>
      <c r="E3652" s="12" t="inlineStr"/>
      <c r="F3652" s="12" t="inlineStr">
        <is>
          <t>CCS MV switchgear building (VFDs)</t>
        </is>
      </c>
      <c r="G3652" s="12" t="inlineStr">
        <is>
          <t>STR-A</t>
        </is>
      </c>
      <c r="H3652" s="12" t="inlineStr">
        <is>
          <t>STR-A: stripper / regenerator (45 ft dia x 207 ft)</t>
        </is>
      </c>
      <c r="I3652" s="12" t="inlineStr">
        <is>
          <t>LV 600 V</t>
        </is>
      </c>
      <c r="J3652" s="12" t="inlineStr">
        <is>
          <t>Type TC-ER 600 V 3/C Cu XHHW-2 + ground, PVC jacket</t>
        </is>
      </c>
      <c r="K3652" s="12" t="inlineStr">
        <is>
          <t>LV|3/C+G|2</t>
        </is>
      </c>
      <c r="L3652" s="12" t="inlineStr">
        <is>
          <t>3/C+G</t>
        </is>
      </c>
      <c r="M3652" s="12" t="inlineStr">
        <is>
          <t>2</t>
        </is>
      </c>
      <c r="N3652" s="12" t="n">
        <v>1</v>
      </c>
      <c r="O3652" s="12" t="n">
        <v>1</v>
      </c>
      <c r="P3652" s="12" t="n">
        <v>480</v>
      </c>
      <c r="Q3652" s="12" t="n">
        <v>60</v>
      </c>
      <c r="R3652" s="12" t="n">
        <v>76</v>
      </c>
      <c r="S3652" s="12" t="inlineStr">
        <is>
          <t>Duct bank</t>
        </is>
      </c>
      <c r="T3652" s="17" t="n">
        <v>146</v>
      </c>
      <c r="U3652" s="17" t="n">
        <v>36</v>
      </c>
      <c r="V3652" s="17">
        <f>ROUNDUP((T3652+U3652+2*'Read Me'!$B$13)*(1+'Read Me'!$B$12),-1)</f>
        <v/>
      </c>
      <c r="W3652" s="17">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G-P-0220</t>
        </is>
      </c>
      <c r="B3653" s="12" t="inlineStr">
        <is>
          <t>G</t>
        </is>
      </c>
      <c r="C3653" s="12" t="inlineStr">
        <is>
          <t>Carbon capture</t>
        </is>
      </c>
      <c r="D3653" s="12" t="inlineStr">
        <is>
          <t>480 V welding receptacle 3</t>
        </is>
      </c>
      <c r="E3653" s="12" t="inlineStr"/>
      <c r="F3653" s="12" t="inlineStr">
        <is>
          <t>CCS MV switchgear building (VFDs)</t>
        </is>
      </c>
      <c r="G3653" s="12" t="inlineStr">
        <is>
          <t>STR-A</t>
        </is>
      </c>
      <c r="H3653" s="12" t="inlineStr">
        <is>
          <t>STR-A: stripper / regenerator (45 ft dia x 207 ft)</t>
        </is>
      </c>
      <c r="I3653" s="12" t="inlineStr">
        <is>
          <t>LV 600 V</t>
        </is>
      </c>
      <c r="J3653" s="12" t="inlineStr">
        <is>
          <t>Type TC-ER 600 V 3/C Cu XHHW-2 + ground, PVC jacket</t>
        </is>
      </c>
      <c r="K3653" s="12" t="inlineStr">
        <is>
          <t>LV|3/C+G|2</t>
        </is>
      </c>
      <c r="L3653" s="12" t="inlineStr">
        <is>
          <t>3/C+G</t>
        </is>
      </c>
      <c r="M3653" s="12" t="inlineStr">
        <is>
          <t>2</t>
        </is>
      </c>
      <c r="N3653" s="12" t="n">
        <v>1</v>
      </c>
      <c r="O3653" s="12" t="n">
        <v>1</v>
      </c>
      <c r="P3653" s="12" t="n">
        <v>480</v>
      </c>
      <c r="Q3653" s="12" t="n">
        <v>60</v>
      </c>
      <c r="R3653" s="12" t="n">
        <v>76</v>
      </c>
      <c r="S3653" s="12" t="inlineStr">
        <is>
          <t>Duct bank</t>
        </is>
      </c>
      <c r="T3653" s="17" t="n">
        <v>146</v>
      </c>
      <c r="U3653" s="17" t="n">
        <v>36</v>
      </c>
      <c r="V3653" s="17">
        <f>ROUNDUP((T3653+U3653+2*'Read Me'!$B$13)*(1+'Read Me'!$B$12),-1)</f>
        <v/>
      </c>
      <c r="W3653" s="17">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G-P-0221</t>
        </is>
      </c>
      <c r="B3654" s="12" t="inlineStr">
        <is>
          <t>G</t>
        </is>
      </c>
      <c r="C3654" s="12" t="inlineStr">
        <is>
          <t>Carbon capture</t>
        </is>
      </c>
      <c r="D3654" s="12" t="inlineStr">
        <is>
          <t>480 V welding receptacle 4</t>
        </is>
      </c>
      <c r="E3654" s="12" t="inlineStr"/>
      <c r="F3654" s="12" t="inlineStr">
        <is>
          <t>CCS MV switchgear building (VFDs)</t>
        </is>
      </c>
      <c r="G3654" s="12" t="inlineStr">
        <is>
          <t>STR-A</t>
        </is>
      </c>
      <c r="H3654" s="12" t="inlineStr">
        <is>
          <t>STR-A: stripper / regenerator (45 ft dia x 207 ft)</t>
        </is>
      </c>
      <c r="I3654" s="12" t="inlineStr">
        <is>
          <t>LV 600 V</t>
        </is>
      </c>
      <c r="J3654" s="12" t="inlineStr">
        <is>
          <t>Type TC-ER 600 V 3/C Cu XHHW-2 + ground, PVC jacket</t>
        </is>
      </c>
      <c r="K3654" s="12" t="inlineStr">
        <is>
          <t>LV|3/C+G|2</t>
        </is>
      </c>
      <c r="L3654" s="12" t="inlineStr">
        <is>
          <t>3/C+G</t>
        </is>
      </c>
      <c r="M3654" s="12" t="inlineStr">
        <is>
          <t>2</t>
        </is>
      </c>
      <c r="N3654" s="12" t="n">
        <v>1</v>
      </c>
      <c r="O3654" s="12" t="n">
        <v>1</v>
      </c>
      <c r="P3654" s="12" t="n">
        <v>480</v>
      </c>
      <c r="Q3654" s="12" t="n">
        <v>60</v>
      </c>
      <c r="R3654" s="12" t="n">
        <v>76</v>
      </c>
      <c r="S3654" s="12" t="inlineStr">
        <is>
          <t>Duct bank</t>
        </is>
      </c>
      <c r="T3654" s="17" t="n">
        <v>146</v>
      </c>
      <c r="U3654" s="17" t="n">
        <v>36</v>
      </c>
      <c r="V3654" s="17">
        <f>ROUNDUP((T3654+U3654+2*'Read Me'!$B$13)*(1+'Read Me'!$B$12),-1)</f>
        <v/>
      </c>
      <c r="W3654" s="17">
        <f>V3654*N3654*O3654</f>
        <v/>
      </c>
      <c r="X3654" s="12">
        <f>IF(LEFT(I3654,2)="MV",2*N3654*IF(L3654="1/C",O3654,1),0)</f>
        <v/>
      </c>
      <c r="Y3654" s="12">
        <f>IF(OR(LEFT(K3654,4)="LVAX",LEFT(K3654,6)="MV15AX",LEFT(K3654,4)="CTAX",LEFT(K3654,2)="W|"),2*N3654*O3654,0)</f>
        <v/>
      </c>
      <c r="Z3654" s="12" t="inlineStr">
        <is>
          <t>VD 1.1 %</t>
        </is>
      </c>
      <c r="AA3654" s="12">
        <f>N3654*O3654</f>
        <v/>
      </c>
    </row>
    <row r="3655">
      <c r="A3655" s="12" t="inlineStr">
        <is>
          <t>G-P-0222</t>
        </is>
      </c>
      <c r="B3655" s="12" t="inlineStr">
        <is>
          <t>G</t>
        </is>
      </c>
      <c r="C3655" s="12" t="inlineStr">
        <is>
          <t>Carbon capture</t>
        </is>
      </c>
      <c r="D3655" s="12" t="inlineStr">
        <is>
          <t>MOV 1: power</t>
        </is>
      </c>
      <c r="E3655" s="12" t="inlineStr"/>
      <c r="F3655" s="12" t="inlineStr">
        <is>
          <t>CCS MV switchgear building (VFDs)</t>
        </is>
      </c>
      <c r="G3655" s="12" t="inlineStr">
        <is>
          <t>STR-B</t>
        </is>
      </c>
      <c r="H3655" s="12" t="inlineStr">
        <is>
          <t>STR-B: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146</v>
      </c>
      <c r="U3655" s="17" t="n">
        <v>36</v>
      </c>
      <c r="V3655" s="17">
        <f>ROUNDUP((T3655+U3655+2*'Read Me'!$B$13)*(1+'Read Me'!$B$12),-1)</f>
        <v/>
      </c>
      <c r="W3655" s="17">
        <f>V3655*N3655*O3655</f>
        <v/>
      </c>
      <c r="X3655" s="12">
        <f>IF(LEFT(I3655,2)="MV",2*N3655*IF(L3655="1/C",O3655,1),0)</f>
        <v/>
      </c>
      <c r="Y3655" s="12">
        <f>IF(OR(LEFT(K3655,4)="LVAX",LEFT(K3655,6)="MV15AX",LEFT(K3655,4)="CTAX",LEFT(K3655,2)="W|"),2*N3655*O3655,0)</f>
        <v/>
      </c>
      <c r="Z3655" s="12" t="inlineStr">
        <is>
          <t>VD 0.3 %</t>
        </is>
      </c>
      <c r="AA3655" s="12">
        <f>N3655*O3655</f>
        <v/>
      </c>
    </row>
    <row r="3656">
      <c r="A3656" s="12" t="inlineStr">
        <is>
          <t>G-P-0223</t>
        </is>
      </c>
      <c r="B3656" s="12" t="inlineStr">
        <is>
          <t>G</t>
        </is>
      </c>
      <c r="C3656" s="12" t="inlineStr">
        <is>
          <t>Carbon capture</t>
        </is>
      </c>
      <c r="D3656" s="12" t="inlineStr">
        <is>
          <t>MOV 2: power</t>
        </is>
      </c>
      <c r="E3656" s="12" t="inlineStr"/>
      <c r="F3656" s="12" t="inlineStr">
        <is>
          <t>CCS MV switchgear building (VFDs)</t>
        </is>
      </c>
      <c r="G3656" s="12" t="inlineStr">
        <is>
          <t>STR-B</t>
        </is>
      </c>
      <c r="H3656" s="12" t="inlineStr">
        <is>
          <t>STR-B: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7" t="n">
        <v>146</v>
      </c>
      <c r="U3656" s="17" t="n">
        <v>36</v>
      </c>
      <c r="V3656" s="17">
        <f>ROUNDUP((T3656+U3656+2*'Read Me'!$B$13)*(1+'Read Me'!$B$12),-1)</f>
        <v/>
      </c>
      <c r="W3656" s="17">
        <f>V3656*N3656*O3656</f>
        <v/>
      </c>
      <c r="X3656" s="12">
        <f>IF(LEFT(I3656,2)="MV",2*N3656*IF(L3656="1/C",O3656,1),0)</f>
        <v/>
      </c>
      <c r="Y3656" s="12">
        <f>IF(OR(LEFT(K3656,4)="LVAX",LEFT(K3656,6)="MV15AX",LEFT(K3656,4)="CTAX",LEFT(K3656,2)="W|"),2*N3656*O3656,0)</f>
        <v/>
      </c>
      <c r="Z3656" s="12" t="inlineStr">
        <is>
          <t>VD 0.3 %</t>
        </is>
      </c>
      <c r="AA3656" s="12">
        <f>N3656*O3656</f>
        <v/>
      </c>
    </row>
    <row r="3657">
      <c r="A3657" s="12" t="inlineStr">
        <is>
          <t>G-P-0224</t>
        </is>
      </c>
      <c r="B3657" s="12" t="inlineStr">
        <is>
          <t>G</t>
        </is>
      </c>
      <c r="C3657" s="12" t="inlineStr">
        <is>
          <t>Carbon capture</t>
        </is>
      </c>
      <c r="D3657" s="12" t="inlineStr">
        <is>
          <t>MOV 3: power</t>
        </is>
      </c>
      <c r="E3657" s="12" t="inlineStr"/>
      <c r="F3657" s="12" t="inlineStr">
        <is>
          <t>CCS MV switchgear building (VFDs)</t>
        </is>
      </c>
      <c r="G3657" s="12" t="inlineStr">
        <is>
          <t>STR-B</t>
        </is>
      </c>
      <c r="H3657" s="12" t="inlineStr">
        <is>
          <t>STR-B: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7" t="n">
        <v>146</v>
      </c>
      <c r="U3657" s="17" t="n">
        <v>36</v>
      </c>
      <c r="V3657" s="17">
        <f>ROUNDUP((T3657+U3657+2*'Read Me'!$B$13)*(1+'Read Me'!$B$12),-1)</f>
        <v/>
      </c>
      <c r="W3657" s="17">
        <f>V3657*N3657*O3657</f>
        <v/>
      </c>
      <c r="X3657" s="12">
        <f>IF(LEFT(I3657,2)="MV",2*N3657*IF(L3657="1/C",O3657,1),0)</f>
        <v/>
      </c>
      <c r="Y3657" s="12">
        <f>IF(OR(LEFT(K3657,4)="LVAX",LEFT(K3657,6)="MV15AX",LEFT(K3657,4)="CTAX",LEFT(K3657,2)="W|"),2*N3657*O3657,0)</f>
        <v/>
      </c>
      <c r="Z3657" s="12" t="inlineStr">
        <is>
          <t>VD 0.3 %</t>
        </is>
      </c>
      <c r="AA3657" s="12">
        <f>N3657*O3657</f>
        <v/>
      </c>
    </row>
    <row r="3658">
      <c r="A3658" s="12" t="inlineStr">
        <is>
          <t>G-P-0225</t>
        </is>
      </c>
      <c r="B3658" s="12" t="inlineStr">
        <is>
          <t>G</t>
        </is>
      </c>
      <c r="C3658" s="12" t="inlineStr">
        <is>
          <t>Carbon capture</t>
        </is>
      </c>
      <c r="D3658" s="12" t="inlineStr">
        <is>
          <t>MOV 4: power</t>
        </is>
      </c>
      <c r="E3658" s="12" t="inlineStr"/>
      <c r="F3658" s="12" t="inlineStr">
        <is>
          <t>CCS MV switchgear building (VFDs)</t>
        </is>
      </c>
      <c r="G3658" s="12" t="inlineStr">
        <is>
          <t>STR-B</t>
        </is>
      </c>
      <c r="H3658" s="12" t="inlineStr">
        <is>
          <t>STR-B: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2.5</v>
      </c>
      <c r="R3658" s="12" t="n">
        <v>3.5</v>
      </c>
      <c r="S3658" s="12" t="inlineStr">
        <is>
          <t>Duct bank</t>
        </is>
      </c>
      <c r="T3658" s="17" t="n">
        <v>146</v>
      </c>
      <c r="U3658" s="17" t="n">
        <v>36</v>
      </c>
      <c r="V3658" s="17">
        <f>ROUNDUP((T3658+U3658+2*'Read Me'!$B$13)*(1+'Read Me'!$B$12),-1)</f>
        <v/>
      </c>
      <c r="W3658" s="17">
        <f>V3658*N3658*O3658</f>
        <v/>
      </c>
      <c r="X3658" s="12">
        <f>IF(LEFT(I3658,2)="MV",2*N3658*IF(L3658="1/C",O3658,1),0)</f>
        <v/>
      </c>
      <c r="Y3658" s="12">
        <f>IF(OR(LEFT(K3658,4)="LVAX",LEFT(K3658,6)="MV15AX",LEFT(K3658,4)="CTAX",LEFT(K3658,2)="W|"),2*N3658*O3658,0)</f>
        <v/>
      </c>
      <c r="Z3658" s="12" t="inlineStr">
        <is>
          <t>VD 0.3 %</t>
        </is>
      </c>
      <c r="AA3658" s="12">
        <f>N3658*O3658</f>
        <v/>
      </c>
    </row>
    <row r="3659">
      <c r="A3659" s="12" t="inlineStr">
        <is>
          <t>G-P-0226</t>
        </is>
      </c>
      <c r="B3659" s="12" t="inlineStr">
        <is>
          <t>G</t>
        </is>
      </c>
      <c r="C3659" s="12" t="inlineStr">
        <is>
          <t>Carbon capture</t>
        </is>
      </c>
      <c r="D3659" s="12" t="inlineStr">
        <is>
          <t>MOV 5: power</t>
        </is>
      </c>
      <c r="E3659" s="12" t="inlineStr"/>
      <c r="F3659" s="12" t="inlineStr">
        <is>
          <t>CCS MV switchgear building (VFDs)</t>
        </is>
      </c>
      <c r="G3659" s="12" t="inlineStr">
        <is>
          <t>STR-B</t>
        </is>
      </c>
      <c r="H3659" s="12" t="inlineStr">
        <is>
          <t>STR-B: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G-P-0227</t>
        </is>
      </c>
      <c r="B3660" s="12" t="inlineStr">
        <is>
          <t>G</t>
        </is>
      </c>
      <c r="C3660" s="12" t="inlineStr">
        <is>
          <t>Carbon capture</t>
        </is>
      </c>
      <c r="D3660" s="12" t="inlineStr">
        <is>
          <t>MOV 6: power</t>
        </is>
      </c>
      <c r="E3660" s="12" t="inlineStr"/>
      <c r="F3660" s="12" t="inlineStr">
        <is>
          <t>CCS MV switchgear building (VFDs)</t>
        </is>
      </c>
      <c r="G3660" s="12" t="inlineStr">
        <is>
          <t>STR-B</t>
        </is>
      </c>
      <c r="H3660" s="12" t="inlineStr">
        <is>
          <t>STR-B: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G-P-0228</t>
        </is>
      </c>
      <c r="B3661" s="12" t="inlineStr">
        <is>
          <t>G</t>
        </is>
      </c>
      <c r="C3661" s="12" t="inlineStr">
        <is>
          <t>Carbon capture</t>
        </is>
      </c>
      <c r="D3661" s="12" t="inlineStr">
        <is>
          <t>LV power feeder</t>
        </is>
      </c>
      <c r="E3661" s="12" t="inlineStr"/>
      <c r="F3661" s="12" t="inlineStr">
        <is>
          <t>CCS MV switchgear building (VFDs)</t>
        </is>
      </c>
      <c r="G3661" s="12" t="inlineStr">
        <is>
          <t>STR-B</t>
        </is>
      </c>
      <c r="H3661" s="12" t="inlineStr">
        <is>
          <t>STR-B: stripper / regenerator (45 ft dia x 207 ft)</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1.5 %</t>
        </is>
      </c>
      <c r="AA3661" s="12">
        <f>N3661*O3661</f>
        <v/>
      </c>
    </row>
    <row r="3662">
      <c r="A3662" s="12" t="inlineStr">
        <is>
          <t>G-P-0229</t>
        </is>
      </c>
      <c r="B3662" s="12" t="inlineStr">
        <is>
          <t>G</t>
        </is>
      </c>
      <c r="C3662" s="12" t="inlineStr">
        <is>
          <t>Carbon capture</t>
        </is>
      </c>
      <c r="D3662" s="12" t="inlineStr">
        <is>
          <t>Area / platform lighting circuit 1 (12 fixtures)</t>
        </is>
      </c>
      <c r="E3662" s="12" t="inlineStr"/>
      <c r="F3662" s="12" t="inlineStr">
        <is>
          <t>CCS MV switchgear building (VFDs)</t>
        </is>
      </c>
      <c r="G3662" s="12" t="inlineStr">
        <is>
          <t>STR-B</t>
        </is>
      </c>
      <c r="H3662" s="12" t="inlineStr">
        <is>
          <t>STR-B: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3</v>
      </c>
      <c r="R3662" s="12" t="n">
        <v>5</v>
      </c>
      <c r="S3662" s="12" t="inlineStr">
        <is>
          <t>Duct bank</t>
        </is>
      </c>
      <c r="T3662" s="17" t="n">
        <v>446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fixture-to-fixture run included</t>
        </is>
      </c>
      <c r="AA3662" s="12">
        <f>N3662*O3662</f>
        <v/>
      </c>
    </row>
    <row r="3663">
      <c r="A3663" s="12" t="inlineStr">
        <is>
          <t>G-P-0230</t>
        </is>
      </c>
      <c r="B3663" s="12" t="inlineStr">
        <is>
          <t>G</t>
        </is>
      </c>
      <c r="C3663" s="12" t="inlineStr">
        <is>
          <t>Carbon capture</t>
        </is>
      </c>
      <c r="D3663" s="12" t="inlineStr">
        <is>
          <t>Area / platform lighting circuit 2 (8 fixtures)</t>
        </is>
      </c>
      <c r="E3663" s="12" t="inlineStr"/>
      <c r="F3663" s="12" t="inlineStr">
        <is>
          <t>CCS MV switchgear building (VFDs)</t>
        </is>
      </c>
      <c r="G3663" s="12" t="inlineStr">
        <is>
          <t>STR-B</t>
        </is>
      </c>
      <c r="H3663" s="12" t="inlineStr">
        <is>
          <t>STR-B: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Duct bank</t>
        </is>
      </c>
      <c r="T3663" s="17" t="n">
        <v>446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G-P-0231</t>
        </is>
      </c>
      <c r="B3664" s="12" t="inlineStr">
        <is>
          <t>G</t>
        </is>
      </c>
      <c r="C3664" s="12" t="inlineStr">
        <is>
          <t>Carbon capture</t>
        </is>
      </c>
      <c r="D3664" s="12" t="inlineStr">
        <is>
          <t>480 V welding receptacle 1</t>
        </is>
      </c>
      <c r="E3664" s="12" t="inlineStr"/>
      <c r="F3664" s="12" t="inlineStr">
        <is>
          <t>CCS MV switchgear building (VFDs)</t>
        </is>
      </c>
      <c r="G3664" s="12" t="inlineStr">
        <is>
          <t>STR-B</t>
        </is>
      </c>
      <c r="H3664" s="12" t="inlineStr">
        <is>
          <t>STR-B: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1.1 %</t>
        </is>
      </c>
      <c r="AA3664" s="12">
        <f>N3664*O3664</f>
        <v/>
      </c>
    </row>
    <row r="3665">
      <c r="A3665" s="12" t="inlineStr">
        <is>
          <t>G-P-0232</t>
        </is>
      </c>
      <c r="B3665" s="12" t="inlineStr">
        <is>
          <t>G</t>
        </is>
      </c>
      <c r="C3665" s="12" t="inlineStr">
        <is>
          <t>Carbon capture</t>
        </is>
      </c>
      <c r="D3665" s="12" t="inlineStr">
        <is>
          <t>480 V welding receptacle 2</t>
        </is>
      </c>
      <c r="E3665" s="12" t="inlineStr"/>
      <c r="F3665" s="12" t="inlineStr">
        <is>
          <t>CCS MV switchgear building (VFDs)</t>
        </is>
      </c>
      <c r="G3665" s="12" t="inlineStr">
        <is>
          <t>STR-B</t>
        </is>
      </c>
      <c r="H3665" s="12" t="inlineStr">
        <is>
          <t>STR-B: stripper / regenerator (45 ft dia x 207 ft)</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1.1 %</t>
        </is>
      </c>
      <c r="AA3665" s="12">
        <f>N3665*O3665</f>
        <v/>
      </c>
    </row>
    <row r="3666">
      <c r="A3666" s="12" t="inlineStr">
        <is>
          <t>G-P-0233</t>
        </is>
      </c>
      <c r="B3666" s="12" t="inlineStr">
        <is>
          <t>G</t>
        </is>
      </c>
      <c r="C3666" s="12" t="inlineStr">
        <is>
          <t>Carbon capture</t>
        </is>
      </c>
      <c r="D3666" s="12" t="inlineStr">
        <is>
          <t>480 V welding receptacle 3</t>
        </is>
      </c>
      <c r="E3666" s="12" t="inlineStr"/>
      <c r="F3666" s="12" t="inlineStr">
        <is>
          <t>CCS MV switchgear building (VFDs)</t>
        </is>
      </c>
      <c r="G3666" s="12" t="inlineStr">
        <is>
          <t>STR-B</t>
        </is>
      </c>
      <c r="H3666" s="12" t="inlineStr">
        <is>
          <t>STR-B: stripper / regenerator (45 ft dia x 207 ft)</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7" t="n">
        <v>146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G-P-0234</t>
        </is>
      </c>
      <c r="B3667" s="12" t="inlineStr">
        <is>
          <t>G</t>
        </is>
      </c>
      <c r="C3667" s="12" t="inlineStr">
        <is>
          <t>Carbon capture</t>
        </is>
      </c>
      <c r="D3667" s="12" t="inlineStr">
        <is>
          <t>480 V welding receptacle 4</t>
        </is>
      </c>
      <c r="E3667" s="12" t="inlineStr"/>
      <c r="F3667" s="12" t="inlineStr">
        <is>
          <t>CCS MV switchgear building (VFDs)</t>
        </is>
      </c>
      <c r="G3667" s="12" t="inlineStr">
        <is>
          <t>STR-B</t>
        </is>
      </c>
      <c r="H3667" s="12" t="inlineStr">
        <is>
          <t>STR-B: stripper / regenerator (45 ft dia x 207 ft)</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7" t="n">
        <v>146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G-P-0235</t>
        </is>
      </c>
      <c r="B3668" s="12" t="inlineStr">
        <is>
          <t>G</t>
        </is>
      </c>
      <c r="C3668" s="12" t="inlineStr">
        <is>
          <t>Carbon capture</t>
        </is>
      </c>
      <c r="D3668" s="12" t="inlineStr">
        <is>
          <t>MOV 1: power</t>
        </is>
      </c>
      <c r="E3668" s="12" t="inlineStr"/>
      <c r="F3668" s="12" t="inlineStr">
        <is>
          <t>CCS MV switchgear building (VFDs)</t>
        </is>
      </c>
      <c r="G3668" s="12" t="inlineStr">
        <is>
          <t>STR-C</t>
        </is>
      </c>
      <c r="H3668" s="12" t="inlineStr">
        <is>
          <t>STR-C: stripper / regenerator (45 ft dia x 207 ft)</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2.5</v>
      </c>
      <c r="R3668" s="12" t="n">
        <v>3.5</v>
      </c>
      <c r="S3668" s="12" t="inlineStr">
        <is>
          <t>Duct bank</t>
        </is>
      </c>
      <c r="T3668" s="17" t="n">
        <v>196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0.4 %</t>
        </is>
      </c>
      <c r="AA3668" s="12">
        <f>N3668*O3668</f>
        <v/>
      </c>
    </row>
    <row r="3669">
      <c r="A3669" s="12" t="inlineStr">
        <is>
          <t>G-P-0236</t>
        </is>
      </c>
      <c r="B3669" s="12" t="inlineStr">
        <is>
          <t>G</t>
        </is>
      </c>
      <c r="C3669" s="12" t="inlineStr">
        <is>
          <t>Carbon capture</t>
        </is>
      </c>
      <c r="D3669" s="12" t="inlineStr">
        <is>
          <t>MOV 2: power</t>
        </is>
      </c>
      <c r="E3669" s="12" t="inlineStr"/>
      <c r="F3669" s="12" t="inlineStr">
        <is>
          <t>CCS MV switchgear building (VFDs)</t>
        </is>
      </c>
      <c r="G3669" s="12" t="inlineStr">
        <is>
          <t>STR-C</t>
        </is>
      </c>
      <c r="H3669" s="12" t="inlineStr">
        <is>
          <t>STR-C: stripper / regenerator (45 ft dia x 207 ft)</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2.5</v>
      </c>
      <c r="R3669" s="12" t="n">
        <v>3.5</v>
      </c>
      <c r="S3669" s="12" t="inlineStr">
        <is>
          <t>Duct bank</t>
        </is>
      </c>
      <c r="T3669" s="17" t="n">
        <v>196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0.4 %</t>
        </is>
      </c>
      <c r="AA3669" s="12">
        <f>N3669*O3669</f>
        <v/>
      </c>
    </row>
    <row r="3670">
      <c r="A3670" s="12" t="inlineStr">
        <is>
          <t>G-P-0237</t>
        </is>
      </c>
      <c r="B3670" s="12" t="inlineStr">
        <is>
          <t>G</t>
        </is>
      </c>
      <c r="C3670" s="12" t="inlineStr">
        <is>
          <t>Carbon capture</t>
        </is>
      </c>
      <c r="D3670" s="12" t="inlineStr">
        <is>
          <t>MOV 3: power</t>
        </is>
      </c>
      <c r="E3670" s="12" t="inlineStr"/>
      <c r="F3670" s="12" t="inlineStr">
        <is>
          <t>CCS MV switchgear building (VFDs)</t>
        </is>
      </c>
      <c r="G3670" s="12" t="inlineStr">
        <is>
          <t>STR-C</t>
        </is>
      </c>
      <c r="H3670" s="12" t="inlineStr">
        <is>
          <t>STR-C: stripper / regenerator (45 ft dia x 207 ft)</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2.5</v>
      </c>
      <c r="R3670" s="12" t="n">
        <v>3.5</v>
      </c>
      <c r="S3670" s="12" t="inlineStr">
        <is>
          <t>Duct bank</t>
        </is>
      </c>
      <c r="T3670" s="17" t="n">
        <v>196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0.4 %</t>
        </is>
      </c>
      <c r="AA3670" s="12">
        <f>N3670*O3670</f>
        <v/>
      </c>
    </row>
    <row r="3671">
      <c r="A3671" s="12" t="inlineStr">
        <is>
          <t>G-P-0238</t>
        </is>
      </c>
      <c r="B3671" s="12" t="inlineStr">
        <is>
          <t>G</t>
        </is>
      </c>
      <c r="C3671" s="12" t="inlineStr">
        <is>
          <t>Carbon capture</t>
        </is>
      </c>
      <c r="D3671" s="12" t="inlineStr">
        <is>
          <t>MOV 4: power</t>
        </is>
      </c>
      <c r="E3671" s="12" t="inlineStr"/>
      <c r="F3671" s="12" t="inlineStr">
        <is>
          <t>CCS MV switchgear building (VFDs)</t>
        </is>
      </c>
      <c r="G3671" s="12" t="inlineStr">
        <is>
          <t>STR-C</t>
        </is>
      </c>
      <c r="H3671" s="12" t="inlineStr">
        <is>
          <t>STR-C: stripper / regenerator (45 ft dia x 207 ft)</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7" t="n">
        <v>196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0.4 %</t>
        </is>
      </c>
      <c r="AA3671" s="12">
        <f>N3671*O3671</f>
        <v/>
      </c>
    </row>
    <row r="3672">
      <c r="A3672" s="12" t="inlineStr">
        <is>
          <t>G-P-0239</t>
        </is>
      </c>
      <c r="B3672" s="12" t="inlineStr">
        <is>
          <t>G</t>
        </is>
      </c>
      <c r="C3672" s="12" t="inlineStr">
        <is>
          <t>Carbon capture</t>
        </is>
      </c>
      <c r="D3672" s="12" t="inlineStr">
        <is>
          <t>MOV 5: power</t>
        </is>
      </c>
      <c r="E3672" s="12" t="inlineStr"/>
      <c r="F3672" s="12" t="inlineStr">
        <is>
          <t>CCS MV switchgear building (VFDs)</t>
        </is>
      </c>
      <c r="G3672" s="12" t="inlineStr">
        <is>
          <t>STR-C</t>
        </is>
      </c>
      <c r="H3672" s="12" t="inlineStr">
        <is>
          <t>STR-C: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196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0.4 %</t>
        </is>
      </c>
      <c r="AA3672" s="12">
        <f>N3672*O3672</f>
        <v/>
      </c>
    </row>
    <row r="3673">
      <c r="A3673" s="12" t="inlineStr">
        <is>
          <t>G-P-0240</t>
        </is>
      </c>
      <c r="B3673" s="12" t="inlineStr">
        <is>
          <t>G</t>
        </is>
      </c>
      <c r="C3673" s="12" t="inlineStr">
        <is>
          <t>Carbon capture</t>
        </is>
      </c>
      <c r="D3673" s="12" t="inlineStr">
        <is>
          <t>MOV 6: power</t>
        </is>
      </c>
      <c r="E3673" s="12" t="inlineStr"/>
      <c r="F3673" s="12" t="inlineStr">
        <is>
          <t>CCS MV switchgear building (VFDs)</t>
        </is>
      </c>
      <c r="G3673" s="12" t="inlineStr">
        <is>
          <t>STR-C</t>
        </is>
      </c>
      <c r="H3673" s="12" t="inlineStr">
        <is>
          <t>STR-C: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196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0.4 %</t>
        </is>
      </c>
      <c r="AA3673" s="12">
        <f>N3673*O3673</f>
        <v/>
      </c>
    </row>
    <row r="3674">
      <c r="A3674" s="12" t="inlineStr">
        <is>
          <t>G-P-0241</t>
        </is>
      </c>
      <c r="B3674" s="12" t="inlineStr">
        <is>
          <t>G</t>
        </is>
      </c>
      <c r="C3674" s="12" t="inlineStr">
        <is>
          <t>Carbon capture</t>
        </is>
      </c>
      <c r="D3674" s="12" t="inlineStr">
        <is>
          <t>LV power feeder</t>
        </is>
      </c>
      <c r="E3674" s="12" t="inlineStr"/>
      <c r="F3674" s="12" t="inlineStr">
        <is>
          <t>CCS MV switchgear building (VFDs)</t>
        </is>
      </c>
      <c r="G3674" s="12" t="inlineStr">
        <is>
          <t>STR-C</t>
        </is>
      </c>
      <c r="H3674" s="12" t="inlineStr">
        <is>
          <t>STR-C: stripper / regenerator (45 ft dia x 207 ft)</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7" t="n">
        <v>196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1.9 %</t>
        </is>
      </c>
      <c r="AA3674" s="12">
        <f>N3674*O3674</f>
        <v/>
      </c>
    </row>
    <row r="3675">
      <c r="A3675" s="12" t="inlineStr">
        <is>
          <t>G-P-0242</t>
        </is>
      </c>
      <c r="B3675" s="12" t="inlineStr">
        <is>
          <t>G</t>
        </is>
      </c>
      <c r="C3675" s="12" t="inlineStr">
        <is>
          <t>Carbon capture</t>
        </is>
      </c>
      <c r="D3675" s="12" t="inlineStr">
        <is>
          <t>Area / platform lighting circuit 1 (12 fixtures)</t>
        </is>
      </c>
      <c r="E3675" s="12" t="inlineStr"/>
      <c r="F3675" s="12" t="inlineStr">
        <is>
          <t>CCS MV switchgear building (VFDs)</t>
        </is>
      </c>
      <c r="G3675" s="12" t="inlineStr">
        <is>
          <t>STR-C</t>
        </is>
      </c>
      <c r="H3675" s="12" t="inlineStr">
        <is>
          <t>STR-C: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3</v>
      </c>
      <c r="R3675" s="12" t="n">
        <v>5</v>
      </c>
      <c r="S3675" s="12" t="inlineStr">
        <is>
          <t>Duct bank</t>
        </is>
      </c>
      <c r="T3675" s="17" t="n">
        <v>496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fixture-to-fixture run included</t>
        </is>
      </c>
      <c r="AA3675" s="12">
        <f>N3675*O3675</f>
        <v/>
      </c>
    </row>
    <row r="3676">
      <c r="A3676" s="12" t="inlineStr">
        <is>
          <t>G-P-0243</t>
        </is>
      </c>
      <c r="B3676" s="12" t="inlineStr">
        <is>
          <t>G</t>
        </is>
      </c>
      <c r="C3676" s="12" t="inlineStr">
        <is>
          <t>Carbon capture</t>
        </is>
      </c>
      <c r="D3676" s="12" t="inlineStr">
        <is>
          <t>Area / platform lighting circuit 2 (8 fixtures)</t>
        </is>
      </c>
      <c r="E3676" s="12" t="inlineStr"/>
      <c r="F3676" s="12" t="inlineStr">
        <is>
          <t>CCS MV switchgear building (VFDs)</t>
        </is>
      </c>
      <c r="G3676" s="12" t="inlineStr">
        <is>
          <t>STR-C</t>
        </is>
      </c>
      <c r="H3676" s="12" t="inlineStr">
        <is>
          <t>STR-C: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3</v>
      </c>
      <c r="R3676" s="12" t="n">
        <v>5</v>
      </c>
      <c r="S3676" s="12" t="inlineStr">
        <is>
          <t>Duct bank</t>
        </is>
      </c>
      <c r="T3676" s="17" t="n">
        <v>496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fixture-to-fixture run included</t>
        </is>
      </c>
      <c r="AA3676" s="12">
        <f>N3676*O3676</f>
        <v/>
      </c>
    </row>
    <row r="3677">
      <c r="A3677" s="12" t="inlineStr">
        <is>
          <t>G-P-0244</t>
        </is>
      </c>
      <c r="B3677" s="12" t="inlineStr">
        <is>
          <t>G</t>
        </is>
      </c>
      <c r="C3677" s="12" t="inlineStr">
        <is>
          <t>Carbon capture</t>
        </is>
      </c>
      <c r="D3677" s="12" t="inlineStr">
        <is>
          <t>480 V welding receptacle 1</t>
        </is>
      </c>
      <c r="E3677" s="12" t="inlineStr"/>
      <c r="F3677" s="12" t="inlineStr">
        <is>
          <t>CCS MV switchgear building (VFDs)</t>
        </is>
      </c>
      <c r="G3677" s="12" t="inlineStr">
        <is>
          <t>STR-C</t>
        </is>
      </c>
      <c r="H3677" s="12" t="inlineStr">
        <is>
          <t>STR-C: stripper / regenerator (45 ft dia x 207 ft)</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7" t="n">
        <v>196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G-P-0245</t>
        </is>
      </c>
      <c r="B3678" s="12" t="inlineStr">
        <is>
          <t>G</t>
        </is>
      </c>
      <c r="C3678" s="12" t="inlineStr">
        <is>
          <t>Carbon capture</t>
        </is>
      </c>
      <c r="D3678" s="12" t="inlineStr">
        <is>
          <t>480 V welding receptacle 2</t>
        </is>
      </c>
      <c r="E3678" s="12" t="inlineStr"/>
      <c r="F3678" s="12" t="inlineStr">
        <is>
          <t>CCS MV switchgear building (VFDs)</t>
        </is>
      </c>
      <c r="G3678" s="12" t="inlineStr">
        <is>
          <t>STR-C</t>
        </is>
      </c>
      <c r="H3678" s="12" t="inlineStr">
        <is>
          <t>STR-C: stripper / regenerator (45 ft dia x 207 ft)</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7" t="n">
        <v>196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G-P-0246</t>
        </is>
      </c>
      <c r="B3679" s="12" t="inlineStr">
        <is>
          <t>G</t>
        </is>
      </c>
      <c r="C3679" s="12" t="inlineStr">
        <is>
          <t>Carbon capture</t>
        </is>
      </c>
      <c r="D3679" s="12" t="inlineStr">
        <is>
          <t>480 V welding receptacle 3</t>
        </is>
      </c>
      <c r="E3679" s="12" t="inlineStr"/>
      <c r="F3679" s="12" t="inlineStr">
        <is>
          <t>CCS MV switchgear building (VFDs)</t>
        </is>
      </c>
      <c r="G3679" s="12" t="inlineStr">
        <is>
          <t>STR-C</t>
        </is>
      </c>
      <c r="H3679" s="12" t="inlineStr">
        <is>
          <t>STR-C: stripper / regenerator (45 ft dia x 207 ft)</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7" t="n">
        <v>196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G-P-0247</t>
        </is>
      </c>
      <c r="B3680" s="12" t="inlineStr">
        <is>
          <t>G</t>
        </is>
      </c>
      <c r="C3680" s="12" t="inlineStr">
        <is>
          <t>Carbon capture</t>
        </is>
      </c>
      <c r="D3680" s="12" t="inlineStr">
        <is>
          <t>480 V welding receptacle 4</t>
        </is>
      </c>
      <c r="E3680" s="12" t="inlineStr"/>
      <c r="F3680" s="12" t="inlineStr">
        <is>
          <t>CCS MV switchgear building (VFDs)</t>
        </is>
      </c>
      <c r="G3680" s="12" t="inlineStr">
        <is>
          <t>STR-C</t>
        </is>
      </c>
      <c r="H3680" s="12" t="inlineStr">
        <is>
          <t>STR-C: stripper / regenerator (45 ft dia x 207 ft)</t>
        </is>
      </c>
      <c r="I3680" s="12" t="inlineStr">
        <is>
          <t>LV 600 V</t>
        </is>
      </c>
      <c r="J3680" s="12" t="inlineStr">
        <is>
          <t>Type TC-ER 600 V 3/C Cu XHHW-2 + ground, PVC jacket</t>
        </is>
      </c>
      <c r="K3680" s="12" t="inlineStr">
        <is>
          <t>LV|3/C+G|2</t>
        </is>
      </c>
      <c r="L3680" s="12" t="inlineStr">
        <is>
          <t>3/C+G</t>
        </is>
      </c>
      <c r="M3680" s="12" t="inlineStr">
        <is>
          <t>2</t>
        </is>
      </c>
      <c r="N3680" s="12" t="n">
        <v>1</v>
      </c>
      <c r="O3680" s="12" t="n">
        <v>1</v>
      </c>
      <c r="P3680" s="12" t="n">
        <v>480</v>
      </c>
      <c r="Q3680" s="12" t="n">
        <v>60</v>
      </c>
      <c r="R3680" s="12" t="n">
        <v>76</v>
      </c>
      <c r="S3680" s="12" t="inlineStr">
        <is>
          <t>Duct bank</t>
        </is>
      </c>
      <c r="T3680" s="17" t="n">
        <v>196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G-P-0248</t>
        </is>
      </c>
      <c r="B3681" s="12" t="inlineStr">
        <is>
          <t>G</t>
        </is>
      </c>
      <c r="C3681" s="12" t="inlineStr">
        <is>
          <t>Carbon capture</t>
        </is>
      </c>
      <c r="D3681" s="12" t="inlineStr">
        <is>
          <t>Motor 1 of 4, 15 kW</t>
        </is>
      </c>
      <c r="E3681" s="12" t="inlineStr"/>
      <c r="F3681" s="12" t="inlineStr">
        <is>
          <t>CCS MV switchgear building (VFDs)</t>
        </is>
      </c>
      <c r="G3681" s="12" t="inlineStr"/>
      <c r="H3681" s="12" t="inlineStr">
        <is>
          <t>Solvent + NaOH storage</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15</v>
      </c>
      <c r="R3681" s="12" t="n">
        <v>21.2</v>
      </c>
      <c r="S3681" s="12" t="inlineStr">
        <is>
          <t>Duct bank</t>
        </is>
      </c>
      <c r="T3681" s="17" t="n">
        <v>250</v>
      </c>
      <c r="U3681" s="17" t="n">
        <v>37</v>
      </c>
      <c r="V3681" s="17">
        <f>ROUNDUP((T3681+U3681+2*'Read Me'!$B$13)*(1+'Read Me'!$B$12),-1)</f>
        <v/>
      </c>
      <c r="W3681" s="17">
        <f>V3681*N3681*O3681</f>
        <v/>
      </c>
      <c r="X3681" s="12">
        <f>IF(LEFT(I3681,2)="MV",2*N3681*IF(L3681="1/C",O3681,1),0)</f>
        <v/>
      </c>
      <c r="Y3681" s="12">
        <f>IF(OR(LEFT(K3681,4)="LVAX",LEFT(K3681,6)="MV15AX",LEFT(K3681,4)="CTAX",LEFT(K3681,2)="W|"),2*N3681*O3681,0)</f>
        <v/>
      </c>
      <c r="Z3681" s="12" t="inlineStr">
        <is>
          <t>VD 2.9 %</t>
        </is>
      </c>
      <c r="AA3681" s="12">
        <f>N3681*O3681</f>
        <v/>
      </c>
    </row>
    <row r="3682">
      <c r="A3682" s="12" t="inlineStr">
        <is>
          <t>G-P-0249</t>
        </is>
      </c>
      <c r="B3682" s="12" t="inlineStr">
        <is>
          <t>G</t>
        </is>
      </c>
      <c r="C3682" s="12" t="inlineStr">
        <is>
          <t>Carbon capture</t>
        </is>
      </c>
      <c r="D3682" s="12" t="inlineStr">
        <is>
          <t>Motor 2 of 4, 15 kW</t>
        </is>
      </c>
      <c r="E3682" s="12" t="inlineStr"/>
      <c r="F3682" s="12" t="inlineStr">
        <is>
          <t>CCS MV switchgear building (VFDs)</t>
        </is>
      </c>
      <c r="G3682" s="12" t="inlineStr"/>
      <c r="H3682" s="12" t="inlineStr">
        <is>
          <t>Solvent + NaOH storage</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15</v>
      </c>
      <c r="R3682" s="12" t="n">
        <v>21.2</v>
      </c>
      <c r="S3682" s="12" t="inlineStr">
        <is>
          <t>Duct bank</t>
        </is>
      </c>
      <c r="T3682" s="17" t="n">
        <v>250</v>
      </c>
      <c r="U3682" s="17" t="n">
        <v>37</v>
      </c>
      <c r="V3682" s="17">
        <f>ROUNDUP((T3682+U3682+2*'Read Me'!$B$13)*(1+'Read Me'!$B$12),-1)</f>
        <v/>
      </c>
      <c r="W3682" s="17">
        <f>V3682*N3682*O3682</f>
        <v/>
      </c>
      <c r="X3682" s="12">
        <f>IF(LEFT(I3682,2)="MV",2*N3682*IF(L3682="1/C",O3682,1),0)</f>
        <v/>
      </c>
      <c r="Y3682" s="12">
        <f>IF(OR(LEFT(K3682,4)="LVAX",LEFT(K3682,6)="MV15AX",LEFT(K3682,4)="CTAX",LEFT(K3682,2)="W|"),2*N3682*O3682,0)</f>
        <v/>
      </c>
      <c r="Z3682" s="12" t="inlineStr">
        <is>
          <t>VD 2.9 %</t>
        </is>
      </c>
      <c r="AA3682" s="12">
        <f>N3682*O3682</f>
        <v/>
      </c>
    </row>
    <row r="3683">
      <c r="A3683" s="12" t="inlineStr">
        <is>
          <t>G-P-0250</t>
        </is>
      </c>
      <c r="B3683" s="12" t="inlineStr">
        <is>
          <t>G</t>
        </is>
      </c>
      <c r="C3683" s="12" t="inlineStr">
        <is>
          <t>Carbon capture</t>
        </is>
      </c>
      <c r="D3683" s="12" t="inlineStr">
        <is>
          <t>Motor 3 of 4, 15 kW</t>
        </is>
      </c>
      <c r="E3683" s="12" t="inlineStr"/>
      <c r="F3683" s="12" t="inlineStr">
        <is>
          <t>CCS MV switchgear building (VFDs)</t>
        </is>
      </c>
      <c r="G3683" s="12" t="inlineStr"/>
      <c r="H3683" s="12" t="inlineStr">
        <is>
          <t>Solvent + NaOH storage</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15</v>
      </c>
      <c r="R3683" s="12" t="n">
        <v>21.2</v>
      </c>
      <c r="S3683" s="12" t="inlineStr">
        <is>
          <t>Duct bank</t>
        </is>
      </c>
      <c r="T3683" s="17" t="n">
        <v>250</v>
      </c>
      <c r="U3683" s="17" t="n">
        <v>37</v>
      </c>
      <c r="V3683" s="17">
        <f>ROUNDUP((T3683+U3683+2*'Read Me'!$B$13)*(1+'Read Me'!$B$12),-1)</f>
        <v/>
      </c>
      <c r="W3683" s="17">
        <f>V3683*N3683*O3683</f>
        <v/>
      </c>
      <c r="X3683" s="12">
        <f>IF(LEFT(I3683,2)="MV",2*N3683*IF(L3683="1/C",O3683,1),0)</f>
        <v/>
      </c>
      <c r="Y3683" s="12">
        <f>IF(OR(LEFT(K3683,4)="LVAX",LEFT(K3683,6)="MV15AX",LEFT(K3683,4)="CTAX",LEFT(K3683,2)="W|"),2*N3683*O3683,0)</f>
        <v/>
      </c>
      <c r="Z3683" s="12" t="inlineStr">
        <is>
          <t>VD 2.9 %</t>
        </is>
      </c>
      <c r="AA3683" s="12">
        <f>N3683*O3683</f>
        <v/>
      </c>
    </row>
    <row r="3684">
      <c r="A3684" s="12" t="inlineStr">
        <is>
          <t>G-P-0251</t>
        </is>
      </c>
      <c r="B3684" s="12" t="inlineStr">
        <is>
          <t>G</t>
        </is>
      </c>
      <c r="C3684" s="12" t="inlineStr">
        <is>
          <t>Carbon capture</t>
        </is>
      </c>
      <c r="D3684" s="12" t="inlineStr">
        <is>
          <t>Motor 4 of 4, 15 kW</t>
        </is>
      </c>
      <c r="E3684" s="12" t="inlineStr"/>
      <c r="F3684" s="12" t="inlineStr">
        <is>
          <t>CCS MV switchgear building (VFDs)</t>
        </is>
      </c>
      <c r="G3684" s="12" t="inlineStr"/>
      <c r="H3684" s="12" t="inlineStr">
        <is>
          <t>Solvent + NaOH storage</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15</v>
      </c>
      <c r="R3684" s="12" t="n">
        <v>21.2</v>
      </c>
      <c r="S3684" s="12" t="inlineStr">
        <is>
          <t>Duct bank</t>
        </is>
      </c>
      <c r="T3684" s="17" t="n">
        <v>250</v>
      </c>
      <c r="U3684" s="17" t="n">
        <v>37</v>
      </c>
      <c r="V3684" s="17">
        <f>ROUNDUP((T3684+U3684+2*'Read Me'!$B$13)*(1+'Read Me'!$B$12),-1)</f>
        <v/>
      </c>
      <c r="W3684" s="17">
        <f>V3684*N3684*O3684</f>
        <v/>
      </c>
      <c r="X3684" s="12">
        <f>IF(LEFT(I3684,2)="MV",2*N3684*IF(L3684="1/C",O3684,1),0)</f>
        <v/>
      </c>
      <c r="Y3684" s="12">
        <f>IF(OR(LEFT(K3684,4)="LVAX",LEFT(K3684,6)="MV15AX",LEFT(K3684,4)="CTAX",LEFT(K3684,2)="W|"),2*N3684*O3684,0)</f>
        <v/>
      </c>
      <c r="Z3684" s="12" t="inlineStr">
        <is>
          <t>VD 2.9 %</t>
        </is>
      </c>
      <c r="AA3684" s="12">
        <f>N3684*O3684</f>
        <v/>
      </c>
    </row>
    <row r="3685">
      <c r="A3685" s="12" t="inlineStr">
        <is>
          <t>G-P-0252</t>
        </is>
      </c>
      <c r="B3685" s="12" t="inlineStr">
        <is>
          <t>G</t>
        </is>
      </c>
      <c r="C3685" s="12" t="inlineStr">
        <is>
          <t>Carbon capture</t>
        </is>
      </c>
      <c r="D3685" s="12" t="inlineStr">
        <is>
          <t>Motor 1 of 2, 110 kW</t>
        </is>
      </c>
      <c r="E3685" s="12" t="inlineStr"/>
      <c r="F3685" s="12" t="inlineStr">
        <is>
          <t>CCS MV switchgear building (VFDs)</t>
        </is>
      </c>
      <c r="G3685" s="12" t="inlineStr"/>
      <c r="H3685" s="12" t="inlineStr">
        <is>
          <t>Water-wash pumps A</t>
        </is>
      </c>
      <c r="I3685" s="12" t="inlineStr">
        <is>
          <t>LV 600 V</t>
        </is>
      </c>
      <c r="J3685" s="12" t="inlineStr">
        <is>
          <t>Type TC-ER 600 V 3/C Cu XHHW-2 + ground, PVC jacket</t>
        </is>
      </c>
      <c r="K3685" s="12" t="inlineStr">
        <is>
          <t>LV|3/C+G|3/0</t>
        </is>
      </c>
      <c r="L3685" s="12" t="inlineStr">
        <is>
          <t>3/C+G</t>
        </is>
      </c>
      <c r="M3685" s="12" t="inlineStr">
        <is>
          <t>3/0</t>
        </is>
      </c>
      <c r="N3685" s="12" t="n">
        <v>1</v>
      </c>
      <c r="O3685" s="12" t="n">
        <v>1</v>
      </c>
      <c r="P3685" s="12" t="n">
        <v>480</v>
      </c>
      <c r="Q3685" s="12" t="n">
        <v>110</v>
      </c>
      <c r="R3685" s="12" t="n">
        <v>155.7</v>
      </c>
      <c r="S3685" s="12" t="inlineStr">
        <is>
          <t>Tray</t>
        </is>
      </c>
      <c r="T3685" s="17" t="n">
        <v>465</v>
      </c>
      <c r="U3685" s="17" t="n">
        <v>96</v>
      </c>
      <c r="V3685" s="17">
        <f>ROUNDUP((T3685+U3685+2*'Read Me'!$B$13)*(1+'Read Me'!$B$12),-1)</f>
        <v/>
      </c>
      <c r="W3685" s="17">
        <f>V3685*N3685*O3685</f>
        <v/>
      </c>
      <c r="X3685" s="12">
        <f>IF(LEFT(I3685,2)="MV",2*N3685*IF(L3685="1/C",O3685,1),0)</f>
        <v/>
      </c>
      <c r="Y3685" s="12">
        <f>IF(OR(LEFT(K3685,4)="LVAX",LEFT(K3685,6)="MV15AX",LEFT(K3685,4)="CTAX",LEFT(K3685,2)="W|"),2*N3685*O3685,0)</f>
        <v/>
      </c>
      <c r="Z3685" s="12" t="inlineStr">
        <is>
          <t>VD 2.7 %</t>
        </is>
      </c>
      <c r="AA3685" s="12">
        <f>N3685*O3685</f>
        <v/>
      </c>
    </row>
    <row r="3686">
      <c r="A3686" s="12" t="inlineStr">
        <is>
          <t>G-P-0253</t>
        </is>
      </c>
      <c r="B3686" s="12" t="inlineStr">
        <is>
          <t>G</t>
        </is>
      </c>
      <c r="C3686" s="12" t="inlineStr">
        <is>
          <t>Carbon capture</t>
        </is>
      </c>
      <c r="D3686" s="12" t="inlineStr">
        <is>
          <t>Motor 2 of 2, 110 kW</t>
        </is>
      </c>
      <c r="E3686" s="12" t="inlineStr"/>
      <c r="F3686" s="12" t="inlineStr">
        <is>
          <t>CCS MV switchgear building (VFDs)</t>
        </is>
      </c>
      <c r="G3686" s="12" t="inlineStr"/>
      <c r="H3686" s="12" t="inlineStr">
        <is>
          <t>Water-wash pumps A</t>
        </is>
      </c>
      <c r="I3686" s="12" t="inlineStr">
        <is>
          <t>LV 600 V</t>
        </is>
      </c>
      <c r="J3686" s="12" t="inlineStr">
        <is>
          <t>Type TC-ER 600 V 3/C Cu XHHW-2 + ground, PVC jacket</t>
        </is>
      </c>
      <c r="K3686" s="12" t="inlineStr">
        <is>
          <t>LV|3/C+G|3/0</t>
        </is>
      </c>
      <c r="L3686" s="12" t="inlineStr">
        <is>
          <t>3/C+G</t>
        </is>
      </c>
      <c r="M3686" s="12" t="inlineStr">
        <is>
          <t>3/0</t>
        </is>
      </c>
      <c r="N3686" s="12" t="n">
        <v>1</v>
      </c>
      <c r="O3686" s="12" t="n">
        <v>1</v>
      </c>
      <c r="P3686" s="12" t="n">
        <v>480</v>
      </c>
      <c r="Q3686" s="12" t="n">
        <v>110</v>
      </c>
      <c r="R3686" s="12" t="n">
        <v>155.7</v>
      </c>
      <c r="S3686" s="12" t="inlineStr">
        <is>
          <t>Tray</t>
        </is>
      </c>
      <c r="T3686" s="17" t="n">
        <v>465</v>
      </c>
      <c r="U3686" s="17" t="n">
        <v>96</v>
      </c>
      <c r="V3686" s="17">
        <f>ROUNDUP((T3686+U3686+2*'Read Me'!$B$13)*(1+'Read Me'!$B$12),-1)</f>
        <v/>
      </c>
      <c r="W3686" s="17">
        <f>V3686*N3686*O3686</f>
        <v/>
      </c>
      <c r="X3686" s="12">
        <f>IF(LEFT(I3686,2)="MV",2*N3686*IF(L3686="1/C",O3686,1),0)</f>
        <v/>
      </c>
      <c r="Y3686" s="12">
        <f>IF(OR(LEFT(K3686,4)="LVAX",LEFT(K3686,6)="MV15AX",LEFT(K3686,4)="CTAX",LEFT(K3686,2)="W|"),2*N3686*O3686,0)</f>
        <v/>
      </c>
      <c r="Z3686" s="12" t="inlineStr">
        <is>
          <t>VD 2.7 %</t>
        </is>
      </c>
      <c r="AA3686" s="12">
        <f>N3686*O3686</f>
        <v/>
      </c>
    </row>
    <row r="3687">
      <c r="A3687" s="12" t="inlineStr">
        <is>
          <t>G-P-0254</t>
        </is>
      </c>
      <c r="B3687" s="12" t="inlineStr">
        <is>
          <t>G</t>
        </is>
      </c>
      <c r="C3687" s="12" t="inlineStr">
        <is>
          <t>Carbon capture</t>
        </is>
      </c>
      <c r="D3687" s="12" t="inlineStr">
        <is>
          <t>Motor 1 of 2, 110 kW</t>
        </is>
      </c>
      <c r="E3687" s="12" t="inlineStr"/>
      <c r="F3687" s="12" t="inlineStr">
        <is>
          <t>CCS MV switchgear building (VFDs)</t>
        </is>
      </c>
      <c r="G3687" s="12" t="inlineStr"/>
      <c r="H3687" s="12" t="inlineStr">
        <is>
          <t>Water-wash pumps B</t>
        </is>
      </c>
      <c r="I3687" s="12" t="inlineStr">
        <is>
          <t>LV 600 V</t>
        </is>
      </c>
      <c r="J3687" s="12" t="inlineStr">
        <is>
          <t>Type TC-ER 600 V 3/C Cu XHHW-2 + ground, PVC jacket</t>
        </is>
      </c>
      <c r="K3687" s="12" t="inlineStr">
        <is>
          <t>LV|3/C+G|3/0</t>
        </is>
      </c>
      <c r="L3687" s="12" t="inlineStr">
        <is>
          <t>3/C+G</t>
        </is>
      </c>
      <c r="M3687" s="12" t="inlineStr">
        <is>
          <t>3/0</t>
        </is>
      </c>
      <c r="N3687" s="12" t="n">
        <v>1</v>
      </c>
      <c r="O3687" s="12" t="n">
        <v>1</v>
      </c>
      <c r="P3687" s="12" t="n">
        <v>480</v>
      </c>
      <c r="Q3687" s="12" t="n">
        <v>110</v>
      </c>
      <c r="R3687" s="12" t="n">
        <v>155.7</v>
      </c>
      <c r="S3687" s="12" t="inlineStr">
        <is>
          <t>Tray</t>
        </is>
      </c>
      <c r="T3687" s="17" t="n">
        <v>305</v>
      </c>
      <c r="U3687" s="17" t="n">
        <v>96</v>
      </c>
      <c r="V3687" s="17">
        <f>ROUNDUP((T3687+U3687+2*'Read Me'!$B$13)*(1+'Read Me'!$B$12),-1)</f>
        <v/>
      </c>
      <c r="W3687" s="17">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G-P-0255</t>
        </is>
      </c>
      <c r="B3688" s="12" t="inlineStr">
        <is>
          <t>G</t>
        </is>
      </c>
      <c r="C3688" s="12" t="inlineStr">
        <is>
          <t>Carbon capture</t>
        </is>
      </c>
      <c r="D3688" s="12" t="inlineStr">
        <is>
          <t>Motor 2 of 2, 110 kW</t>
        </is>
      </c>
      <c r="E3688" s="12" t="inlineStr"/>
      <c r="F3688" s="12" t="inlineStr">
        <is>
          <t>CCS MV switchgear building (VFDs)</t>
        </is>
      </c>
      <c r="G3688" s="12" t="inlineStr"/>
      <c r="H3688" s="12" t="inlineStr">
        <is>
          <t>Water-wash pumps B</t>
        </is>
      </c>
      <c r="I3688" s="12" t="inlineStr">
        <is>
          <t>LV 600 V</t>
        </is>
      </c>
      <c r="J3688" s="12" t="inlineStr">
        <is>
          <t>Type TC-ER 600 V 3/C Cu XHHW-2 + ground, PVC jacket</t>
        </is>
      </c>
      <c r="K3688" s="12" t="inlineStr">
        <is>
          <t>LV|3/C+G|3/0</t>
        </is>
      </c>
      <c r="L3688" s="12" t="inlineStr">
        <is>
          <t>3/C+G</t>
        </is>
      </c>
      <c r="M3688" s="12" t="inlineStr">
        <is>
          <t>3/0</t>
        </is>
      </c>
      <c r="N3688" s="12" t="n">
        <v>1</v>
      </c>
      <c r="O3688" s="12" t="n">
        <v>1</v>
      </c>
      <c r="P3688" s="12" t="n">
        <v>480</v>
      </c>
      <c r="Q3688" s="12" t="n">
        <v>110</v>
      </c>
      <c r="R3688" s="12" t="n">
        <v>155.7</v>
      </c>
      <c r="S3688" s="12" t="inlineStr">
        <is>
          <t>Tray</t>
        </is>
      </c>
      <c r="T3688" s="17" t="n">
        <v>305</v>
      </c>
      <c r="U3688" s="17" t="n">
        <v>96</v>
      </c>
      <c r="V3688" s="17">
        <f>ROUNDUP((T3688+U3688+2*'Read Me'!$B$13)*(1+'Read Me'!$B$12),-1)</f>
        <v/>
      </c>
      <c r="W3688" s="17">
        <f>V3688*N3688*O3688</f>
        <v/>
      </c>
      <c r="X3688" s="12">
        <f>IF(LEFT(I3688,2)="MV",2*N3688*IF(L3688="1/C",O3688,1),0)</f>
        <v/>
      </c>
      <c r="Y3688" s="12">
        <f>IF(OR(LEFT(K3688,4)="LVAX",LEFT(K3688,6)="MV15AX",LEFT(K3688,4)="CTAX",LEFT(K3688,2)="W|"),2*N3688*O3688,0)</f>
        <v/>
      </c>
      <c r="Z3688" s="12" t="inlineStr">
        <is>
          <t>VD 1.9 %</t>
        </is>
      </c>
      <c r="AA3688" s="12">
        <f>N3688*O3688</f>
        <v/>
      </c>
    </row>
    <row r="3689">
      <c r="A3689" s="12" t="inlineStr">
        <is>
          <t>G-P-0256</t>
        </is>
      </c>
      <c r="B3689" s="12" t="inlineStr">
        <is>
          <t>G</t>
        </is>
      </c>
      <c r="C3689" s="12" t="inlineStr">
        <is>
          <t>Carbon capture</t>
        </is>
      </c>
      <c r="D3689" s="12" t="inlineStr">
        <is>
          <t>Motor 1 of 2, 110 kW</t>
        </is>
      </c>
      <c r="E3689" s="12" t="inlineStr"/>
      <c r="F3689" s="12" t="inlineStr">
        <is>
          <t>CCS MV switchgear building (VFDs)</t>
        </is>
      </c>
      <c r="G3689" s="12" t="inlineStr"/>
      <c r="H3689" s="12" t="inlineStr">
        <is>
          <t>Water-wash pumps C</t>
        </is>
      </c>
      <c r="I3689" s="12" t="inlineStr">
        <is>
          <t>LV 600 V</t>
        </is>
      </c>
      <c r="J3689" s="12" t="inlineStr">
        <is>
          <t>Type TC-ER 600 V 3/C Cu XHHW-2 + ground, PVC jacket</t>
        </is>
      </c>
      <c r="K3689" s="12" t="inlineStr">
        <is>
          <t>LV|3/C+G|3/0</t>
        </is>
      </c>
      <c r="L3689" s="12" t="inlineStr">
        <is>
          <t>3/C+G</t>
        </is>
      </c>
      <c r="M3689" s="12" t="inlineStr">
        <is>
          <t>3/0</t>
        </is>
      </c>
      <c r="N3689" s="12" t="n">
        <v>1</v>
      </c>
      <c r="O3689" s="12" t="n">
        <v>1</v>
      </c>
      <c r="P3689" s="12" t="n">
        <v>480</v>
      </c>
      <c r="Q3689" s="12" t="n">
        <v>110</v>
      </c>
      <c r="R3689" s="12" t="n">
        <v>155.7</v>
      </c>
      <c r="S3689" s="12" t="inlineStr">
        <is>
          <t>Tray</t>
        </is>
      </c>
      <c r="T3689" s="17" t="n">
        <v>145</v>
      </c>
      <c r="U3689" s="17" t="n">
        <v>96</v>
      </c>
      <c r="V3689" s="17">
        <f>ROUNDUP((T3689+U3689+2*'Read Me'!$B$13)*(1+'Read Me'!$B$12),-1)</f>
        <v/>
      </c>
      <c r="W3689" s="17">
        <f>V3689*N3689*O3689</f>
        <v/>
      </c>
      <c r="X3689" s="12">
        <f>IF(LEFT(I3689,2)="MV",2*N3689*IF(L3689="1/C",O3689,1),0)</f>
        <v/>
      </c>
      <c r="Y3689" s="12">
        <f>IF(OR(LEFT(K3689,4)="LVAX",LEFT(K3689,6)="MV15AX",LEFT(K3689,4)="CTAX",LEFT(K3689,2)="W|"),2*N3689*O3689,0)</f>
        <v/>
      </c>
      <c r="Z3689" s="12" t="inlineStr">
        <is>
          <t>VD 1.1 %</t>
        </is>
      </c>
      <c r="AA3689" s="12">
        <f>N3689*O3689</f>
        <v/>
      </c>
    </row>
    <row r="3690">
      <c r="A3690" s="12" t="inlineStr">
        <is>
          <t>G-P-0257</t>
        </is>
      </c>
      <c r="B3690" s="12" t="inlineStr">
        <is>
          <t>G</t>
        </is>
      </c>
      <c r="C3690" s="12" t="inlineStr">
        <is>
          <t>Carbon capture</t>
        </is>
      </c>
      <c r="D3690" s="12" t="inlineStr">
        <is>
          <t>Motor 2 of 2, 110 kW</t>
        </is>
      </c>
      <c r="E3690" s="12" t="inlineStr"/>
      <c r="F3690" s="12" t="inlineStr">
        <is>
          <t>CCS MV switchgear building (VFDs)</t>
        </is>
      </c>
      <c r="G3690" s="12" t="inlineStr"/>
      <c r="H3690" s="12" t="inlineStr">
        <is>
          <t>Water-wash pumps C</t>
        </is>
      </c>
      <c r="I3690" s="12" t="inlineStr">
        <is>
          <t>LV 600 V</t>
        </is>
      </c>
      <c r="J3690" s="12" t="inlineStr">
        <is>
          <t>Type TC-ER 600 V 3/C Cu XHHW-2 + ground, PVC jacket</t>
        </is>
      </c>
      <c r="K3690" s="12" t="inlineStr">
        <is>
          <t>LV|3/C+G|3/0</t>
        </is>
      </c>
      <c r="L3690" s="12" t="inlineStr">
        <is>
          <t>3/C+G</t>
        </is>
      </c>
      <c r="M3690" s="12" t="inlineStr">
        <is>
          <t>3/0</t>
        </is>
      </c>
      <c r="N3690" s="12" t="n">
        <v>1</v>
      </c>
      <c r="O3690" s="12" t="n">
        <v>1</v>
      </c>
      <c r="P3690" s="12" t="n">
        <v>480</v>
      </c>
      <c r="Q3690" s="12" t="n">
        <v>110</v>
      </c>
      <c r="R3690" s="12" t="n">
        <v>155.7</v>
      </c>
      <c r="S3690" s="12" t="inlineStr">
        <is>
          <t>Tray</t>
        </is>
      </c>
      <c r="T3690" s="17" t="n">
        <v>145</v>
      </c>
      <c r="U3690" s="17" t="n">
        <v>96</v>
      </c>
      <c r="V3690" s="17">
        <f>ROUNDUP((T3690+U3690+2*'Read Me'!$B$13)*(1+'Read Me'!$B$12),-1)</f>
        <v/>
      </c>
      <c r="W3690" s="17">
        <f>V3690*N3690*O3690</f>
        <v/>
      </c>
      <c r="X3690" s="12">
        <f>IF(LEFT(I3690,2)="MV",2*N3690*IF(L3690="1/C",O3690,1),0)</f>
        <v/>
      </c>
      <c r="Y3690" s="12">
        <f>IF(OR(LEFT(K3690,4)="LVAX",LEFT(K3690,6)="MV15AX",LEFT(K3690,4)="CTAX",LEFT(K3690,2)="W|"),2*N3690*O3690,0)</f>
        <v/>
      </c>
      <c r="Z3690" s="12" t="inlineStr">
        <is>
          <t>VD 1.1 %</t>
        </is>
      </c>
      <c r="AA3690" s="12">
        <f>N3690*O3690</f>
        <v/>
      </c>
    </row>
    <row r="3691">
      <c r="A3691" s="12" t="inlineStr">
        <is>
          <t>G-MV-0001</t>
        </is>
      </c>
      <c r="B3691" s="12" t="inlineStr">
        <is>
          <t>G</t>
        </is>
      </c>
      <c r="C3691" s="12" t="inlineStr">
        <is>
          <t>Carbon capture</t>
        </is>
      </c>
      <c r="D3691" s="12" t="inlineStr">
        <is>
          <t>Booster fan BF-A (MV VFD output)</t>
        </is>
      </c>
      <c r="E3691" s="12" t="inlineStr"/>
      <c r="F3691" s="12" t="inlineStr">
        <is>
          <t>CCS MV switchgear building (VFDs)</t>
        </is>
      </c>
      <c r="G3691" s="12" t="inlineStr">
        <is>
          <t>BF-A</t>
        </is>
      </c>
      <c r="H3691" s="12" t="inlineStr">
        <is>
          <t>BF-A: booster fan (~16 MW)</t>
        </is>
      </c>
      <c r="I3691" s="12" t="inlineStr">
        <is>
          <t>MV 15 kV</t>
        </is>
      </c>
      <c r="J3691" s="12" t="inlineStr">
        <is>
          <t>MV-105 15 kV 1/C Cu, EPR 133%, Cu tape shield, PVC jacket (triplexed)</t>
        </is>
      </c>
      <c r="K3691" s="12" t="inlineStr">
        <is>
          <t>MV15|1/C|750</t>
        </is>
      </c>
      <c r="L3691" s="12" t="inlineStr">
        <is>
          <t>1/C</t>
        </is>
      </c>
      <c r="M3691" s="12" t="inlineStr">
        <is>
          <t>750 kcmil</t>
        </is>
      </c>
      <c r="N3691" s="12" t="n">
        <v>2</v>
      </c>
      <c r="O3691" s="12" t="n">
        <v>3</v>
      </c>
      <c r="P3691" s="12" t="n">
        <v>13800</v>
      </c>
      <c r="Q3691" s="12" t="n">
        <v>16000</v>
      </c>
      <c r="R3691" s="12" t="n">
        <v>744</v>
      </c>
      <c r="S3691" s="12" t="inlineStr">
        <is>
          <t>Duct bank</t>
        </is>
      </c>
      <c r="T3691" s="17" t="n">
        <v>460</v>
      </c>
      <c r="U3691" s="17" t="n">
        <v>32</v>
      </c>
      <c r="V3691" s="17">
        <f>ROUNDUP((T3691+U3691+2*'Read Me'!$B$13)*(1+'Read Me'!$B$12),-1)</f>
        <v/>
      </c>
      <c r="W3691" s="17">
        <f>V3691*N3691*O3691</f>
        <v/>
      </c>
      <c r="X3691" s="12">
        <f>IF(LEFT(I3691,2)="MV",2*N3691*IF(L3691="1/C",O3691,1),0)</f>
        <v/>
      </c>
      <c r="Y3691" s="12">
        <f>IF(OR(LEFT(K3691,4)="LVAX",LEFT(K3691,6)="MV15AX",LEFT(K3691,4)="CTAX",LEFT(K3691,2)="W|"),2*N3691*O3691,0)</f>
        <v/>
      </c>
      <c r="Z3691" s="12" t="inlineStr">
        <is>
          <t>~16 MW per drawing</t>
        </is>
      </c>
      <c r="AA3691" s="12">
        <f>N3691*O3691</f>
        <v/>
      </c>
    </row>
    <row r="3692">
      <c r="A3692" s="12" t="inlineStr">
        <is>
          <t>G-MV-0002</t>
        </is>
      </c>
      <c r="B3692" s="12" t="inlineStr">
        <is>
          <t>G</t>
        </is>
      </c>
      <c r="C3692" s="12" t="inlineStr">
        <is>
          <t>Carbon capture</t>
        </is>
      </c>
      <c r="D3692" s="12" t="inlineStr">
        <is>
          <t>Booster fan BF-B (MV VFD output)</t>
        </is>
      </c>
      <c r="E3692" s="12" t="inlineStr"/>
      <c r="F3692" s="12" t="inlineStr">
        <is>
          <t>CCS MV switchgear building (VFDs)</t>
        </is>
      </c>
      <c r="G3692" s="12" t="inlineStr">
        <is>
          <t>BF-B</t>
        </is>
      </c>
      <c r="H3692" s="12" t="inlineStr">
        <is>
          <t>BF-B: booster fan (~16 MW)</t>
        </is>
      </c>
      <c r="I3692" s="12" t="inlineStr">
        <is>
          <t>MV 15 kV</t>
        </is>
      </c>
      <c r="J3692" s="12" t="inlineStr">
        <is>
          <t>MV-105 15 kV 1/C Cu, EPR 133%, Cu tape shield, PVC jacket (triplexed)</t>
        </is>
      </c>
      <c r="K3692" s="12" t="inlineStr">
        <is>
          <t>MV15|1/C|750</t>
        </is>
      </c>
      <c r="L3692" s="12" t="inlineStr">
        <is>
          <t>1/C</t>
        </is>
      </c>
      <c r="M3692" s="12" t="inlineStr">
        <is>
          <t>750 kcmil</t>
        </is>
      </c>
      <c r="N3692" s="12" t="n">
        <v>2</v>
      </c>
      <c r="O3692" s="12" t="n">
        <v>3</v>
      </c>
      <c r="P3692" s="12" t="n">
        <v>13800</v>
      </c>
      <c r="Q3692" s="12" t="n">
        <v>16000</v>
      </c>
      <c r="R3692" s="12" t="n">
        <v>744</v>
      </c>
      <c r="S3692" s="12" t="inlineStr">
        <is>
          <t>Duct bank</t>
        </is>
      </c>
      <c r="T3692" s="17" t="n">
        <v>300</v>
      </c>
      <c r="U3692" s="17" t="n">
        <v>32</v>
      </c>
      <c r="V3692" s="17">
        <f>ROUNDUP((T3692+U3692+2*'Read Me'!$B$13)*(1+'Read Me'!$B$12),-1)</f>
        <v/>
      </c>
      <c r="W3692" s="17">
        <f>V3692*N3692*O3692</f>
        <v/>
      </c>
      <c r="X3692" s="12">
        <f>IF(LEFT(I3692,2)="MV",2*N3692*IF(L3692="1/C",O3692,1),0)</f>
        <v/>
      </c>
      <c r="Y3692" s="12">
        <f>IF(OR(LEFT(K3692,4)="LVAX",LEFT(K3692,6)="MV15AX",LEFT(K3692,4)="CTAX",LEFT(K3692,2)="W|"),2*N3692*O3692,0)</f>
        <v/>
      </c>
      <c r="Z3692" s="12" t="inlineStr">
        <is>
          <t>~16 MW per drawing</t>
        </is>
      </c>
      <c r="AA3692" s="12">
        <f>N3692*O3692</f>
        <v/>
      </c>
    </row>
    <row r="3693">
      <c r="A3693" s="12" t="inlineStr">
        <is>
          <t>G-MV-0003</t>
        </is>
      </c>
      <c r="B3693" s="12" t="inlineStr">
        <is>
          <t>G</t>
        </is>
      </c>
      <c r="C3693" s="12" t="inlineStr">
        <is>
          <t>Carbon capture</t>
        </is>
      </c>
      <c r="D3693" s="12" t="inlineStr">
        <is>
          <t>Booster fan BF-C (MV VFD output)</t>
        </is>
      </c>
      <c r="E3693" s="12" t="inlineStr"/>
      <c r="F3693" s="12" t="inlineStr">
        <is>
          <t>CCS MV switchgear building (VFDs)</t>
        </is>
      </c>
      <c r="G3693" s="12" t="inlineStr">
        <is>
          <t>BF-C</t>
        </is>
      </c>
      <c r="H3693" s="12" t="inlineStr">
        <is>
          <t>BF-C: booster fan (~16 MW)</t>
        </is>
      </c>
      <c r="I3693" s="12" t="inlineStr">
        <is>
          <t>MV 15 kV</t>
        </is>
      </c>
      <c r="J3693" s="12" t="inlineStr">
        <is>
          <t>MV-105 15 kV 1/C Cu, EPR 133%, Cu tape shield, PVC jacket (triplexed)</t>
        </is>
      </c>
      <c r="K3693" s="12" t="inlineStr">
        <is>
          <t>MV15|1/C|750</t>
        </is>
      </c>
      <c r="L3693" s="12" t="inlineStr">
        <is>
          <t>1/C</t>
        </is>
      </c>
      <c r="M3693" s="12" t="inlineStr">
        <is>
          <t>750 kcmil</t>
        </is>
      </c>
      <c r="N3693" s="12" t="n">
        <v>2</v>
      </c>
      <c r="O3693" s="12" t="n">
        <v>3</v>
      </c>
      <c r="P3693" s="12" t="n">
        <v>13800</v>
      </c>
      <c r="Q3693" s="12" t="n">
        <v>16000</v>
      </c>
      <c r="R3693" s="12" t="n">
        <v>744</v>
      </c>
      <c r="S3693" s="12" t="inlineStr">
        <is>
          <t>Tray</t>
        </is>
      </c>
      <c r="T3693" s="17" t="n">
        <v>16</v>
      </c>
      <c r="U3693" s="17" t="n">
        <v>150</v>
      </c>
      <c r="V3693" s="17">
        <f>ROUNDUP((T3693+U3693+2*'Read Me'!$B$13)*(1+'Read Me'!$B$12),-1)</f>
        <v/>
      </c>
      <c r="W3693" s="17">
        <f>V3693*N3693*O3693</f>
        <v/>
      </c>
      <c r="X3693" s="12">
        <f>IF(LEFT(I3693,2)="MV",2*N3693*IF(L3693="1/C",O3693,1),0)</f>
        <v/>
      </c>
      <c r="Y3693" s="12">
        <f>IF(OR(LEFT(K3693,4)="LVAX",LEFT(K3693,6)="MV15AX",LEFT(K3693,4)="CTAX",LEFT(K3693,2)="W|"),2*N3693*O3693,0)</f>
        <v/>
      </c>
      <c r="Z3693" s="12" t="inlineStr">
        <is>
          <t>~16 MW per drawing</t>
        </is>
      </c>
      <c r="AA3693" s="12">
        <f>N3693*O3693</f>
        <v/>
      </c>
    </row>
    <row r="3694">
      <c r="A3694" s="12" t="inlineStr">
        <is>
          <t>G-MV-0004</t>
        </is>
      </c>
      <c r="B3694" s="12" t="inlineStr">
        <is>
          <t>G</t>
        </is>
      </c>
      <c r="C3694" s="12" t="inlineStr">
        <is>
          <t>Carbon capture</t>
        </is>
      </c>
      <c r="D3694" s="12" t="inlineStr">
        <is>
          <t>CCS T-1 secondary to CCS 13.8 kV switchgear</t>
        </is>
      </c>
      <c r="E3694" s="12" t="inlineStr">
        <is>
          <t>CCS T-1</t>
        </is>
      </c>
      <c r="F3694" s="12" t="inlineStr">
        <is>
          <t>CCS T-1: 230/13.8 kV</t>
        </is>
      </c>
      <c r="G3694" s="12" t="inlineStr"/>
      <c r="H3694" s="12" t="inlineStr">
        <is>
          <t>CCS MV switchgear building (VFDs)</t>
        </is>
      </c>
      <c r="I3694" s="12" t="inlineStr">
        <is>
          <t>MV 15 kV</t>
        </is>
      </c>
      <c r="J3694" s="12" t="inlineStr">
        <is>
          <t>MV-105 15 kV 1/C Cu, EPR 133%, Cu tape shield, PVC jacket (triplexed)</t>
        </is>
      </c>
      <c r="K3694" s="12" t="inlineStr">
        <is>
          <t>MV15|1/C|1000</t>
        </is>
      </c>
      <c r="L3694" s="12" t="inlineStr">
        <is>
          <t>1/C</t>
        </is>
      </c>
      <c r="M3694" s="12" t="inlineStr">
        <is>
          <t>1000 kcmil</t>
        </is>
      </c>
      <c r="N3694" s="12" t="n">
        <v>5</v>
      </c>
      <c r="O3694" s="12" t="n">
        <v>3</v>
      </c>
      <c r="P3694" s="12" t="n">
        <v>13800</v>
      </c>
      <c r="Q3694" s="12" t="n">
        <v>60000</v>
      </c>
      <c r="R3694" s="12" t="n">
        <v>2510</v>
      </c>
      <c r="S3694" s="12" t="inlineStr">
        <is>
          <t>Duct bank</t>
        </is>
      </c>
      <c r="T3694" s="17" t="n">
        <v>361</v>
      </c>
      <c r="U3694" s="17" t="n">
        <v>32</v>
      </c>
      <c r="V3694" s="17">
        <f>ROUNDUP((T3694+U3694+2*'Read Me'!$B$13)*(1+'Read Me'!$B$12),-1)</f>
        <v/>
      </c>
      <c r="W3694" s="17">
        <f>V3694*N3694*O3694</f>
        <v/>
      </c>
      <c r="X3694" s="12">
        <f>IF(LEFT(I3694,2)="MV",2*N3694*IF(L3694="1/C",O3694,1),0)</f>
        <v/>
      </c>
      <c r="Y3694" s="12">
        <f>IF(OR(LEFT(K3694,4)="LVAX",LEFT(K3694,6)="MV15AX",LEFT(K3694,4)="CTAX",LEFT(K3694,2)="W|"),2*N3694*O3694,0)</f>
        <v/>
      </c>
      <c r="Z3694" s="12" t="inlineStr">
        <is>
          <t>60 MVA (typ.)</t>
        </is>
      </c>
      <c r="AA3694" s="12">
        <f>N3694*O3694</f>
        <v/>
      </c>
    </row>
    <row r="3695">
      <c r="A3695" s="12" t="inlineStr">
        <is>
          <t>G-MV-0005</t>
        </is>
      </c>
      <c r="B3695" s="12" t="inlineStr">
        <is>
          <t>G</t>
        </is>
      </c>
      <c r="C3695" s="12" t="inlineStr">
        <is>
          <t>Carbon capture</t>
        </is>
      </c>
      <c r="D3695" s="12" t="inlineStr">
        <is>
          <t>CCS T-2 secondary to CCS 13.8 kV switchgear</t>
        </is>
      </c>
      <c r="E3695" s="12" t="inlineStr">
        <is>
          <t>CCS T-2</t>
        </is>
      </c>
      <c r="F3695" s="12" t="inlineStr">
        <is>
          <t>CCS T-2: 230/13.8 kV</t>
        </is>
      </c>
      <c r="G3695" s="12" t="inlineStr"/>
      <c r="H3695" s="12" t="inlineStr">
        <is>
          <t>CCS MV switchgear building (VFDs)</t>
        </is>
      </c>
      <c r="I3695" s="12" t="inlineStr">
        <is>
          <t>MV 15 kV</t>
        </is>
      </c>
      <c r="J3695" s="12" t="inlineStr">
        <is>
          <t>MV-105 15 kV 1/C Cu, EPR 133%, Cu tape shield, PVC jacket (triplexed)</t>
        </is>
      </c>
      <c r="K3695" s="12" t="inlineStr">
        <is>
          <t>MV15|1/C|1000</t>
        </is>
      </c>
      <c r="L3695" s="12" t="inlineStr">
        <is>
          <t>1/C</t>
        </is>
      </c>
      <c r="M3695" s="12" t="inlineStr">
        <is>
          <t>1000 kcmil</t>
        </is>
      </c>
      <c r="N3695" s="12" t="n">
        <v>5</v>
      </c>
      <c r="O3695" s="12" t="n">
        <v>3</v>
      </c>
      <c r="P3695" s="12" t="n">
        <v>13800</v>
      </c>
      <c r="Q3695" s="12" t="n">
        <v>60000</v>
      </c>
      <c r="R3695" s="12" t="n">
        <v>2510</v>
      </c>
      <c r="S3695" s="12" t="inlineStr">
        <is>
          <t>Duct bank</t>
        </is>
      </c>
      <c r="T3695" s="17" t="n">
        <v>409</v>
      </c>
      <c r="U3695" s="17" t="n">
        <v>32</v>
      </c>
      <c r="V3695" s="17">
        <f>ROUNDUP((T3695+U3695+2*'Read Me'!$B$13)*(1+'Read Me'!$B$12),-1)</f>
        <v/>
      </c>
      <c r="W3695" s="17">
        <f>V3695*N3695*O3695</f>
        <v/>
      </c>
      <c r="X3695" s="12">
        <f>IF(LEFT(I3695,2)="MV",2*N3695*IF(L3695="1/C",O3695,1),0)</f>
        <v/>
      </c>
      <c r="Y3695" s="12">
        <f>IF(OR(LEFT(K3695,4)="LVAX",LEFT(K3695,6)="MV15AX",LEFT(K3695,4)="CTAX",LEFT(K3695,2)="W|"),2*N3695*O3695,0)</f>
        <v/>
      </c>
      <c r="Z3695" s="12" t="inlineStr">
        <is>
          <t>60 MVA (typ.)</t>
        </is>
      </c>
      <c r="AA3695" s="12">
        <f>N3695*O3695</f>
        <v/>
      </c>
    </row>
    <row r="3696">
      <c r="A3696" s="12" t="inlineStr">
        <is>
          <t>G-MV-0006</t>
        </is>
      </c>
      <c r="B3696" s="12" t="inlineStr">
        <is>
          <t>G</t>
        </is>
      </c>
      <c r="C3696" s="12" t="inlineStr">
        <is>
          <t>Carbon capture</t>
        </is>
      </c>
      <c r="D3696" s="12" t="inlineStr">
        <is>
          <t>CO2 compressor train 1</t>
        </is>
      </c>
      <c r="E3696" s="12" t="inlineStr"/>
      <c r="F3696" s="12" t="inlineStr">
        <is>
          <t>CCS MV switchgear building (VFDs)</t>
        </is>
      </c>
      <c r="G3696" s="12" t="inlineStr"/>
      <c r="H3696" s="12" t="inlineStr">
        <is>
          <t>CO2 compression 3 x ~19 MW + dehydration</t>
        </is>
      </c>
      <c r="I3696" s="12" t="inlineStr">
        <is>
          <t>MV 15 kV</t>
        </is>
      </c>
      <c r="J3696" s="12" t="inlineStr">
        <is>
          <t>MV-105 15 kV 1/C Cu, EPR 133%, Cu tape shield, PVC jacket (triplexed)</t>
        </is>
      </c>
      <c r="K3696" s="12" t="inlineStr">
        <is>
          <t>MV15|1/C|750</t>
        </is>
      </c>
      <c r="L3696" s="12" t="inlineStr">
        <is>
          <t>1/C</t>
        </is>
      </c>
      <c r="M3696" s="12" t="inlineStr">
        <is>
          <t>750 kcmil</t>
        </is>
      </c>
      <c r="N3696" s="12" t="n">
        <v>2</v>
      </c>
      <c r="O3696" s="12" t="n">
        <v>3</v>
      </c>
      <c r="P3696" s="12" t="n">
        <v>13800</v>
      </c>
      <c r="Q3696" s="12" t="n">
        <v>19000</v>
      </c>
      <c r="R3696" s="12" t="n">
        <v>883</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~19 MW per drawing</t>
        </is>
      </c>
      <c r="AA3696" s="12">
        <f>N3696*O3696</f>
        <v/>
      </c>
    </row>
    <row r="3697">
      <c r="A3697" s="12" t="inlineStr">
        <is>
          <t>G-MV-0007</t>
        </is>
      </c>
      <c r="B3697" s="12" t="inlineStr">
        <is>
          <t>G</t>
        </is>
      </c>
      <c r="C3697" s="12" t="inlineStr">
        <is>
          <t>Carbon capture</t>
        </is>
      </c>
      <c r="D3697" s="12" t="inlineStr">
        <is>
          <t>CO2 compressor train 2</t>
        </is>
      </c>
      <c r="E3697" s="12" t="inlineStr"/>
      <c r="F3697" s="12" t="inlineStr">
        <is>
          <t>CCS MV switchgear building (VFDs)</t>
        </is>
      </c>
      <c r="G3697" s="12" t="inlineStr"/>
      <c r="H3697" s="12" t="inlineStr">
        <is>
          <t>CO2 compression 3 x ~19 MW + dehydration</t>
        </is>
      </c>
      <c r="I3697" s="12" t="inlineStr">
        <is>
          <t>MV 15 kV</t>
        </is>
      </c>
      <c r="J3697" s="12" t="inlineStr">
        <is>
          <t>MV-105 15 kV 1/C Cu, EPR 133%, Cu tape shield, PVC jacket (triplexed)</t>
        </is>
      </c>
      <c r="K3697" s="12" t="inlineStr">
        <is>
          <t>MV15|1/C|750</t>
        </is>
      </c>
      <c r="L3697" s="12" t="inlineStr">
        <is>
          <t>1/C</t>
        </is>
      </c>
      <c r="M3697" s="12" t="inlineStr">
        <is>
          <t>750 kcmil</t>
        </is>
      </c>
      <c r="N3697" s="12" t="n">
        <v>2</v>
      </c>
      <c r="O3697" s="12" t="n">
        <v>3</v>
      </c>
      <c r="P3697" s="12" t="n">
        <v>13800</v>
      </c>
      <c r="Q3697" s="12" t="n">
        <v>19000</v>
      </c>
      <c r="R3697" s="12" t="n">
        <v>883</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~19 MW per drawing</t>
        </is>
      </c>
      <c r="AA3697" s="12">
        <f>N3697*O3697</f>
        <v/>
      </c>
    </row>
    <row r="3698">
      <c r="A3698" s="12" t="inlineStr">
        <is>
          <t>G-MV-0008</t>
        </is>
      </c>
      <c r="B3698" s="12" t="inlineStr">
        <is>
          <t>G</t>
        </is>
      </c>
      <c r="C3698" s="12" t="inlineStr">
        <is>
          <t>Carbon capture</t>
        </is>
      </c>
      <c r="D3698" s="12" t="inlineStr">
        <is>
          <t>CO2 compressor train 3</t>
        </is>
      </c>
      <c r="E3698" s="12" t="inlineStr"/>
      <c r="F3698" s="12" t="inlineStr">
        <is>
          <t>CCS MV switchgear building (VFDs)</t>
        </is>
      </c>
      <c r="G3698" s="12" t="inlineStr"/>
      <c r="H3698" s="12" t="inlineStr">
        <is>
          <t>CO2 compression 3 x ~19 MW + dehydration</t>
        </is>
      </c>
      <c r="I3698" s="12" t="inlineStr">
        <is>
          <t>MV 15 kV</t>
        </is>
      </c>
      <c r="J3698" s="12" t="inlineStr">
        <is>
          <t>MV-105 15 kV 1/C Cu, EPR 133%, Cu tape shield, PVC jacket (triplexed)</t>
        </is>
      </c>
      <c r="K3698" s="12" t="inlineStr">
        <is>
          <t>MV15|1/C|750</t>
        </is>
      </c>
      <c r="L3698" s="12" t="inlineStr">
        <is>
          <t>1/C</t>
        </is>
      </c>
      <c r="M3698" s="12" t="inlineStr">
        <is>
          <t>750 kcmil</t>
        </is>
      </c>
      <c r="N3698" s="12" t="n">
        <v>2</v>
      </c>
      <c r="O3698" s="12" t="n">
        <v>3</v>
      </c>
      <c r="P3698" s="12" t="n">
        <v>13800</v>
      </c>
      <c r="Q3698" s="12" t="n">
        <v>19000</v>
      </c>
      <c r="R3698" s="12" t="n">
        <v>883</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~19 MW per drawing</t>
        </is>
      </c>
      <c r="AA3698" s="12">
        <f>N3698*O3698</f>
        <v/>
      </c>
    </row>
    <row r="3699">
      <c r="A3699" s="12" t="inlineStr">
        <is>
          <t>G-MV-0009</t>
        </is>
      </c>
      <c r="B3699" s="12" t="inlineStr">
        <is>
          <t>G</t>
        </is>
      </c>
      <c r="C3699" s="12" t="inlineStr">
        <is>
          <t>Carbon capture</t>
        </is>
      </c>
      <c r="D3699" s="12" t="inlineStr">
        <is>
          <t>HP CO2 export compressor (conditional)</t>
        </is>
      </c>
      <c r="E3699" s="12" t="inlineStr"/>
      <c r="F3699" s="12" t="inlineStr">
        <is>
          <t>CCS MV switchgear building (VFDs)</t>
        </is>
      </c>
      <c r="G3699" s="12" t="inlineStr"/>
      <c r="H3699" s="12" t="inlineStr">
        <is>
          <t>CONDITIONAL: HP export compressor + metering</t>
        </is>
      </c>
      <c r="I3699" s="12" t="inlineStr">
        <is>
          <t>MV 15 kV</t>
        </is>
      </c>
      <c r="J3699" s="12" t="inlineStr">
        <is>
          <t>MV-105 15 kV 1/C Cu, EPR 133%, Cu tape shield, PVC jacket (triplexed)</t>
        </is>
      </c>
      <c r="K3699" s="12" t="inlineStr">
        <is>
          <t>MV15|1/C|750</t>
        </is>
      </c>
      <c r="L3699" s="12" t="inlineStr">
        <is>
          <t>1/C</t>
        </is>
      </c>
      <c r="M3699" s="12" t="inlineStr">
        <is>
          <t>750 kcmil</t>
        </is>
      </c>
      <c r="N3699" s="12" t="n">
        <v>1</v>
      </c>
      <c r="O3699" s="12" t="n">
        <v>3</v>
      </c>
      <c r="P3699" s="12" t="n">
        <v>13800</v>
      </c>
      <c r="Q3699" s="12" t="n">
        <v>8000</v>
      </c>
      <c r="R3699" s="12" t="n">
        <v>372</v>
      </c>
      <c r="S3699" s="12" t="inlineStr">
        <is>
          <t>Duct bank</t>
        </is>
      </c>
      <c r="T3699" s="17" t="n">
        <v>303</v>
      </c>
      <c r="U3699" s="17" t="n">
        <v>34</v>
      </c>
      <c r="V3699" s="17">
        <f>ROUNDUP((T3699+U3699+2*'Read Me'!$B$13)*(1+'Read Me'!$B$12),-1)</f>
        <v/>
      </c>
      <c r="W3699" s="17">
        <f>V3699*N3699*O3699</f>
        <v/>
      </c>
      <c r="X3699" s="12">
        <f>IF(LEFT(I3699,2)="MV",2*N3699*IF(L3699="1/C",O3699,1),0)</f>
        <v/>
      </c>
      <c r="Y3699" s="12">
        <f>IF(OR(LEFT(K3699,4)="LVAX",LEFT(K3699,6)="MV15AX",LEFT(K3699,4)="CTAX",LEFT(K3699,2)="W|"),2*N3699*O3699,0)</f>
        <v/>
      </c>
      <c r="Z3699" s="12" t="inlineStr"/>
      <c r="AA3699" s="12">
        <f>N3699*O3699</f>
        <v/>
      </c>
    </row>
    <row r="3700">
      <c r="A3700" s="12" t="inlineStr">
        <is>
          <t>G-MV-0010</t>
        </is>
      </c>
      <c r="B3700" s="12" t="inlineStr">
        <is>
          <t>G</t>
        </is>
      </c>
      <c r="C3700" s="12" t="inlineStr">
        <is>
          <t>Carbon capture</t>
        </is>
      </c>
      <c r="D3700" s="12" t="inlineStr">
        <is>
          <t>CT MCC / VFD e-house transformer</t>
        </is>
      </c>
      <c r="E3700" s="12" t="inlineStr"/>
      <c r="F3700" s="12" t="inlineStr">
        <is>
          <t>CCS MV switchgear building (VFDs)</t>
        </is>
      </c>
      <c r="G3700" s="12" t="inlineStr"/>
      <c r="H3700" s="12" t="inlineStr">
        <is>
          <t>CT MCC / VFD e-house</t>
        </is>
      </c>
      <c r="I3700" s="12" t="inlineStr">
        <is>
          <t>MV 15 kV</t>
        </is>
      </c>
      <c r="J3700" s="12" t="inlineStr">
        <is>
          <t>MV-105 15 kV 1/C Cu, EPR 133%, Cu tape shield, PVC jacket (triplexed)</t>
        </is>
      </c>
      <c r="K3700" s="12" t="inlineStr">
        <is>
          <t>MV15|1/C|1/0</t>
        </is>
      </c>
      <c r="L3700" s="12" t="inlineStr">
        <is>
          <t>1/C</t>
        </is>
      </c>
      <c r="M3700" s="12" t="inlineStr">
        <is>
          <t>1/0</t>
        </is>
      </c>
      <c r="N3700" s="12" t="n">
        <v>1</v>
      </c>
      <c r="O3700" s="12" t="n">
        <v>3</v>
      </c>
      <c r="P3700" s="12" t="n">
        <v>13800</v>
      </c>
      <c r="Q3700" s="12" t="n">
        <v>3000</v>
      </c>
      <c r="R3700" s="12" t="n">
        <v>126</v>
      </c>
      <c r="S3700" s="12" t="inlineStr">
        <is>
          <t>Duct bank</t>
        </is>
      </c>
      <c r="T3700" s="17" t="n">
        <v>925</v>
      </c>
      <c r="U3700" s="17" t="n">
        <v>32</v>
      </c>
      <c r="V3700" s="17">
        <f>ROUNDUP((T3700+U3700+2*'Read Me'!$B$13)*(1+'Read Me'!$B$12),-1)</f>
        <v/>
      </c>
      <c r="W3700" s="17">
        <f>V3700*N3700*O3700</f>
        <v/>
      </c>
      <c r="X3700" s="12">
        <f>IF(LEFT(I3700,2)="MV",2*N3700*IF(L3700="1/C",O3700,1),0)</f>
        <v/>
      </c>
      <c r="Y3700" s="12">
        <f>IF(OR(LEFT(K3700,4)="LVAX",LEFT(K3700,6)="MV15AX",LEFT(K3700,4)="CTAX",LEFT(K3700,2)="W|"),2*N3700*O3700,0)</f>
        <v/>
      </c>
      <c r="Z3700" s="12" t="inlineStr"/>
      <c r="AA3700" s="12">
        <f>N3700*O3700</f>
        <v/>
      </c>
    </row>
    <row r="3701">
      <c r="A3701" s="12" t="inlineStr">
        <is>
          <t>G-MV-0011</t>
        </is>
      </c>
      <c r="B3701" s="12" t="inlineStr">
        <is>
          <t>G</t>
        </is>
      </c>
      <c r="C3701" s="12" t="inlineStr">
        <is>
          <t>Carbon capture</t>
        </is>
      </c>
      <c r="D3701" s="12" t="inlineStr">
        <is>
          <t>CT MCC / VFD e-house transformer</t>
        </is>
      </c>
      <c r="E3701" s="12" t="inlineStr"/>
      <c r="F3701" s="12" t="inlineStr">
        <is>
          <t>CCS MV switchgear building (VFDs)</t>
        </is>
      </c>
      <c r="G3701" s="12" t="inlineStr"/>
      <c r="H3701" s="12" t="inlineStr">
        <is>
          <t>CT MCC / VFD e-house</t>
        </is>
      </c>
      <c r="I3701" s="12" t="inlineStr">
        <is>
          <t>MV 15 kV</t>
        </is>
      </c>
      <c r="J3701" s="12" t="inlineStr">
        <is>
          <t>MV-105 15 kV 1/C Cu, EPR 133%, Cu tape shield, PVC jacket (triplexed)</t>
        </is>
      </c>
      <c r="K3701" s="12" t="inlineStr">
        <is>
          <t>MV15|1/C|1/0</t>
        </is>
      </c>
      <c r="L3701" s="12" t="inlineStr">
        <is>
          <t>1/C</t>
        </is>
      </c>
      <c r="M3701" s="12" t="inlineStr">
        <is>
          <t>1/0</t>
        </is>
      </c>
      <c r="N3701" s="12" t="n">
        <v>1</v>
      </c>
      <c r="O3701" s="12" t="n">
        <v>3</v>
      </c>
      <c r="P3701" s="12" t="n">
        <v>13800</v>
      </c>
      <c r="Q3701" s="12" t="n">
        <v>3000</v>
      </c>
      <c r="R3701" s="12" t="n">
        <v>126</v>
      </c>
      <c r="S3701" s="12" t="inlineStr">
        <is>
          <t>Duct bank</t>
        </is>
      </c>
      <c r="T3701" s="17" t="n">
        <v>925</v>
      </c>
      <c r="U3701" s="17" t="n">
        <v>32</v>
      </c>
      <c r="V3701" s="17">
        <f>ROUNDUP((T3701+U3701+2*'Read Me'!$B$13)*(1+'Read Me'!$B$12),-1)</f>
        <v/>
      </c>
      <c r="W3701" s="17">
        <f>V3701*N3701*O3701</f>
        <v/>
      </c>
      <c r="X3701" s="12">
        <f>IF(LEFT(I3701,2)="MV",2*N3701*IF(L3701="1/C",O3701,1),0)</f>
        <v/>
      </c>
      <c r="Y3701" s="12">
        <f>IF(OR(LEFT(K3701,4)="LVAX",LEFT(K3701,6)="MV15AX",LEFT(K3701,4)="CTAX",LEFT(K3701,2)="W|"),2*N3701*O3701,0)</f>
        <v/>
      </c>
      <c r="Z3701" s="12" t="inlineStr"/>
      <c r="AA3701" s="12">
        <f>N3701*O3701</f>
        <v/>
      </c>
    </row>
    <row r="3702">
      <c r="A3702" s="12" t="inlineStr">
        <is>
          <t>G-MV-0012</t>
        </is>
      </c>
      <c r="B3702" s="12" t="inlineStr">
        <is>
          <t>G</t>
        </is>
      </c>
      <c r="C3702" s="12" t="inlineStr">
        <is>
          <t>Carbon capture</t>
        </is>
      </c>
      <c r="D3702" s="12" t="inlineStr">
        <is>
          <t>CCS circulating-water pump 1</t>
        </is>
      </c>
      <c r="E3702" s="12" t="inlineStr"/>
      <c r="F3702" s="12" t="inlineStr">
        <is>
          <t>CCS MV switchgear building (VFDs)</t>
        </is>
      </c>
      <c r="G3702" s="12" t="inlineStr"/>
      <c r="H3702" s="12" t="inlineStr">
        <is>
          <t>CCS circulating-water pumps</t>
        </is>
      </c>
      <c r="I3702" s="12" t="inlineStr">
        <is>
          <t>MV 5 kV</t>
        </is>
      </c>
      <c r="J3702" s="12" t="inlineStr">
        <is>
          <t>MV-105 5 kV 3/C Cu, EPR 133%, tape shield, gnd, PVC jacket</t>
        </is>
      </c>
      <c r="K3702" s="12" t="inlineStr">
        <is>
          <t>MV5|3/C|4/0</t>
        </is>
      </c>
      <c r="L3702" s="12" t="inlineStr">
        <is>
          <t>3/C</t>
        </is>
      </c>
      <c r="M3702" s="12" t="inlineStr">
        <is>
          <t>4/0</t>
        </is>
      </c>
      <c r="N3702" s="12" t="n">
        <v>1</v>
      </c>
      <c r="O3702" s="12" t="n">
        <v>1</v>
      </c>
      <c r="P3702" s="12" t="n">
        <v>4160</v>
      </c>
      <c r="Q3702" s="12" t="n">
        <v>1200</v>
      </c>
      <c r="R3702" s="12" t="n">
        <v>185</v>
      </c>
      <c r="S3702" s="12" t="inlineStr">
        <is>
          <t>Duct bank</t>
        </is>
      </c>
      <c r="T3702" s="17" t="n">
        <v>925</v>
      </c>
      <c r="U3702" s="17" t="n">
        <v>72</v>
      </c>
      <c r="V3702" s="17">
        <f>ROUNDUP((T3702+U3702+2*'Read Me'!$B$13)*(1+'Read Me'!$B$12),-1)</f>
        <v/>
      </c>
      <c r="W3702" s="17">
        <f>V3702*N3702*O3702</f>
        <v/>
      </c>
      <c r="X3702" s="12">
        <f>IF(LEFT(I3702,2)="MV",2*N3702*IF(L3702="1/C",O3702,1),0)</f>
        <v/>
      </c>
      <c r="Y3702" s="12">
        <f>IF(OR(LEFT(K3702,4)="LVAX",LEFT(K3702,6)="MV15AX",LEFT(K3702,4)="CTAX",LEFT(K3702,2)="W|"),2*N3702*O3702,0)</f>
        <v/>
      </c>
      <c r="Z3702" s="12" t="inlineStr"/>
      <c r="AA3702" s="12">
        <f>N3702*O3702</f>
        <v/>
      </c>
    </row>
    <row r="3703">
      <c r="A3703" s="12" t="inlineStr">
        <is>
          <t>G-MV-0013</t>
        </is>
      </c>
      <c r="B3703" s="12" t="inlineStr">
        <is>
          <t>G</t>
        </is>
      </c>
      <c r="C3703" s="12" t="inlineStr">
        <is>
          <t>Carbon capture</t>
        </is>
      </c>
      <c r="D3703" s="12" t="inlineStr">
        <is>
          <t>CCS circulating-water pump 2</t>
        </is>
      </c>
      <c r="E3703" s="12" t="inlineStr"/>
      <c r="F3703" s="12" t="inlineStr">
        <is>
          <t>CCS MV switchgear building (VFDs)</t>
        </is>
      </c>
      <c r="G3703" s="12" t="inlineStr"/>
      <c r="H3703" s="12" t="inlineStr">
        <is>
          <t>CCS circulating-water pumps</t>
        </is>
      </c>
      <c r="I3703" s="12" t="inlineStr">
        <is>
          <t>MV 5 kV</t>
        </is>
      </c>
      <c r="J3703" s="12" t="inlineStr">
        <is>
          <t>MV-105 5 kV 3/C Cu, EPR 133%, tape shield, gnd, PVC jacket</t>
        </is>
      </c>
      <c r="K3703" s="12" t="inlineStr">
        <is>
          <t>MV5|3/C|4/0</t>
        </is>
      </c>
      <c r="L3703" s="12" t="inlineStr">
        <is>
          <t>3/C</t>
        </is>
      </c>
      <c r="M3703" s="12" t="inlineStr">
        <is>
          <t>4/0</t>
        </is>
      </c>
      <c r="N3703" s="12" t="n">
        <v>1</v>
      </c>
      <c r="O3703" s="12" t="n">
        <v>1</v>
      </c>
      <c r="P3703" s="12" t="n">
        <v>4160</v>
      </c>
      <c r="Q3703" s="12" t="n">
        <v>1200</v>
      </c>
      <c r="R3703" s="12" t="n">
        <v>185</v>
      </c>
      <c r="S3703" s="12" t="inlineStr">
        <is>
          <t>Duct bank</t>
        </is>
      </c>
      <c r="T3703" s="17" t="n">
        <v>925</v>
      </c>
      <c r="U3703" s="17" t="n">
        <v>72</v>
      </c>
      <c r="V3703" s="17">
        <f>ROUNDUP((T3703+U3703+2*'Read Me'!$B$13)*(1+'Read Me'!$B$12),-1)</f>
        <v/>
      </c>
      <c r="W3703" s="17">
        <f>V3703*N3703*O3703</f>
        <v/>
      </c>
      <c r="X3703" s="12">
        <f>IF(LEFT(I3703,2)="MV",2*N3703*IF(L3703="1/C",O3703,1),0)</f>
        <v/>
      </c>
      <c r="Y3703" s="12">
        <f>IF(OR(LEFT(K3703,4)="LVAX",LEFT(K3703,6)="MV15AX",LEFT(K3703,4)="CTAX",LEFT(K3703,2)="W|"),2*N3703*O3703,0)</f>
        <v/>
      </c>
      <c r="Z3703" s="12" t="inlineStr"/>
      <c r="AA3703" s="12">
        <f>N3703*O3703</f>
        <v/>
      </c>
    </row>
    <row r="3704">
      <c r="A3704" s="12" t="inlineStr">
        <is>
          <t>G-MV-0014</t>
        </is>
      </c>
      <c r="B3704" s="12" t="inlineStr">
        <is>
          <t>G</t>
        </is>
      </c>
      <c r="C3704" s="12" t="inlineStr">
        <is>
          <t>Carbon capture</t>
        </is>
      </c>
      <c r="D3704" s="12" t="inlineStr">
        <is>
          <t>CCS circulating-water pump 3</t>
        </is>
      </c>
      <c r="E3704" s="12" t="inlineStr"/>
      <c r="F3704" s="12" t="inlineStr">
        <is>
          <t>CCS MV switchgear building (VFDs)</t>
        </is>
      </c>
      <c r="G3704" s="12" t="inlineStr"/>
      <c r="H3704" s="12" t="inlineStr">
        <is>
          <t>CCS circulating-water pumps</t>
        </is>
      </c>
      <c r="I3704" s="12" t="inlineStr">
        <is>
          <t>MV 5 kV</t>
        </is>
      </c>
      <c r="J3704" s="12" t="inlineStr">
        <is>
          <t>MV-105 5 kV 3/C Cu, EPR 133%, tape shield, gnd, PVC jacket</t>
        </is>
      </c>
      <c r="K3704" s="12" t="inlineStr">
        <is>
          <t>MV5|3/C|4/0</t>
        </is>
      </c>
      <c r="L3704" s="12" t="inlineStr">
        <is>
          <t>3/C</t>
        </is>
      </c>
      <c r="M3704" s="12" t="inlineStr">
        <is>
          <t>4/0</t>
        </is>
      </c>
      <c r="N3704" s="12" t="n">
        <v>1</v>
      </c>
      <c r="O3704" s="12" t="n">
        <v>1</v>
      </c>
      <c r="P3704" s="12" t="n">
        <v>4160</v>
      </c>
      <c r="Q3704" s="12" t="n">
        <v>1200</v>
      </c>
      <c r="R3704" s="12" t="n">
        <v>185</v>
      </c>
      <c r="S3704" s="12" t="inlineStr">
        <is>
          <t>Duct bank</t>
        </is>
      </c>
      <c r="T3704" s="17" t="n">
        <v>925</v>
      </c>
      <c r="U3704" s="17" t="n">
        <v>72</v>
      </c>
      <c r="V3704" s="17">
        <f>ROUNDUP((T3704+U3704+2*'Read Me'!$B$13)*(1+'Read Me'!$B$12),-1)</f>
        <v/>
      </c>
      <c r="W3704" s="17">
        <f>V3704*N3704*O3704</f>
        <v/>
      </c>
      <c r="X3704" s="12">
        <f>IF(LEFT(I3704,2)="MV",2*N3704*IF(L3704="1/C",O3704,1),0)</f>
        <v/>
      </c>
      <c r="Y3704" s="12">
        <f>IF(OR(LEFT(K3704,4)="LVAX",LEFT(K3704,6)="MV15AX",LEFT(K3704,4)="CTAX",LEFT(K3704,2)="W|"),2*N3704*O3704,0)</f>
        <v/>
      </c>
      <c r="Z3704" s="12" t="inlineStr"/>
      <c r="AA3704" s="12">
        <f>N3704*O3704</f>
        <v/>
      </c>
    </row>
    <row r="3705">
      <c r="A3705" s="12" t="inlineStr">
        <is>
          <t>G-MV-0015</t>
        </is>
      </c>
      <c r="B3705" s="12" t="inlineStr">
        <is>
          <t>G</t>
        </is>
      </c>
      <c r="C3705" s="12" t="inlineStr">
        <is>
          <t>Carbon capture</t>
        </is>
      </c>
      <c r="D3705" s="12" t="inlineStr">
        <is>
          <t>CCS circulating-water pump 4</t>
        </is>
      </c>
      <c r="E3705" s="12" t="inlineStr"/>
      <c r="F3705" s="12" t="inlineStr">
        <is>
          <t>CCS MV switchgear building (VFDs)</t>
        </is>
      </c>
      <c r="G3705" s="12" t="inlineStr"/>
      <c r="H3705" s="12" t="inlineStr">
        <is>
          <t>CCS circulating-water pumps</t>
        </is>
      </c>
      <c r="I3705" s="12" t="inlineStr">
        <is>
          <t>MV 5 kV</t>
        </is>
      </c>
      <c r="J3705" s="12" t="inlineStr">
        <is>
          <t>MV-105 5 kV 3/C Cu, EPR 133%, tape shield, gnd, PVC jacket</t>
        </is>
      </c>
      <c r="K3705" s="12" t="inlineStr">
        <is>
          <t>MV5|3/C|4/0</t>
        </is>
      </c>
      <c r="L3705" s="12" t="inlineStr">
        <is>
          <t>3/C</t>
        </is>
      </c>
      <c r="M3705" s="12" t="inlineStr">
        <is>
          <t>4/0</t>
        </is>
      </c>
      <c r="N3705" s="12" t="n">
        <v>1</v>
      </c>
      <c r="O3705" s="12" t="n">
        <v>1</v>
      </c>
      <c r="P3705" s="12" t="n">
        <v>4160</v>
      </c>
      <c r="Q3705" s="12" t="n">
        <v>1200</v>
      </c>
      <c r="R3705" s="12" t="n">
        <v>185</v>
      </c>
      <c r="S3705" s="12" t="inlineStr">
        <is>
          <t>Duct bank</t>
        </is>
      </c>
      <c r="T3705" s="17" t="n">
        <v>925</v>
      </c>
      <c r="U3705" s="17" t="n">
        <v>72</v>
      </c>
      <c r="V3705" s="17">
        <f>ROUNDUP((T3705+U3705+2*'Read Me'!$B$13)*(1+'Read Me'!$B$12),-1)</f>
        <v/>
      </c>
      <c r="W3705" s="17">
        <f>V3705*N3705*O3705</f>
        <v/>
      </c>
      <c r="X3705" s="12">
        <f>IF(LEFT(I3705,2)="MV",2*N3705*IF(L3705="1/C",O3705,1),0)</f>
        <v/>
      </c>
      <c r="Y3705" s="12">
        <f>IF(OR(LEFT(K3705,4)="LVAX",LEFT(K3705,6)="MV15AX",LEFT(K3705,4)="CTAX",LEFT(K3705,2)="W|"),2*N3705*O3705,0)</f>
        <v/>
      </c>
      <c r="Z3705" s="12" t="inlineStr"/>
      <c r="AA3705" s="12">
        <f>N3705*O3705</f>
        <v/>
      </c>
    </row>
    <row r="3706">
      <c r="A3706" s="12" t="inlineStr">
        <is>
          <t>G-MV-0016</t>
        </is>
      </c>
      <c r="B3706" s="12" t="inlineStr">
        <is>
          <t>G</t>
        </is>
      </c>
      <c r="C3706" s="12" t="inlineStr">
        <is>
          <t>Carbon capture</t>
        </is>
      </c>
      <c r="D3706" s="12" t="inlineStr">
        <is>
          <t>Rich / lean amine pumps (A)</t>
        </is>
      </c>
      <c r="E3706" s="12" t="inlineStr"/>
      <c r="F3706" s="12" t="inlineStr">
        <is>
          <t>CCS MV switchgear building (VFDs)</t>
        </is>
      </c>
      <c r="G3706" s="12" t="inlineStr"/>
      <c r="H3706" s="12" t="inlineStr">
        <is>
          <t>Rich/lean pumps, cross exchanger, lean cooler A</t>
        </is>
      </c>
      <c r="I3706" s="12" t="inlineStr">
        <is>
          <t>MV 5 kV</t>
        </is>
      </c>
      <c r="J3706" s="12" t="inlineStr">
        <is>
          <t>MV-105 5 kV 3/C Cu, EPR 133%, tape shield, gnd, PVC jacket</t>
        </is>
      </c>
      <c r="K3706" s="12" t="inlineStr">
        <is>
          <t>MV5|3/C|2</t>
        </is>
      </c>
      <c r="L3706" s="12" t="inlineStr">
        <is>
          <t>3/C</t>
        </is>
      </c>
      <c r="M3706" s="12" t="inlineStr">
        <is>
          <t>2</t>
        </is>
      </c>
      <c r="N3706" s="12" t="n">
        <v>1</v>
      </c>
      <c r="O3706" s="12" t="n">
        <v>1</v>
      </c>
      <c r="P3706" s="12" t="n">
        <v>4160</v>
      </c>
      <c r="Q3706" s="12" t="n">
        <v>450</v>
      </c>
      <c r="R3706" s="12" t="n">
        <v>69</v>
      </c>
      <c r="S3706" s="12" t="inlineStr">
        <is>
          <t>Tray</t>
        </is>
      </c>
      <c r="T3706" s="17" t="n">
        <v>465</v>
      </c>
      <c r="U3706" s="17" t="n">
        <v>112</v>
      </c>
      <c r="V3706" s="17">
        <f>ROUNDUP((T3706+U3706+2*'Read Me'!$B$13)*(1+'Read Me'!$B$12),-1)</f>
        <v/>
      </c>
      <c r="W3706" s="17">
        <f>V3706*N3706*O3706</f>
        <v/>
      </c>
      <c r="X3706" s="12">
        <f>IF(LEFT(I3706,2)="MV",2*N3706*IF(L3706="1/C",O3706,1),0)</f>
        <v/>
      </c>
      <c r="Y3706" s="12">
        <f>IF(OR(LEFT(K3706,4)="LVAX",LEFT(K3706,6)="MV15AX",LEFT(K3706,4)="CTAX",LEFT(K3706,2)="W|"),2*N3706*O3706,0)</f>
        <v/>
      </c>
      <c r="Z3706" s="12" t="inlineStr"/>
      <c r="AA3706" s="12">
        <f>N3706*O3706</f>
        <v/>
      </c>
    </row>
    <row r="3707">
      <c r="A3707" s="12" t="inlineStr">
        <is>
          <t>G-MV-0017</t>
        </is>
      </c>
      <c r="B3707" s="12" t="inlineStr">
        <is>
          <t>G</t>
        </is>
      </c>
      <c r="C3707" s="12" t="inlineStr">
        <is>
          <t>Carbon capture</t>
        </is>
      </c>
      <c r="D3707" s="12" t="inlineStr">
        <is>
          <t>Rich / lean amine pumps (A)</t>
        </is>
      </c>
      <c r="E3707" s="12" t="inlineStr"/>
      <c r="F3707" s="12" t="inlineStr">
        <is>
          <t>CCS MV switchgear building (VFDs)</t>
        </is>
      </c>
      <c r="G3707" s="12" t="inlineStr"/>
      <c r="H3707" s="12" t="inlineStr">
        <is>
          <t>Rich/lean pumps, cross exchanger, lean cooler A</t>
        </is>
      </c>
      <c r="I3707" s="12" t="inlineStr">
        <is>
          <t>MV 5 kV</t>
        </is>
      </c>
      <c r="J3707" s="12" t="inlineStr">
        <is>
          <t>MV-105 5 kV 3/C Cu, EPR 133%, tape shield, gnd, PVC jacket</t>
        </is>
      </c>
      <c r="K3707" s="12" t="inlineStr">
        <is>
          <t>MV5|3/C|2</t>
        </is>
      </c>
      <c r="L3707" s="12" t="inlineStr">
        <is>
          <t>3/C</t>
        </is>
      </c>
      <c r="M3707" s="12" t="inlineStr">
        <is>
          <t>2</t>
        </is>
      </c>
      <c r="N3707" s="12" t="n">
        <v>1</v>
      </c>
      <c r="O3707" s="12" t="n">
        <v>1</v>
      </c>
      <c r="P3707" s="12" t="n">
        <v>4160</v>
      </c>
      <c r="Q3707" s="12" t="n">
        <v>450</v>
      </c>
      <c r="R3707" s="12" t="n">
        <v>69</v>
      </c>
      <c r="S3707" s="12" t="inlineStr">
        <is>
          <t>Tray</t>
        </is>
      </c>
      <c r="T3707" s="17" t="n">
        <v>465</v>
      </c>
      <c r="U3707" s="17" t="n">
        <v>112</v>
      </c>
      <c r="V3707" s="17">
        <f>ROUNDUP((T3707+U3707+2*'Read Me'!$B$13)*(1+'Read Me'!$B$12),-1)</f>
        <v/>
      </c>
      <c r="W3707" s="17">
        <f>V3707*N3707*O3707</f>
        <v/>
      </c>
      <c r="X3707" s="12">
        <f>IF(LEFT(I3707,2)="MV",2*N3707*IF(L3707="1/C",O3707,1),0)</f>
        <v/>
      </c>
      <c r="Y3707" s="12">
        <f>IF(OR(LEFT(K3707,4)="LVAX",LEFT(K3707,6)="MV15AX",LEFT(K3707,4)="CTAX",LEFT(K3707,2)="W|"),2*N3707*O3707,0)</f>
        <v/>
      </c>
      <c r="Z3707" s="12" t="inlineStr"/>
      <c r="AA3707" s="12">
        <f>N3707*O3707</f>
        <v/>
      </c>
    </row>
    <row r="3708">
      <c r="A3708" s="12" t="inlineStr">
        <is>
          <t>G-MV-0018</t>
        </is>
      </c>
      <c r="B3708" s="12" t="inlineStr">
        <is>
          <t>G</t>
        </is>
      </c>
      <c r="C3708" s="12" t="inlineStr">
        <is>
          <t>Carbon capture</t>
        </is>
      </c>
      <c r="D3708" s="12" t="inlineStr">
        <is>
          <t>Rich / lean amine pumps (B)</t>
        </is>
      </c>
      <c r="E3708" s="12" t="inlineStr"/>
      <c r="F3708" s="12" t="inlineStr">
        <is>
          <t>CCS MV switchgear building (VFDs)</t>
        </is>
      </c>
      <c r="G3708" s="12" t="inlineStr"/>
      <c r="H3708" s="12" t="inlineStr">
        <is>
          <t>Rich/lean pumps, cross exchanger, lean cooler B</t>
        </is>
      </c>
      <c r="I3708" s="12" t="inlineStr">
        <is>
          <t>MV 5 kV</t>
        </is>
      </c>
      <c r="J3708" s="12" t="inlineStr">
        <is>
          <t>MV-105 5 kV 3/C Cu, EPR 133%, tape shield, gnd, PVC jacket</t>
        </is>
      </c>
      <c r="K3708" s="12" t="inlineStr">
        <is>
          <t>MV5|3/C|2</t>
        </is>
      </c>
      <c r="L3708" s="12" t="inlineStr">
        <is>
          <t>3/C</t>
        </is>
      </c>
      <c r="M3708" s="12" t="inlineStr">
        <is>
          <t>2</t>
        </is>
      </c>
      <c r="N3708" s="12" t="n">
        <v>1</v>
      </c>
      <c r="O3708" s="12" t="n">
        <v>1</v>
      </c>
      <c r="P3708" s="12" t="n">
        <v>4160</v>
      </c>
      <c r="Q3708" s="12" t="n">
        <v>450</v>
      </c>
      <c r="R3708" s="12" t="n">
        <v>69</v>
      </c>
      <c r="S3708" s="12" t="inlineStr">
        <is>
          <t>Tray</t>
        </is>
      </c>
      <c r="T3708" s="17" t="n">
        <v>305</v>
      </c>
      <c r="U3708" s="17" t="n">
        <v>112</v>
      </c>
      <c r="V3708" s="17">
        <f>ROUNDUP((T3708+U3708+2*'Read Me'!$B$13)*(1+'Read Me'!$B$12),-1)</f>
        <v/>
      </c>
      <c r="W3708" s="17">
        <f>V3708*N3708*O3708</f>
        <v/>
      </c>
      <c r="X3708" s="12">
        <f>IF(LEFT(I3708,2)="MV",2*N3708*IF(L3708="1/C",O3708,1),0)</f>
        <v/>
      </c>
      <c r="Y3708" s="12">
        <f>IF(OR(LEFT(K3708,4)="LVAX",LEFT(K3708,6)="MV15AX",LEFT(K3708,4)="CTAX",LEFT(K3708,2)="W|"),2*N3708*O3708,0)</f>
        <v/>
      </c>
      <c r="Z3708" s="12" t="inlineStr"/>
      <c r="AA3708" s="12">
        <f>N3708*O3708</f>
        <v/>
      </c>
    </row>
    <row r="3709">
      <c r="A3709" s="12" t="inlineStr">
        <is>
          <t>G-MV-0019</t>
        </is>
      </c>
      <c r="B3709" s="12" t="inlineStr">
        <is>
          <t>G</t>
        </is>
      </c>
      <c r="C3709" s="12" t="inlineStr">
        <is>
          <t>Carbon capture</t>
        </is>
      </c>
      <c r="D3709" s="12" t="inlineStr">
        <is>
          <t>Rich / lean amine pumps (B)</t>
        </is>
      </c>
      <c r="E3709" s="12" t="inlineStr"/>
      <c r="F3709" s="12" t="inlineStr">
        <is>
          <t>CCS MV switchgear building (VFDs)</t>
        </is>
      </c>
      <c r="G3709" s="12" t="inlineStr"/>
      <c r="H3709" s="12" t="inlineStr">
        <is>
          <t>Rich/lean pumps, cross exchanger, lean cooler B</t>
        </is>
      </c>
      <c r="I3709" s="12" t="inlineStr">
        <is>
          <t>MV 5 kV</t>
        </is>
      </c>
      <c r="J3709" s="12" t="inlineStr">
        <is>
          <t>MV-105 5 kV 3/C Cu, EPR 133%, tape shield, gnd, PVC jacket</t>
        </is>
      </c>
      <c r="K3709" s="12" t="inlineStr">
        <is>
          <t>MV5|3/C|2</t>
        </is>
      </c>
      <c r="L3709" s="12" t="inlineStr">
        <is>
          <t>3/C</t>
        </is>
      </c>
      <c r="M3709" s="12" t="inlineStr">
        <is>
          <t>2</t>
        </is>
      </c>
      <c r="N3709" s="12" t="n">
        <v>1</v>
      </c>
      <c r="O3709" s="12" t="n">
        <v>1</v>
      </c>
      <c r="P3709" s="12" t="n">
        <v>4160</v>
      </c>
      <c r="Q3709" s="12" t="n">
        <v>450</v>
      </c>
      <c r="R3709" s="12" t="n">
        <v>69</v>
      </c>
      <c r="S3709" s="12" t="inlineStr">
        <is>
          <t>Tray</t>
        </is>
      </c>
      <c r="T3709" s="17" t="n">
        <v>305</v>
      </c>
      <c r="U3709" s="17" t="n">
        <v>112</v>
      </c>
      <c r="V3709" s="17">
        <f>ROUNDUP((T3709+U3709+2*'Read Me'!$B$13)*(1+'Read Me'!$B$12),-1)</f>
        <v/>
      </c>
      <c r="W3709" s="17">
        <f>V3709*N3709*O3709</f>
        <v/>
      </c>
      <c r="X3709" s="12">
        <f>IF(LEFT(I3709,2)="MV",2*N3709*IF(L3709="1/C",O3709,1),0)</f>
        <v/>
      </c>
      <c r="Y3709" s="12">
        <f>IF(OR(LEFT(K3709,4)="LVAX",LEFT(K3709,6)="MV15AX",LEFT(K3709,4)="CTAX",LEFT(K3709,2)="W|"),2*N3709*O3709,0)</f>
        <v/>
      </c>
      <c r="Z3709" s="12" t="inlineStr"/>
      <c r="AA3709" s="12">
        <f>N3709*O3709</f>
        <v/>
      </c>
    </row>
    <row r="3710">
      <c r="A3710" s="12" t="inlineStr">
        <is>
          <t>G-MV-0020</t>
        </is>
      </c>
      <c r="B3710" s="12" t="inlineStr">
        <is>
          <t>G</t>
        </is>
      </c>
      <c r="C3710" s="12" t="inlineStr">
        <is>
          <t>Carbon capture</t>
        </is>
      </c>
      <c r="D3710" s="12" t="inlineStr">
        <is>
          <t>Rich / lean amine pumps (C)</t>
        </is>
      </c>
      <c r="E3710" s="12" t="inlineStr"/>
      <c r="F3710" s="12" t="inlineStr">
        <is>
          <t>CCS MV switchgear building (VFDs)</t>
        </is>
      </c>
      <c r="G3710" s="12" t="inlineStr"/>
      <c r="H3710" s="12" t="inlineStr">
        <is>
          <t>Rich/lean pumps, cross exchanger, lean cooler C</t>
        </is>
      </c>
      <c r="I3710" s="12" t="inlineStr">
        <is>
          <t>MV 5 kV</t>
        </is>
      </c>
      <c r="J3710" s="12" t="inlineStr">
        <is>
          <t>MV-105 5 kV 3/C Cu, EPR 133%, tape shield, gnd, PVC jacket</t>
        </is>
      </c>
      <c r="K3710" s="12" t="inlineStr">
        <is>
          <t>MV5|3/C|2</t>
        </is>
      </c>
      <c r="L3710" s="12" t="inlineStr">
        <is>
          <t>3/C</t>
        </is>
      </c>
      <c r="M3710" s="12" t="inlineStr">
        <is>
          <t>2</t>
        </is>
      </c>
      <c r="N3710" s="12" t="n">
        <v>1</v>
      </c>
      <c r="O3710" s="12" t="n">
        <v>1</v>
      </c>
      <c r="P3710" s="12" t="n">
        <v>4160</v>
      </c>
      <c r="Q3710" s="12" t="n">
        <v>450</v>
      </c>
      <c r="R3710" s="12" t="n">
        <v>69</v>
      </c>
      <c r="S3710" s="12" t="inlineStr">
        <is>
          <t>Duct bank</t>
        </is>
      </c>
      <c r="T3710" s="17" t="n">
        <v>0</v>
      </c>
      <c r="U3710" s="17" t="n">
        <v>69</v>
      </c>
      <c r="V3710" s="17">
        <f>ROUNDUP((T3710+U3710+2*'Read Me'!$B$13)*(1+'Read Me'!$B$12),-1)</f>
        <v/>
      </c>
      <c r="W3710" s="17">
        <f>V3710*N3710*O3710</f>
        <v/>
      </c>
      <c r="X3710" s="12">
        <f>IF(LEFT(I3710,2)="MV",2*N3710*IF(L3710="1/C",O3710,1),0)</f>
        <v/>
      </c>
      <c r="Y3710" s="12">
        <f>IF(OR(LEFT(K3710,4)="LVAX",LEFT(K3710,6)="MV15AX",LEFT(K3710,4)="CTAX",LEFT(K3710,2)="W|"),2*N3710*O3710,0)</f>
        <v/>
      </c>
      <c r="Z3710" s="12" t="inlineStr"/>
      <c r="AA3710" s="12">
        <f>N3710*O3710</f>
        <v/>
      </c>
    </row>
    <row r="3711">
      <c r="A3711" s="12" t="inlineStr">
        <is>
          <t>G-MV-0021</t>
        </is>
      </c>
      <c r="B3711" s="12" t="inlineStr">
        <is>
          <t>G</t>
        </is>
      </c>
      <c r="C3711" s="12" t="inlineStr">
        <is>
          <t>Carbon capture</t>
        </is>
      </c>
      <c r="D3711" s="12" t="inlineStr">
        <is>
          <t>Rich / lean amine pumps (C)</t>
        </is>
      </c>
      <c r="E3711" s="12" t="inlineStr"/>
      <c r="F3711" s="12" t="inlineStr">
        <is>
          <t>CCS MV switchgear building (VFDs)</t>
        </is>
      </c>
      <c r="G3711" s="12" t="inlineStr"/>
      <c r="H3711" s="12" t="inlineStr">
        <is>
          <t>Rich/lean pumps, cross exchanger, lean cooler C</t>
        </is>
      </c>
      <c r="I3711" s="12" t="inlineStr">
        <is>
          <t>MV 5 kV</t>
        </is>
      </c>
      <c r="J3711" s="12" t="inlineStr">
        <is>
          <t>MV-105 5 kV 3/C Cu, EPR 133%, tape shield, gnd, PVC jacket</t>
        </is>
      </c>
      <c r="K3711" s="12" t="inlineStr">
        <is>
          <t>MV5|3/C|2</t>
        </is>
      </c>
      <c r="L3711" s="12" t="inlineStr">
        <is>
          <t>3/C</t>
        </is>
      </c>
      <c r="M3711" s="12" t="inlineStr">
        <is>
          <t>2</t>
        </is>
      </c>
      <c r="N3711" s="12" t="n">
        <v>1</v>
      </c>
      <c r="O3711" s="12" t="n">
        <v>1</v>
      </c>
      <c r="P3711" s="12" t="n">
        <v>4160</v>
      </c>
      <c r="Q3711" s="12" t="n">
        <v>450</v>
      </c>
      <c r="R3711" s="12" t="n">
        <v>69</v>
      </c>
      <c r="S3711" s="12" t="inlineStr">
        <is>
          <t>Duct bank</t>
        </is>
      </c>
      <c r="T3711" s="17" t="n">
        <v>0</v>
      </c>
      <c r="U3711" s="17" t="n">
        <v>69</v>
      </c>
      <c r="V3711" s="17">
        <f>ROUNDUP((T3711+U3711+2*'Read Me'!$B$13)*(1+'Read Me'!$B$12),-1)</f>
        <v/>
      </c>
      <c r="W3711" s="17">
        <f>V3711*N3711*O3711</f>
        <v/>
      </c>
      <c r="X3711" s="12">
        <f>IF(LEFT(I3711,2)="MV",2*N3711*IF(L3711="1/C",O3711,1),0)</f>
        <v/>
      </c>
      <c r="Y3711" s="12">
        <f>IF(OR(LEFT(K3711,4)="LVAX",LEFT(K3711,6)="MV15AX",LEFT(K3711,4)="CTAX",LEFT(K3711,2)="W|"),2*N3711*O3711,0)</f>
        <v/>
      </c>
      <c r="Z3711" s="12" t="inlineStr"/>
      <c r="AA3711" s="12">
        <f>N3711*O3711</f>
        <v/>
      </c>
    </row>
    <row r="3712">
      <c r="A3712" s="12" t="inlineStr">
        <is>
          <t>H-L-0001</t>
        </is>
      </c>
      <c r="B3712" s="12" t="inlineStr">
        <is>
          <t>H</t>
        </is>
      </c>
      <c r="C3712" s="12" t="inlineStr">
        <is>
          <t>BESS</t>
        </is>
      </c>
      <c r="D3712" s="12" t="inlineStr">
        <is>
          <t>Lighting, receptacles and small power branch circuits (allowance)</t>
        </is>
      </c>
      <c r="E3712" s="12" t="inlineStr"/>
      <c r="F3712" s="12" t="inlineStr">
        <is>
          <t>34.5 kV collector e-house (arc-resistant)</t>
        </is>
      </c>
      <c r="G3712" s="12" t="inlineStr"/>
      <c r="H3712" s="12" t="inlineStr">
        <is>
          <t>34.5 kV collector e-house (arc-resistant)</t>
        </is>
      </c>
      <c r="I3712" s="12" t="inlineStr">
        <is>
          <t>Building wire</t>
        </is>
      </c>
      <c r="J3712" s="12" t="inlineStr">
        <is>
          <t>SIMpull THHN/THWN-2 600 V 1/C Cu (lighting, receptacles, small power)</t>
        </is>
      </c>
      <c r="K3712" s="12" t="inlineStr">
        <is>
          <t>THHN|1/C|12</t>
        </is>
      </c>
      <c r="L3712" s="12" t="inlineStr">
        <is>
          <t>1/C</t>
        </is>
      </c>
      <c r="M3712" s="12" t="inlineStr">
        <is>
          <t>12</t>
        </is>
      </c>
      <c r="N3712" s="12" t="n">
        <v>1</v>
      </c>
      <c r="O3712" s="12" t="n">
        <v>1</v>
      </c>
      <c r="P3712" s="12" t="n">
        <v>277</v>
      </c>
      <c r="Q3712" s="12" t="n"/>
      <c r="R3712" s="12" t="n"/>
      <c r="S3712" s="12" t="inlineStr">
        <is>
          <t>Conduit</t>
        </is>
      </c>
      <c r="T3712" s="17" t="n">
        <v>1280</v>
      </c>
      <c r="U3712" s="17" t="n">
        <v>0</v>
      </c>
      <c r="V3712" s="17">
        <f>ROUNDUP((T3712+U3712+2*'Read Me'!$B$13)*(1+'Read Me'!$B$12),-1)</f>
        <v/>
      </c>
      <c r="W3712" s="17">
        <f>V3712*N3712*O3712</f>
        <v/>
      </c>
      <c r="X3712" s="12">
        <f>IF(LEFT(I3712,2)="MV",2*N3712*IF(L3712="1/C",O3712,1),0)</f>
        <v/>
      </c>
      <c r="Y3712" s="12">
        <f>IF(OR(LEFT(K3712,4)="LVAX",LEFT(K3712,6)="MV15AX",LEFT(K3712,4)="CTAX",LEFT(K3712,2)="W|"),2*N3712*O3712,0)</f>
        <v/>
      </c>
      <c r="Z3712" s="12" t="inlineStr">
        <is>
          <t>allowance: 1.6 ft of conductor per ft2 of floor</t>
        </is>
      </c>
      <c r="AA3712" s="12">
        <f>N3712*O3712</f>
        <v/>
      </c>
    </row>
    <row r="3713">
      <c r="A3713" s="12" t="inlineStr">
        <is>
          <t>H-L-0002</t>
        </is>
      </c>
      <c r="B3713" s="12" t="inlineStr">
        <is>
          <t>H</t>
        </is>
      </c>
      <c r="C3713" s="12" t="inlineStr">
        <is>
          <t>BESS</t>
        </is>
      </c>
      <c r="D3713" s="12" t="inlineStr">
        <is>
          <t>Lighting, receptacles and small power branch circuits (allowance)</t>
        </is>
      </c>
      <c r="E3713" s="12" t="inlineStr"/>
      <c r="F3713" s="12" t="inlineStr">
        <is>
          <t>BESS EMS / SCADA and revenue metering</t>
        </is>
      </c>
      <c r="G3713" s="12" t="inlineStr"/>
      <c r="H3713" s="12" t="inlineStr">
        <is>
          <t>BESS EMS / SCADA and revenue metering</t>
        </is>
      </c>
      <c r="I3713" s="12" t="inlineStr">
        <is>
          <t>Building wire</t>
        </is>
      </c>
      <c r="J3713" s="12" t="inlineStr">
        <is>
          <t>SIMpull THHN/THWN-2 600 V 1/C Cu (lighting, receptacles, small power)</t>
        </is>
      </c>
      <c r="K3713" s="12" t="inlineStr">
        <is>
          <t>THHN|1/C|12</t>
        </is>
      </c>
      <c r="L3713" s="12" t="inlineStr">
        <is>
          <t>1/C</t>
        </is>
      </c>
      <c r="M3713" s="12" t="inlineStr">
        <is>
          <t>12</t>
        </is>
      </c>
      <c r="N3713" s="12" t="n">
        <v>1</v>
      </c>
      <c r="O3713" s="12" t="n">
        <v>1</v>
      </c>
      <c r="P3713" s="12" t="n">
        <v>277</v>
      </c>
      <c r="Q3713" s="12" t="n"/>
      <c r="R3713" s="12" t="n"/>
      <c r="S3713" s="12" t="inlineStr">
        <is>
          <t>Conduit</t>
        </is>
      </c>
      <c r="T3713" s="17" t="n">
        <v>384</v>
      </c>
      <c r="U3713" s="17" t="n">
        <v>0</v>
      </c>
      <c r="V3713" s="17">
        <f>ROUNDUP((T3713+U3713+2*'Read Me'!$B$13)*(1+'Read Me'!$B$12),-1)</f>
        <v/>
      </c>
      <c r="W3713" s="17">
        <f>V3713*N3713*O3713</f>
        <v/>
      </c>
      <c r="X3713" s="12">
        <f>IF(LEFT(I3713,2)="MV",2*N3713*IF(L3713="1/C",O3713,1),0)</f>
        <v/>
      </c>
      <c r="Y3713" s="12">
        <f>IF(OR(LEFT(K3713,4)="LVAX",LEFT(K3713,6)="MV15AX",LEFT(K3713,4)="CTAX",LEFT(K3713,2)="W|"),2*N3713*O3713,0)</f>
        <v/>
      </c>
      <c r="Z3713" s="12" t="inlineStr">
        <is>
          <t>allowance: 1.6 ft of conductor per ft2 of floor</t>
        </is>
      </c>
      <c r="AA3713" s="12">
        <f>N3713*O3713</f>
        <v/>
      </c>
    </row>
    <row r="3714">
      <c r="A3714" s="12" t="inlineStr">
        <is>
          <t>H-C-0001</t>
        </is>
      </c>
      <c r="B3714" s="12" t="inlineStr">
        <is>
          <t>H</t>
        </is>
      </c>
      <c r="C3714" s="12" t="inlineStr">
        <is>
          <t>BESS</t>
        </is>
      </c>
      <c r="D3714" s="12" t="inlineStr">
        <is>
          <t>Control</t>
        </is>
      </c>
      <c r="E3714" s="12" t="inlineStr"/>
      <c r="F3714" s="12" t="inlineStr">
        <is>
          <t>BESS EMS / SCADA and revenue metering</t>
        </is>
      </c>
      <c r="G3714" s="12" t="inlineStr"/>
      <c r="H3714" s="12" t="inlineStr">
        <is>
          <t>34.5 kV collector e-house (arc-resistant)</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7" t="n">
        <v>68</v>
      </c>
      <c r="U3714" s="17" t="n">
        <v>37</v>
      </c>
      <c r="V3714" s="17">
        <f>ROUNDUP((T3714+U3714+2*'Read Me'!$B$13)*(1+'Read Me'!$B$12),-1)</f>
        <v/>
      </c>
      <c r="W3714" s="17">
        <f>V3714*N3714*O3714</f>
        <v/>
      </c>
      <c r="X3714" s="12">
        <f>IF(LEFT(I3714,2)="MV",2*N3714*IF(L3714="1/C",O3714,1),0)</f>
        <v/>
      </c>
      <c r="Y3714" s="12">
        <f>IF(OR(LEFT(K3714,4)="LVAX",LEFT(K3714,6)="MV15AX",LEFT(K3714,4)="CTAX",LEFT(K3714,2)="W|"),2*N3714*O3714,0)</f>
        <v/>
      </c>
      <c r="Z3714" s="12" t="inlineStr"/>
      <c r="AA3714" s="12">
        <f>N3714*O3714</f>
        <v/>
      </c>
    </row>
    <row r="3715">
      <c r="A3715" s="12" t="inlineStr">
        <is>
          <t>H-C-0002</t>
        </is>
      </c>
      <c r="B3715" s="12" t="inlineStr">
        <is>
          <t>H</t>
        </is>
      </c>
      <c r="C3715" s="12" t="inlineStr">
        <is>
          <t>BESS</t>
        </is>
      </c>
      <c r="D3715" s="12" t="inlineStr">
        <is>
          <t>Control</t>
        </is>
      </c>
      <c r="E3715" s="12" t="inlineStr"/>
      <c r="F3715" s="12" t="inlineStr">
        <is>
          <t>BESS EMS / SCADA and revenue metering</t>
        </is>
      </c>
      <c r="G3715" s="12" t="inlineStr"/>
      <c r="H3715" s="12" t="inlineStr">
        <is>
          <t>BESS EMS / SCADA and revenue metering</t>
        </is>
      </c>
      <c r="I3715" s="12" t="inlineStr">
        <is>
          <t>Control</t>
        </is>
      </c>
      <c r="J3715" s="12" t="inlineStr">
        <is>
          <t>ARMOR-X MC-HL 600 V control, Cu #14 AWG (Class I Div 2)</t>
        </is>
      </c>
      <c r="K3715" s="12" t="inlineStr">
        <is>
          <t>CTAX|7/C|14</t>
        </is>
      </c>
      <c r="L3715" s="12" t="inlineStr">
        <is>
          <t>7/C</t>
        </is>
      </c>
      <c r="M3715" s="12" t="inlineStr">
        <is>
          <t>14</t>
        </is>
      </c>
      <c r="N3715" s="12" t="n">
        <v>1</v>
      </c>
      <c r="O3715" s="12" t="n">
        <v>1</v>
      </c>
      <c r="P3715" s="12" t="n"/>
      <c r="Q3715" s="12" t="n"/>
      <c r="R3715" s="12" t="n"/>
      <c r="S3715" s="12" t="inlineStr">
        <is>
          <t>Tray</t>
        </is>
      </c>
      <c r="T3715" s="17" t="n">
        <v>0</v>
      </c>
      <c r="U3715" s="17" t="n">
        <v>32</v>
      </c>
      <c r="V3715" s="17">
        <f>ROUNDUP((T3715+U3715+2*'Read Me'!$B$13)*(1+'Read Me'!$B$12),-1)</f>
        <v/>
      </c>
      <c r="W3715" s="17">
        <f>V3715*N3715*O3715</f>
        <v/>
      </c>
      <c r="X3715" s="12">
        <f>IF(LEFT(I3715,2)="MV",2*N3715*IF(L3715="1/C",O3715,1),0)</f>
        <v/>
      </c>
      <c r="Y3715" s="12">
        <f>IF(OR(LEFT(K3715,4)="LVAX",LEFT(K3715,6)="MV15AX",LEFT(K3715,4)="CTAX",LEFT(K3715,2)="W|"),2*N3715*O3715,0)</f>
        <v/>
      </c>
      <c r="Z3715" s="12" t="inlineStr"/>
      <c r="AA3715" s="12">
        <f>N3715*O3715</f>
        <v/>
      </c>
    </row>
    <row r="3716">
      <c r="A3716" s="12" t="inlineStr">
        <is>
          <t>H-C-0003</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7" t="n">
        <v>318</v>
      </c>
      <c r="U3716" s="17" t="n">
        <v>103</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H-C-0004</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7" t="n">
        <v>318</v>
      </c>
      <c r="U3717" s="17" t="n">
        <v>103</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H-C-0005</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7" t="n">
        <v>178</v>
      </c>
      <c r="U3718" s="17" t="n">
        <v>123</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H-C-0006</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7" t="n">
        <v>178</v>
      </c>
      <c r="U3719" s="17" t="n">
        <v>123</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H-C-0007</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7" t="n">
        <v>74</v>
      </c>
      <c r="U3720" s="17" t="n">
        <v>107</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H-C-0008</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7" t="n">
        <v>74</v>
      </c>
      <c r="U3721" s="17" t="n">
        <v>107</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H-C-0009</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7" t="n">
        <v>318</v>
      </c>
      <c r="U3722" s="17" t="n">
        <v>161</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H-C-0010</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7" t="n">
        <v>318</v>
      </c>
      <c r="U3723" s="17" t="n">
        <v>161</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H-C-0011</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7" t="n">
        <v>178</v>
      </c>
      <c r="U3724" s="17" t="n">
        <v>181</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H-C-0012</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7" t="n">
        <v>178</v>
      </c>
      <c r="U3725" s="17" t="n">
        <v>181</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H-C-0013</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7" t="n">
        <v>74</v>
      </c>
      <c r="U3726" s="17" t="n">
        <v>165</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H-C-0014</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7" t="n">
        <v>74</v>
      </c>
      <c r="U3727" s="17" t="n">
        <v>165</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H-C-0015</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7" t="n">
        <v>318</v>
      </c>
      <c r="U3728" s="17" t="n">
        <v>219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H-C-0016</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7" t="n">
        <v>318</v>
      </c>
      <c r="U3729" s="17" t="n">
        <v>219</v>
      </c>
      <c r="V3729" s="17">
        <f>ROUNDUP((T3729+U3729+2*'Read Me'!$B$13)*(1+'Read Me'!$B$12),-1)</f>
        <v/>
      </c>
      <c r="W3729" s="17">
        <f>V3729*N3729*O3729</f>
        <v/>
      </c>
      <c r="X3729" s="12">
        <f>IF(LEFT(I3729,2)="MV",2*N3729*IF(L3729="1/C",O3729,1),0)</f>
        <v/>
      </c>
      <c r="Y3729" s="12">
        <f>IF(OR(LEFT(K3729,4)="LVAX",LEFT(K3729,6)="MV15AX",LEFT(K3729,4)="CTAX",LEFT(K3729,2)="W|"),2*N3729*O3729,0)</f>
        <v/>
      </c>
      <c r="Z3729" s="12" t="inlineStr"/>
      <c r="AA3729" s="12">
        <f>N3729*O3729</f>
        <v/>
      </c>
    </row>
    <row r="3730">
      <c r="A3730" s="12" t="inlineStr">
        <is>
          <t>H-C-0017</t>
        </is>
      </c>
      <c r="B3730" s="12" t="inlineStr">
        <is>
          <t>H</t>
        </is>
      </c>
      <c r="C3730" s="12" t="inlineStr">
        <is>
          <t>BESS</t>
        </is>
      </c>
      <c r="D3730" s="12" t="inlineStr">
        <is>
          <t>Motor 1 of 2: control / local station</t>
        </is>
      </c>
      <c r="E3730" s="12" t="inlineStr"/>
      <c r="F3730" s="12" t="inlineStr">
        <is>
          <t>BESS auxiliary transformer</t>
        </is>
      </c>
      <c r="G3730" s="12" t="inlineStr"/>
      <c r="H3730" s="12" t="inlineStr">
        <is>
          <t>BESS PCS / MV skid</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Duct bank</t>
        </is>
      </c>
      <c r="T3730" s="17" t="n">
        <v>178</v>
      </c>
      <c r="U3730" s="17" t="n">
        <v>239</v>
      </c>
      <c r="V3730" s="17">
        <f>ROUNDUP((T3730+U3730+2*'Read Me'!$B$13)*(1+'Read Me'!$B$12),-1)</f>
        <v/>
      </c>
      <c r="W3730" s="17">
        <f>V3730*N3730*O3730</f>
        <v/>
      </c>
      <c r="X3730" s="12">
        <f>IF(LEFT(I3730,2)="MV",2*N3730*IF(L3730="1/C",O3730,1),0)</f>
        <v/>
      </c>
      <c r="Y3730" s="12">
        <f>IF(OR(LEFT(K3730,4)="LVAX",LEFT(K3730,6)="MV15AX",LEFT(K3730,4)="CTAX",LEFT(K3730,2)="W|"),2*N3730*O3730,0)</f>
        <v/>
      </c>
      <c r="Z3730" s="12" t="inlineStr"/>
      <c r="AA3730" s="12">
        <f>N3730*O3730</f>
        <v/>
      </c>
    </row>
    <row r="3731">
      <c r="A3731" s="12" t="inlineStr">
        <is>
          <t>H-C-0018</t>
        </is>
      </c>
      <c r="B3731" s="12" t="inlineStr">
        <is>
          <t>H</t>
        </is>
      </c>
      <c r="C3731" s="12" t="inlineStr">
        <is>
          <t>BESS</t>
        </is>
      </c>
      <c r="D3731" s="12" t="inlineStr">
        <is>
          <t>Motor 2 of 2: control / local station</t>
        </is>
      </c>
      <c r="E3731" s="12" t="inlineStr"/>
      <c r="F3731" s="12" t="inlineStr">
        <is>
          <t>BESS auxiliary transformer</t>
        </is>
      </c>
      <c r="G3731" s="12" t="inlineStr"/>
      <c r="H3731" s="12" t="inlineStr">
        <is>
          <t>BESS PCS / MV skid</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178</v>
      </c>
      <c r="U3731" s="17" t="n">
        <v>239</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H-C-0019</t>
        </is>
      </c>
      <c r="B3732" s="12" t="inlineStr">
        <is>
          <t>H</t>
        </is>
      </c>
      <c r="C3732" s="12" t="inlineStr">
        <is>
          <t>BESS</t>
        </is>
      </c>
      <c r="D3732" s="12" t="inlineStr">
        <is>
          <t>Motor 1 of 2: control / local station</t>
        </is>
      </c>
      <c r="E3732" s="12" t="inlineStr"/>
      <c r="F3732" s="12" t="inlineStr">
        <is>
          <t>BESS auxiliary transformer</t>
        </is>
      </c>
      <c r="G3732" s="12" t="inlineStr"/>
      <c r="H3732" s="12" t="inlineStr">
        <is>
          <t>BESS PCS / MV skid</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7" t="n">
        <v>380</v>
      </c>
      <c r="U3732" s="17" t="n">
        <v>149</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H-C-0020</t>
        </is>
      </c>
      <c r="B3733" s="12" t="inlineStr">
        <is>
          <t>H</t>
        </is>
      </c>
      <c r="C3733" s="12" t="inlineStr">
        <is>
          <t>BESS</t>
        </is>
      </c>
      <c r="D3733" s="12" t="inlineStr">
        <is>
          <t>Motor 2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380</v>
      </c>
      <c r="U3733" s="17" t="n">
        <v>149</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H-C-0021</t>
        </is>
      </c>
      <c r="B3734" s="12" t="inlineStr">
        <is>
          <t>H</t>
        </is>
      </c>
      <c r="C3734" s="12" t="inlineStr">
        <is>
          <t>BESS</t>
        </is>
      </c>
      <c r="D3734" s="12" t="inlineStr">
        <is>
          <t>Motor 1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620</v>
      </c>
      <c r="U3734" s="17" t="n">
        <v>91</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H-C-0022</t>
        </is>
      </c>
      <c r="B3735" s="12" t="inlineStr">
        <is>
          <t>H</t>
        </is>
      </c>
      <c r="C3735" s="12" t="inlineStr">
        <is>
          <t>BESS</t>
        </is>
      </c>
      <c r="D3735" s="12" t="inlineStr">
        <is>
          <t>Motor 2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620</v>
      </c>
      <c r="U3735" s="17" t="n">
        <v>91</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H-C-0023</t>
        </is>
      </c>
      <c r="B3736" s="12" t="inlineStr">
        <is>
          <t>H</t>
        </is>
      </c>
      <c r="C3736" s="12" t="inlineStr">
        <is>
          <t>BESS</t>
        </is>
      </c>
      <c r="D3736" s="12" t="inlineStr">
        <is>
          <t>Motor 1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500</v>
      </c>
      <c r="U3736" s="17" t="n">
        <v>91</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H-C-0024</t>
        </is>
      </c>
      <c r="B3737" s="12" t="inlineStr">
        <is>
          <t>H</t>
        </is>
      </c>
      <c r="C3737" s="12" t="inlineStr">
        <is>
          <t>BESS</t>
        </is>
      </c>
      <c r="D3737" s="12" t="inlineStr">
        <is>
          <t>Motor 2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500</v>
      </c>
      <c r="U3737" s="17" t="n">
        <v>91</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H-C-0025</t>
        </is>
      </c>
      <c r="B3738" s="12" t="inlineStr">
        <is>
          <t>H</t>
        </is>
      </c>
      <c r="C3738" s="12" t="inlineStr">
        <is>
          <t>BESS</t>
        </is>
      </c>
      <c r="D3738" s="12" t="inlineStr">
        <is>
          <t>Motor 1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380</v>
      </c>
      <c r="U3738" s="17" t="n">
        <v>91</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H-C-0026</t>
        </is>
      </c>
      <c r="B3739" s="12" t="inlineStr">
        <is>
          <t>H</t>
        </is>
      </c>
      <c r="C3739" s="12" t="inlineStr">
        <is>
          <t>BESS</t>
        </is>
      </c>
      <c r="D3739" s="12" t="inlineStr">
        <is>
          <t>Motor 2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380</v>
      </c>
      <c r="U3739" s="17" t="n">
        <v>91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H-C-0027</t>
        </is>
      </c>
      <c r="B3740" s="12" t="inlineStr">
        <is>
          <t>H</t>
        </is>
      </c>
      <c r="C3740" s="12" t="inlineStr">
        <is>
          <t>BESS</t>
        </is>
      </c>
      <c r="D3740" s="12" t="inlineStr">
        <is>
          <t>Motor 1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620</v>
      </c>
      <c r="U3740" s="17" t="n">
        <v>37</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H-C-0028</t>
        </is>
      </c>
      <c r="B3741" s="12" t="inlineStr">
        <is>
          <t>H</t>
        </is>
      </c>
      <c r="C3741" s="12" t="inlineStr">
        <is>
          <t>BESS</t>
        </is>
      </c>
      <c r="D3741" s="12" t="inlineStr">
        <is>
          <t>Motor 2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620</v>
      </c>
      <c r="U3741" s="17" t="n">
        <v>37</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H-C-0029</t>
        </is>
      </c>
      <c r="B3742" s="12" t="inlineStr">
        <is>
          <t>H</t>
        </is>
      </c>
      <c r="C3742" s="12" t="inlineStr">
        <is>
          <t>BESS</t>
        </is>
      </c>
      <c r="D3742" s="12" t="inlineStr">
        <is>
          <t>Motor 1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500</v>
      </c>
      <c r="U3742" s="17" t="n">
        <v>37</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H-C-0030</t>
        </is>
      </c>
      <c r="B3743" s="12" t="inlineStr">
        <is>
          <t>H</t>
        </is>
      </c>
      <c r="C3743" s="12" t="inlineStr">
        <is>
          <t>BESS</t>
        </is>
      </c>
      <c r="D3743" s="12" t="inlineStr">
        <is>
          <t>Motor 2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500</v>
      </c>
      <c r="U3743" s="17" t="n">
        <v>37</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H-C-0031</t>
        </is>
      </c>
      <c r="B3744" s="12" t="inlineStr">
        <is>
          <t>H</t>
        </is>
      </c>
      <c r="C3744" s="12" t="inlineStr">
        <is>
          <t>BESS</t>
        </is>
      </c>
      <c r="D3744" s="12" t="inlineStr">
        <is>
          <t>Motor 1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380</v>
      </c>
      <c r="U3744" s="17" t="n">
        <v>37</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H-C-0032</t>
        </is>
      </c>
      <c r="B3745" s="12" t="inlineStr">
        <is>
          <t>H</t>
        </is>
      </c>
      <c r="C3745" s="12" t="inlineStr">
        <is>
          <t>BESS</t>
        </is>
      </c>
      <c r="D3745" s="12" t="inlineStr">
        <is>
          <t>Motor 2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380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H-C-0033</t>
        </is>
      </c>
      <c r="B3746" s="12" t="inlineStr">
        <is>
          <t>H</t>
        </is>
      </c>
      <c r="C3746" s="12" t="inlineStr">
        <is>
          <t>BESS</t>
        </is>
      </c>
      <c r="D3746" s="12" t="inlineStr">
        <is>
          <t>Control</t>
        </is>
      </c>
      <c r="E3746" s="12" t="inlineStr"/>
      <c r="F3746" s="12" t="inlineStr">
        <is>
          <t>BESS EMS / SCADA and revenue metering</t>
        </is>
      </c>
      <c r="G3746" s="12" t="inlineStr"/>
      <c r="H3746" s="12" t="inlineStr">
        <is>
          <t>BESS auxiliary transformer</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7" t="n">
        <v>38</v>
      </c>
      <c r="U3746" s="17" t="n">
        <v>32</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H-C-0034</t>
        </is>
      </c>
      <c r="B3747" s="12" t="inlineStr">
        <is>
          <t>H</t>
        </is>
      </c>
      <c r="C3747" s="12" t="inlineStr">
        <is>
          <t>BESS</t>
        </is>
      </c>
      <c r="D3747" s="12" t="inlineStr">
        <is>
          <t>Control</t>
        </is>
      </c>
      <c r="E3747" s="12" t="inlineStr"/>
      <c r="F3747" s="12" t="inlineStr">
        <is>
          <t>BESS EMS / SCADA and revenue metering</t>
        </is>
      </c>
      <c r="G3747" s="12" t="inlineStr"/>
      <c r="H3747" s="12" t="inlineStr">
        <is>
          <t>BESS auxiliary transformer</t>
        </is>
      </c>
      <c r="I3747" s="12" t="inlineStr">
        <is>
          <t>Control</t>
        </is>
      </c>
      <c r="J3747" s="12" t="inlineStr">
        <is>
          <t>Control cable 600 V Type TC-ER, Cu #14 AWG, PVC jacket</t>
        </is>
      </c>
      <c r="K3747" s="12" t="inlineStr">
        <is>
          <t>CT|12/C|14</t>
        </is>
      </c>
      <c r="L3747" s="12" t="inlineStr">
        <is>
          <t>12/C</t>
        </is>
      </c>
      <c r="M3747" s="12" t="inlineStr">
        <is>
          <t>14</t>
        </is>
      </c>
      <c r="N3747" s="12" t="n">
        <v>1</v>
      </c>
      <c r="O3747" s="12" t="n">
        <v>1</v>
      </c>
      <c r="P3747" s="12" t="n"/>
      <c r="Q3747" s="12" t="n"/>
      <c r="R3747" s="12" t="n"/>
      <c r="S3747" s="12" t="inlineStr">
        <is>
          <t>Tray</t>
        </is>
      </c>
      <c r="T3747" s="17" t="n">
        <v>38</v>
      </c>
      <c r="U3747" s="17" t="n">
        <v>32</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H-C-0035</t>
        </is>
      </c>
      <c r="B3748" s="12" t="inlineStr">
        <is>
          <t>H</t>
        </is>
      </c>
      <c r="C3748" s="12" t="inlineStr">
        <is>
          <t>BESS</t>
        </is>
      </c>
      <c r="D3748" s="12" t="inlineStr">
        <is>
          <t>CT / VT</t>
        </is>
      </c>
      <c r="E3748" s="12" t="inlineStr"/>
      <c r="F3748" s="12" t="inlineStr">
        <is>
          <t>BESS EMS / SCADA and revenue metering</t>
        </is>
      </c>
      <c r="G3748" s="12" t="inlineStr"/>
      <c r="H3748" s="12" t="inlineStr">
        <is>
          <t>BESS auxiliary transformer</t>
        </is>
      </c>
      <c r="I3748" s="12" t="inlineStr">
        <is>
          <t>Control</t>
        </is>
      </c>
      <c r="J3748" s="12" t="inlineStr">
        <is>
          <t>Control cable 600 V Type TC-ER, Cu #10 AWG (CT / VT circuits)</t>
        </is>
      </c>
      <c r="K3748" s="12" t="inlineStr">
        <is>
          <t>CTCT|4/C|10</t>
        </is>
      </c>
      <c r="L3748" s="12" t="inlineStr">
        <is>
          <t>4/C</t>
        </is>
      </c>
      <c r="M3748" s="12" t="inlineStr">
        <is>
          <t>10</t>
        </is>
      </c>
      <c r="N3748" s="12" t="n">
        <v>1</v>
      </c>
      <c r="O3748" s="12" t="n">
        <v>1</v>
      </c>
      <c r="P3748" s="12" t="n"/>
      <c r="Q3748" s="12" t="n"/>
      <c r="R3748" s="12" t="n"/>
      <c r="S3748" s="12" t="inlineStr">
        <is>
          <t>Tray</t>
        </is>
      </c>
      <c r="T3748" s="17" t="n">
        <v>38</v>
      </c>
      <c r="U3748" s="17" t="n">
        <v>32</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H-C-0036</t>
        </is>
      </c>
      <c r="B3749" s="12" t="inlineStr">
        <is>
          <t>H</t>
        </is>
      </c>
      <c r="C3749" s="12" t="inlineStr">
        <is>
          <t>BESS</t>
        </is>
      </c>
      <c r="D3749" s="12" t="inlineStr">
        <is>
          <t>CT / VT</t>
        </is>
      </c>
      <c r="E3749" s="12" t="inlineStr"/>
      <c r="F3749" s="12" t="inlineStr">
        <is>
          <t>BESS EMS / SCADA and revenue metering</t>
        </is>
      </c>
      <c r="G3749" s="12" t="inlineStr"/>
      <c r="H3749" s="12" t="inlineStr">
        <is>
          <t>BESS auxiliary transformer</t>
        </is>
      </c>
      <c r="I3749" s="12" t="inlineStr">
        <is>
          <t>Control</t>
        </is>
      </c>
      <c r="J3749" s="12" t="inlineStr">
        <is>
          <t>Control cable 600 V Type TC-ER, Cu #10 AWG (CT / VT circuits)</t>
        </is>
      </c>
      <c r="K3749" s="12" t="inlineStr">
        <is>
          <t>CTCT|4/C|10</t>
        </is>
      </c>
      <c r="L3749" s="12" t="inlineStr">
        <is>
          <t>4/C</t>
        </is>
      </c>
      <c r="M3749" s="12" t="inlineStr">
        <is>
          <t>10</t>
        </is>
      </c>
      <c r="N3749" s="12" t="n">
        <v>1</v>
      </c>
      <c r="O3749" s="12" t="n">
        <v>1</v>
      </c>
      <c r="P3749" s="12" t="n"/>
      <c r="Q3749" s="12" t="n"/>
      <c r="R3749" s="12" t="n"/>
      <c r="S3749" s="12" t="inlineStr">
        <is>
          <t>Tray</t>
        </is>
      </c>
      <c r="T3749" s="17" t="n">
        <v>38</v>
      </c>
      <c r="U3749" s="17" t="n">
        <v>32</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H-C-0037</t>
        </is>
      </c>
      <c r="B3750" s="12" t="inlineStr">
        <is>
          <t>H</t>
        </is>
      </c>
      <c r="C3750" s="12" t="inlineStr">
        <is>
          <t>BESS</t>
        </is>
      </c>
      <c r="D3750" s="12" t="inlineStr">
        <is>
          <t>Control</t>
        </is>
      </c>
      <c r="E3750" s="12" t="inlineStr"/>
      <c r="F3750" s="12" t="inlineStr">
        <is>
          <t>BESS EMS / SCADA and revenue metering</t>
        </is>
      </c>
      <c r="G3750" s="12" t="inlineStr">
        <is>
          <t>BESS</t>
        </is>
      </c>
      <c r="H3750" s="12" t="inlineStr">
        <is>
          <t>BESS blocks: 30 containers + 15 PCS / MV skids</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336</v>
      </c>
      <c r="U3750" s="17" t="n">
        <v>32</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H-C-0038</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10</v>
      </c>
      <c r="U3751" s="17" t="n">
        <v>150</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H-C-0039</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7" t="n">
        <v>0</v>
      </c>
      <c r="U3752" s="17" t="n">
        <v>160</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H-C-0040</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7" t="n">
        <v>0</v>
      </c>
      <c r="U3753" s="17" t="n">
        <v>200</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H-C-0041</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7" t="n">
        <v>0</v>
      </c>
      <c r="U3754" s="17" t="n">
        <v>200</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H-C-0042</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7" t="n">
        <v>0</v>
      </c>
      <c r="U3755" s="17" t="n">
        <v>168</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H-C-0043</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7" t="n">
        <v>0</v>
      </c>
      <c r="U3756" s="17" t="n">
        <v>168</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H-C-0044</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10</v>
      </c>
      <c r="U3757" s="17" t="n">
        <v>266</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H-C-0045</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7" t="n">
        <v>0</v>
      </c>
      <c r="U3758" s="17" t="n">
        <v>276</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H-C-0046</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7" t="n">
        <v>0</v>
      </c>
      <c r="U3759" s="17" t="n">
        <v>316</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H-C-0047</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7" t="n">
        <v>0</v>
      </c>
      <c r="U3760" s="17" t="n">
        <v>316</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H-C-0048</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7" t="n">
        <v>0</v>
      </c>
      <c r="U3761" s="17" t="n">
        <v>284</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H-C-0049</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7" t="n">
        <v>0</v>
      </c>
      <c r="U3762" s="17" t="n">
        <v>284</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H-C-0050</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0</v>
      </c>
      <c r="U3763" s="17" t="n">
        <v>290</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H-C-0051</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7" t="n">
        <v>0</v>
      </c>
      <c r="U3764" s="17" t="n">
        <v>290</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H-C-0052</t>
        </is>
      </c>
      <c r="B3765" s="12" t="inlineStr">
        <is>
          <t>H</t>
        </is>
      </c>
      <c r="C3765" s="12" t="inlineStr">
        <is>
          <t>BESS</t>
        </is>
      </c>
      <c r="D3765" s="12" t="inlineStr">
        <is>
          <t>Control</t>
        </is>
      </c>
      <c r="E3765" s="12" t="inlineStr"/>
      <c r="F3765" s="12" t="inlineStr">
        <is>
          <t>BESS PCS / MV skid</t>
        </is>
      </c>
      <c r="G3765" s="12" t="inlineStr"/>
      <c r="H3765" s="12" t="inlineStr">
        <is>
          <t>BESS container (ISO 40 ft high cube)</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Tray</t>
        </is>
      </c>
      <c r="T3765" s="17" t="n">
        <v>0</v>
      </c>
      <c r="U3765" s="17" t="n">
        <v>290</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H-C-0053</t>
        </is>
      </c>
      <c r="B3766" s="12" t="inlineStr">
        <is>
          <t>H</t>
        </is>
      </c>
      <c r="C3766" s="12" t="inlineStr">
        <is>
          <t>BESS</t>
        </is>
      </c>
      <c r="D3766" s="12" t="inlineStr">
        <is>
          <t>Control</t>
        </is>
      </c>
      <c r="E3766" s="12" t="inlineStr"/>
      <c r="F3766" s="12" t="inlineStr">
        <is>
          <t>BESS PCS / MV skid</t>
        </is>
      </c>
      <c r="G3766" s="12" t="inlineStr"/>
      <c r="H3766" s="12" t="inlineStr">
        <is>
          <t>BESS container (ISO 40 ft high cube)</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Tray</t>
        </is>
      </c>
      <c r="T3766" s="17" t="n">
        <v>0</v>
      </c>
      <c r="U3766" s="17" t="n">
        <v>290</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H-C-0054</t>
        </is>
      </c>
      <c r="B3767" s="12" t="inlineStr">
        <is>
          <t>H</t>
        </is>
      </c>
      <c r="C3767" s="12" t="inlineStr">
        <is>
          <t>BESS</t>
        </is>
      </c>
      <c r="D3767" s="12" t="inlineStr">
        <is>
          <t>Control</t>
        </is>
      </c>
      <c r="E3767" s="12" t="inlineStr"/>
      <c r="F3767" s="12" t="inlineStr">
        <is>
          <t>BESS PCS / MV skid</t>
        </is>
      </c>
      <c r="G3767" s="12" t="inlineStr"/>
      <c r="H3767" s="12" t="inlineStr">
        <is>
          <t>BESS container (ISO 40 ft high cube)</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Tray</t>
        </is>
      </c>
      <c r="T3767" s="17" t="n">
        <v>0</v>
      </c>
      <c r="U3767" s="17" t="n">
        <v>290</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H-C-0055</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Tray</t>
        </is>
      </c>
      <c r="T3768" s="17" t="n">
        <v>0</v>
      </c>
      <c r="U3768" s="17" t="n">
        <v>290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H-C-0056</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174</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H-C-0057</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174</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H-C-0058</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174</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H-C-0059</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174</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H-C-0060</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174</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H-C-0061</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Tray</t>
        </is>
      </c>
      <c r="T3774" s="17" t="n">
        <v>0</v>
      </c>
      <c r="U3774" s="17" t="n">
        <v>174</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H-C-0062</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62</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H-C-0063</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62</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H-C-0064</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62</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H-C-0065</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62</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H-C-0066</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62</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H-C-0067</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62</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H-C-0068</t>
        </is>
      </c>
      <c r="B3781" s="12" t="inlineStr">
        <is>
          <t>H</t>
        </is>
      </c>
      <c r="C3781" s="12" t="inlineStr">
        <is>
          <t>BESS</t>
        </is>
      </c>
      <c r="D3781" s="12" t="inlineStr">
        <is>
          <t>Motor 1 of 6: control / local station</t>
        </is>
      </c>
      <c r="E3781" s="12" t="inlineStr"/>
      <c r="F3781" s="12" t="inlineStr">
        <is>
          <t>BESS auxiliary transformer</t>
        </is>
      </c>
      <c r="G3781" s="12" t="inlineStr">
        <is>
          <t>BESS MPT</t>
        </is>
      </c>
      <c r="H3781" s="12" t="inlineStr">
        <is>
          <t>BESS main power transformer 34.5/230 kV (to D4 upper)</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7" t="n">
        <v>180</v>
      </c>
      <c r="U3781" s="17" t="n">
        <v>32</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H-C-0069</t>
        </is>
      </c>
      <c r="B3782" s="12" t="inlineStr">
        <is>
          <t>H</t>
        </is>
      </c>
      <c r="C3782" s="12" t="inlineStr">
        <is>
          <t>BESS</t>
        </is>
      </c>
      <c r="D3782" s="12" t="inlineStr">
        <is>
          <t>Motor 2 of 6: control / local station</t>
        </is>
      </c>
      <c r="E3782" s="12" t="inlineStr"/>
      <c r="F3782" s="12" t="inlineStr">
        <is>
          <t>BESS auxiliary transformer</t>
        </is>
      </c>
      <c r="G3782" s="12" t="inlineStr">
        <is>
          <t>BESS MPT</t>
        </is>
      </c>
      <c r="H3782" s="12" t="inlineStr">
        <is>
          <t>BESS main power transformer 34.5/230 kV (to D4 upper)</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7" t="n">
        <v>180</v>
      </c>
      <c r="U3782" s="17" t="n">
        <v>32</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H-C-0070</t>
        </is>
      </c>
      <c r="B3783" s="12" t="inlineStr">
        <is>
          <t>H</t>
        </is>
      </c>
      <c r="C3783" s="12" t="inlineStr">
        <is>
          <t>BESS</t>
        </is>
      </c>
      <c r="D3783" s="12" t="inlineStr">
        <is>
          <t>Motor 3 of 6: control / local station</t>
        </is>
      </c>
      <c r="E3783" s="12" t="inlineStr"/>
      <c r="F3783" s="12" t="inlineStr">
        <is>
          <t>BESS auxiliary transformer</t>
        </is>
      </c>
      <c r="G3783" s="12" t="inlineStr">
        <is>
          <t>BESS MPT</t>
        </is>
      </c>
      <c r="H3783" s="12" t="inlineStr">
        <is>
          <t>BESS main power transformer 34.5/230 kV (to D4 upper)</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7" t="n">
        <v>180</v>
      </c>
      <c r="U3783" s="17" t="n">
        <v>32</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H-C-0071</t>
        </is>
      </c>
      <c r="B3784" s="12" t="inlineStr">
        <is>
          <t>H</t>
        </is>
      </c>
      <c r="C3784" s="12" t="inlineStr">
        <is>
          <t>BESS</t>
        </is>
      </c>
      <c r="D3784" s="12" t="inlineStr">
        <is>
          <t>Motor 4 of 6: control / local station</t>
        </is>
      </c>
      <c r="E3784" s="12" t="inlineStr"/>
      <c r="F3784" s="12" t="inlineStr">
        <is>
          <t>BESS auxiliary transformer</t>
        </is>
      </c>
      <c r="G3784" s="12" t="inlineStr">
        <is>
          <t>BESS MPT</t>
        </is>
      </c>
      <c r="H3784" s="12" t="inlineStr">
        <is>
          <t>BESS main power transformer 34.5/230 kV (to D4 upper)</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7" t="n">
        <v>180</v>
      </c>
      <c r="U3784" s="17" t="n">
        <v>32</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H-C-0072</t>
        </is>
      </c>
      <c r="B3785" s="12" t="inlineStr">
        <is>
          <t>H</t>
        </is>
      </c>
      <c r="C3785" s="12" t="inlineStr">
        <is>
          <t>BESS</t>
        </is>
      </c>
      <c r="D3785" s="12" t="inlineStr">
        <is>
          <t>Motor 5 of 6: control / local station</t>
        </is>
      </c>
      <c r="E3785" s="12" t="inlineStr"/>
      <c r="F3785" s="12" t="inlineStr">
        <is>
          <t>BESS auxiliary transformer</t>
        </is>
      </c>
      <c r="G3785" s="12" t="inlineStr">
        <is>
          <t>BESS MPT</t>
        </is>
      </c>
      <c r="H3785" s="12" t="inlineStr">
        <is>
          <t>BESS main power transformer 34.5/230 kV (to D4 upper)</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7" t="n">
        <v>180</v>
      </c>
      <c r="U3785" s="17" t="n">
        <v>32</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H-C-0073</t>
        </is>
      </c>
      <c r="B3786" s="12" t="inlineStr">
        <is>
          <t>H</t>
        </is>
      </c>
      <c r="C3786" s="12" t="inlineStr">
        <is>
          <t>BESS</t>
        </is>
      </c>
      <c r="D3786" s="12" t="inlineStr">
        <is>
          <t>Motor 6 of 6: control / local station</t>
        </is>
      </c>
      <c r="E3786" s="12" t="inlineStr"/>
      <c r="F3786" s="12" t="inlineStr">
        <is>
          <t>BESS auxiliary transformer</t>
        </is>
      </c>
      <c r="G3786" s="12" t="inlineStr">
        <is>
          <t>BESS MPT</t>
        </is>
      </c>
      <c r="H3786" s="12" t="inlineStr">
        <is>
          <t>BESS main power transformer 34.5/230 kV (to D4 upper)</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7" t="n">
        <v>180</v>
      </c>
      <c r="U3786" s="17" t="n">
        <v>32</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H-C-0074</t>
        </is>
      </c>
      <c r="B3787" s="12" t="inlineStr">
        <is>
          <t>H</t>
        </is>
      </c>
      <c r="C3787" s="12" t="inlineStr">
        <is>
          <t>BESS</t>
        </is>
      </c>
      <c r="D3787" s="12" t="inlineStr">
        <is>
          <t>Control</t>
        </is>
      </c>
      <c r="E3787" s="12" t="inlineStr"/>
      <c r="F3787" s="12" t="inlineStr">
        <is>
          <t>BESS EMS / SCADA and revenue metering</t>
        </is>
      </c>
      <c r="G3787" s="12" t="inlineStr">
        <is>
          <t>BESS MPT</t>
        </is>
      </c>
      <c r="H3787" s="12" t="inlineStr">
        <is>
          <t>BESS main power transformer 34.5/230 kV (to D4 upper)</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7" t="n">
        <v>162</v>
      </c>
      <c r="U3787" s="17" t="n">
        <v>32</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H-C-0075</t>
        </is>
      </c>
      <c r="B3788" s="12" t="inlineStr">
        <is>
          <t>H</t>
        </is>
      </c>
      <c r="C3788" s="12" t="inlineStr">
        <is>
          <t>BESS</t>
        </is>
      </c>
      <c r="D3788" s="12" t="inlineStr">
        <is>
          <t>Control</t>
        </is>
      </c>
      <c r="E3788" s="12" t="inlineStr"/>
      <c r="F3788" s="12" t="inlineStr">
        <is>
          <t>BESS EMS / SCADA and revenue metering</t>
        </is>
      </c>
      <c r="G3788" s="12" t="inlineStr">
        <is>
          <t>BESS MPT</t>
        </is>
      </c>
      <c r="H3788" s="12" t="inlineStr">
        <is>
          <t>BESS main power transformer 34.5/230 kV (to D4 upper)</t>
        </is>
      </c>
      <c r="I3788" s="12" t="inlineStr">
        <is>
          <t>Control</t>
        </is>
      </c>
      <c r="J3788" s="12" t="inlineStr">
        <is>
          <t>Control cable 600 V Type TC-ER, Cu #14 AWG, PVC jacket</t>
        </is>
      </c>
      <c r="K3788" s="12" t="inlineStr">
        <is>
          <t>CT|12/C|14</t>
        </is>
      </c>
      <c r="L3788" s="12" t="inlineStr">
        <is>
          <t>12/C</t>
        </is>
      </c>
      <c r="M3788" s="12" t="inlineStr">
        <is>
          <t>14</t>
        </is>
      </c>
      <c r="N3788" s="12" t="n">
        <v>1</v>
      </c>
      <c r="O3788" s="12" t="n">
        <v>1</v>
      </c>
      <c r="P3788" s="12" t="n"/>
      <c r="Q3788" s="12" t="n"/>
      <c r="R3788" s="12" t="n"/>
      <c r="S3788" s="12" t="inlineStr">
        <is>
          <t>Duct bank</t>
        </is>
      </c>
      <c r="T3788" s="17" t="n">
        <v>162</v>
      </c>
      <c r="U3788" s="17" t="n">
        <v>32</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H-C-0076</t>
        </is>
      </c>
      <c r="B3789" s="12" t="inlineStr">
        <is>
          <t>H</t>
        </is>
      </c>
      <c r="C3789" s="12" t="inlineStr">
        <is>
          <t>BESS</t>
        </is>
      </c>
      <c r="D3789" s="12" t="inlineStr">
        <is>
          <t>CT / VT</t>
        </is>
      </c>
      <c r="E3789" s="12" t="inlineStr"/>
      <c r="F3789" s="12" t="inlineStr">
        <is>
          <t>BESS EMS / SCADA and revenue metering</t>
        </is>
      </c>
      <c r="G3789" s="12" t="inlineStr">
        <is>
          <t>BESS MPT</t>
        </is>
      </c>
      <c r="H3789" s="12" t="inlineStr">
        <is>
          <t>BESS main power transformer 34.5/230 kV (to D4 upper)</t>
        </is>
      </c>
      <c r="I3789" s="12" t="inlineStr">
        <is>
          <t>Control</t>
        </is>
      </c>
      <c r="J3789" s="12" t="inlineStr">
        <is>
          <t>Control cable 600 V Type TC-ER, Cu #10 AWG (CT / VT circuits)</t>
        </is>
      </c>
      <c r="K3789" s="12" t="inlineStr">
        <is>
          <t>CTCT|4/C|10</t>
        </is>
      </c>
      <c r="L3789" s="12" t="inlineStr">
        <is>
          <t>4/C</t>
        </is>
      </c>
      <c r="M3789" s="12" t="inlineStr">
        <is>
          <t>10</t>
        </is>
      </c>
      <c r="N3789" s="12" t="n">
        <v>1</v>
      </c>
      <c r="O3789" s="12" t="n">
        <v>1</v>
      </c>
      <c r="P3789" s="12" t="n"/>
      <c r="Q3789" s="12" t="n"/>
      <c r="R3789" s="12" t="n"/>
      <c r="S3789" s="12" t="inlineStr">
        <is>
          <t>Duct bank</t>
        </is>
      </c>
      <c r="T3789" s="17" t="n">
        <v>162</v>
      </c>
      <c r="U3789" s="17" t="n">
        <v>32</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H-C-0077</t>
        </is>
      </c>
      <c r="B3790" s="12" t="inlineStr">
        <is>
          <t>H</t>
        </is>
      </c>
      <c r="C3790" s="12" t="inlineStr">
        <is>
          <t>BESS</t>
        </is>
      </c>
      <c r="D3790" s="12" t="inlineStr">
        <is>
          <t>CT / VT</t>
        </is>
      </c>
      <c r="E3790" s="12" t="inlineStr"/>
      <c r="F3790" s="12" t="inlineStr">
        <is>
          <t>BESS EMS / SCADA and revenue metering</t>
        </is>
      </c>
      <c r="G3790" s="12" t="inlineStr">
        <is>
          <t>BESS MPT</t>
        </is>
      </c>
      <c r="H3790" s="12" t="inlineStr">
        <is>
          <t>BESS main power transformer 34.5/230 kV (to D4 upper)</t>
        </is>
      </c>
      <c r="I3790" s="12" t="inlineStr">
        <is>
          <t>Control</t>
        </is>
      </c>
      <c r="J3790" s="12" t="inlineStr">
        <is>
          <t>Control cable 600 V Type TC-ER, Cu #10 AWG (CT / VT circuits)</t>
        </is>
      </c>
      <c r="K3790" s="12" t="inlineStr">
        <is>
          <t>CTCT|4/C|10</t>
        </is>
      </c>
      <c r="L3790" s="12" t="inlineStr">
        <is>
          <t>4/C</t>
        </is>
      </c>
      <c r="M3790" s="12" t="inlineStr">
        <is>
          <t>10</t>
        </is>
      </c>
      <c r="N3790" s="12" t="n">
        <v>1</v>
      </c>
      <c r="O3790" s="12" t="n">
        <v>1</v>
      </c>
      <c r="P3790" s="12" t="n"/>
      <c r="Q3790" s="12" t="n"/>
      <c r="R3790" s="12" t="n"/>
      <c r="S3790" s="12" t="inlineStr">
        <is>
          <t>Duct bank</t>
        </is>
      </c>
      <c r="T3790" s="17" t="n">
        <v>162</v>
      </c>
      <c r="U3790" s="17" t="n">
        <v>32</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H-C-0078</t>
        </is>
      </c>
      <c r="B3791" s="12" t="inlineStr">
        <is>
          <t>H</t>
        </is>
      </c>
      <c r="C3791" s="12" t="inlineStr">
        <is>
          <t>BESS</t>
        </is>
      </c>
      <c r="D3791" s="12" t="inlineStr">
        <is>
          <t>Control</t>
        </is>
      </c>
      <c r="E3791" s="12" t="inlineStr"/>
      <c r="F3791" s="12" t="inlineStr">
        <is>
          <t>BESS EMS / SCADA and revenue metering</t>
        </is>
      </c>
      <c r="G3791" s="12" t="inlineStr"/>
      <c r="H3791" s="12" t="inlineStr">
        <is>
          <t>CONDITIONAL: grounding transformer</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7" t="n">
        <v>280</v>
      </c>
      <c r="U3791" s="17" t="n">
        <v>87</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H-C-0079</t>
        </is>
      </c>
      <c r="B3792" s="12" t="inlineStr">
        <is>
          <t>H</t>
        </is>
      </c>
      <c r="C3792" s="12" t="inlineStr">
        <is>
          <t>BESS</t>
        </is>
      </c>
      <c r="D3792" s="12" t="inlineStr">
        <is>
          <t>Control</t>
        </is>
      </c>
      <c r="E3792" s="12" t="inlineStr"/>
      <c r="F3792" s="12" t="inlineStr">
        <is>
          <t>BESS EMS / SCADA and revenue metering</t>
        </is>
      </c>
      <c r="G3792" s="12" t="inlineStr"/>
      <c r="H3792" s="12" t="inlineStr">
        <is>
          <t>CONDITIONAL: grounding transformer</t>
        </is>
      </c>
      <c r="I3792" s="12" t="inlineStr">
        <is>
          <t>Control</t>
        </is>
      </c>
      <c r="J3792" s="12" t="inlineStr">
        <is>
          <t>Control cable 600 V Type TC-ER, Cu #14 AWG, PVC jacket</t>
        </is>
      </c>
      <c r="K3792" s="12" t="inlineStr">
        <is>
          <t>CT|12/C|14</t>
        </is>
      </c>
      <c r="L3792" s="12" t="inlineStr">
        <is>
          <t>12/C</t>
        </is>
      </c>
      <c r="M3792" s="12" t="inlineStr">
        <is>
          <t>14</t>
        </is>
      </c>
      <c r="N3792" s="12" t="n">
        <v>1</v>
      </c>
      <c r="O3792" s="12" t="n">
        <v>1</v>
      </c>
      <c r="P3792" s="12" t="n"/>
      <c r="Q3792" s="12" t="n"/>
      <c r="R3792" s="12" t="n"/>
      <c r="S3792" s="12" t="inlineStr">
        <is>
          <t>Duct bank</t>
        </is>
      </c>
      <c r="T3792" s="17" t="n">
        <v>280</v>
      </c>
      <c r="U3792" s="17" t="n">
        <v>87</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H-C-0080</t>
        </is>
      </c>
      <c r="B3793" s="12" t="inlineStr">
        <is>
          <t>H</t>
        </is>
      </c>
      <c r="C3793" s="12" t="inlineStr">
        <is>
          <t>BESS</t>
        </is>
      </c>
      <c r="D3793" s="12" t="inlineStr">
        <is>
          <t>CT / VT</t>
        </is>
      </c>
      <c r="E3793" s="12" t="inlineStr"/>
      <c r="F3793" s="12" t="inlineStr">
        <is>
          <t>BESS EMS / SCADA and revenue metering</t>
        </is>
      </c>
      <c r="G3793" s="12" t="inlineStr"/>
      <c r="H3793" s="12" t="inlineStr">
        <is>
          <t>CONDITIONAL: grounding transformer</t>
        </is>
      </c>
      <c r="I3793" s="12" t="inlineStr">
        <is>
          <t>Control</t>
        </is>
      </c>
      <c r="J3793" s="12" t="inlineStr">
        <is>
          <t>Control cable 600 V Type TC-ER, Cu #10 AWG (CT / VT circuits)</t>
        </is>
      </c>
      <c r="K3793" s="12" t="inlineStr">
        <is>
          <t>CTCT|4/C|10</t>
        </is>
      </c>
      <c r="L3793" s="12" t="inlineStr">
        <is>
          <t>4/C</t>
        </is>
      </c>
      <c r="M3793" s="12" t="inlineStr">
        <is>
          <t>10</t>
        </is>
      </c>
      <c r="N3793" s="12" t="n">
        <v>1</v>
      </c>
      <c r="O3793" s="12" t="n">
        <v>1</v>
      </c>
      <c r="P3793" s="12" t="n"/>
      <c r="Q3793" s="12" t="n"/>
      <c r="R3793" s="12" t="n"/>
      <c r="S3793" s="12" t="inlineStr">
        <is>
          <t>Duct bank</t>
        </is>
      </c>
      <c r="T3793" s="17" t="n">
        <v>280</v>
      </c>
      <c r="U3793" s="17" t="n">
        <v>87</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H-C-0081</t>
        </is>
      </c>
      <c r="B3794" s="12" t="inlineStr">
        <is>
          <t>H</t>
        </is>
      </c>
      <c r="C3794" s="12" t="inlineStr">
        <is>
          <t>BESS</t>
        </is>
      </c>
      <c r="D3794" s="12" t="inlineStr">
        <is>
          <t>CT / VT</t>
        </is>
      </c>
      <c r="E3794" s="12" t="inlineStr"/>
      <c r="F3794" s="12" t="inlineStr">
        <is>
          <t>BESS EMS / SCADA and revenue metering</t>
        </is>
      </c>
      <c r="G3794" s="12" t="inlineStr"/>
      <c r="H3794" s="12" t="inlineStr">
        <is>
          <t>CONDITIONAL: grounding transformer</t>
        </is>
      </c>
      <c r="I3794" s="12" t="inlineStr">
        <is>
          <t>Control</t>
        </is>
      </c>
      <c r="J3794" s="12" t="inlineStr">
        <is>
          <t>Control cable 600 V Type TC-ER, Cu #10 AWG (CT / VT circuits)</t>
        </is>
      </c>
      <c r="K3794" s="12" t="inlineStr">
        <is>
          <t>CTCT|4/C|10</t>
        </is>
      </c>
      <c r="L3794" s="12" t="inlineStr">
        <is>
          <t>4/C</t>
        </is>
      </c>
      <c r="M3794" s="12" t="inlineStr">
        <is>
          <t>10</t>
        </is>
      </c>
      <c r="N3794" s="12" t="n">
        <v>1</v>
      </c>
      <c r="O3794" s="12" t="n">
        <v>1</v>
      </c>
      <c r="P3794" s="12" t="n"/>
      <c r="Q3794" s="12" t="n"/>
      <c r="R3794" s="12" t="n"/>
      <c r="S3794" s="12" t="inlineStr">
        <is>
          <t>Duct bank</t>
        </is>
      </c>
      <c r="T3794" s="17" t="n">
        <v>280</v>
      </c>
      <c r="U3794" s="17" t="n">
        <v>87</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H-DC-0001</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Duct bank</t>
        </is>
      </c>
      <c r="T3795" s="17" t="n">
        <v>10</v>
      </c>
      <c r="U3795" s="17" t="n">
        <v>150</v>
      </c>
      <c r="V3795" s="17">
        <f>ROUNDUP((T3795+U3795+2*'Read Me'!$B$13)*(1+'Read Me'!$B$12),-1)</f>
        <v/>
      </c>
      <c r="W3795" s="17">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H-DC-0002</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7" t="n">
        <v>0</v>
      </c>
      <c r="U3796" s="17" t="n">
        <v>160</v>
      </c>
      <c r="V3796" s="17">
        <f>ROUNDUP((T3796+U3796+2*'Read Me'!$B$13)*(1+'Read Me'!$B$12),-1)</f>
        <v/>
      </c>
      <c r="W3796" s="17">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H-DC-0003</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7" t="n">
        <v>0</v>
      </c>
      <c r="U3797" s="17" t="n">
        <v>200</v>
      </c>
      <c r="V3797" s="17">
        <f>ROUNDUP((T3797+U3797+2*'Read Me'!$B$13)*(1+'Read Me'!$B$12),-1)</f>
        <v/>
      </c>
      <c r="W3797" s="17">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H-DC-0004</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7" t="n">
        <v>0</v>
      </c>
      <c r="U3798" s="17" t="n">
        <v>200</v>
      </c>
      <c r="V3798" s="17">
        <f>ROUNDUP((T3798+U3798+2*'Read Me'!$B$13)*(1+'Read Me'!$B$12),-1)</f>
        <v/>
      </c>
      <c r="W3798" s="17">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H-DC-0005</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7" t="n">
        <v>0</v>
      </c>
      <c r="U3799" s="17" t="n">
        <v>168</v>
      </c>
      <c r="V3799" s="17">
        <f>ROUNDUP((T3799+U3799+2*'Read Me'!$B$13)*(1+'Read Me'!$B$12),-1)</f>
        <v/>
      </c>
      <c r="W3799" s="17">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H-DC-0006</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Duct bank</t>
        </is>
      </c>
      <c r="T3800" s="17" t="n">
        <v>10</v>
      </c>
      <c r="U3800" s="17" t="n">
        <v>158</v>
      </c>
      <c r="V3800" s="17">
        <f>ROUNDUP((T3800+U3800+2*'Read Me'!$B$13)*(1+'Read Me'!$B$12),-1)</f>
        <v/>
      </c>
      <c r="W3800" s="17">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H-DC-0007</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Duct bank</t>
        </is>
      </c>
      <c r="T3801" s="17" t="n">
        <v>10</v>
      </c>
      <c r="U3801" s="17" t="n">
        <v>266</v>
      </c>
      <c r="V3801" s="17">
        <f>ROUNDUP((T3801+U3801+2*'Read Me'!$B$13)*(1+'Read Me'!$B$12),-1)</f>
        <v/>
      </c>
      <c r="W3801" s="17">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H-DC-0008</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7" t="n">
        <v>0</v>
      </c>
      <c r="U3802" s="17" t="n">
        <v>276</v>
      </c>
      <c r="V3802" s="17">
        <f>ROUNDUP((T3802+U3802+2*'Read Me'!$B$13)*(1+'Read Me'!$B$12),-1)</f>
        <v/>
      </c>
      <c r="W3802" s="17">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H-DC-0009</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7" t="n">
        <v>0</v>
      </c>
      <c r="U3803" s="17" t="n">
        <v>316</v>
      </c>
      <c r="V3803" s="17">
        <f>ROUNDUP((T3803+U3803+2*'Read Me'!$B$13)*(1+'Read Me'!$B$12),-1)</f>
        <v/>
      </c>
      <c r="W3803" s="17">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H-DC-0010</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7" t="n">
        <v>0</v>
      </c>
      <c r="U3804" s="17" t="n">
        <v>316</v>
      </c>
      <c r="V3804" s="17">
        <f>ROUNDUP((T3804+U3804+2*'Read Me'!$B$13)*(1+'Read Me'!$B$12),-1)</f>
        <v/>
      </c>
      <c r="W3804" s="17">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H-DC-0011</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7" t="n">
        <v>0</v>
      </c>
      <c r="U3805" s="17" t="n">
        <v>284</v>
      </c>
      <c r="V3805" s="17">
        <f>ROUNDUP((T3805+U3805+2*'Read Me'!$B$13)*(1+'Read Me'!$B$12),-1)</f>
        <v/>
      </c>
      <c r="W3805" s="17">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H-DC-0012</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Duct bank</t>
        </is>
      </c>
      <c r="T3806" s="17" t="n">
        <v>10</v>
      </c>
      <c r="U3806" s="17" t="n">
        <v>274</v>
      </c>
      <c r="V3806" s="17">
        <f>ROUNDUP((T3806+U3806+2*'Read Me'!$B$13)*(1+'Read Me'!$B$12),-1)</f>
        <v/>
      </c>
      <c r="W3806" s="17">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H-DC-0013</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7" t="n">
        <v>0</v>
      </c>
      <c r="U3807" s="17" t="n">
        <v>290</v>
      </c>
      <c r="V3807" s="17">
        <f>ROUNDUP((T3807+U3807+2*'Read Me'!$B$13)*(1+'Read Me'!$B$12),-1)</f>
        <v/>
      </c>
      <c r="W3807" s="17">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H-DC-0014</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7" t="n">
        <v>0</v>
      </c>
      <c r="U3808" s="17" t="n">
        <v>290</v>
      </c>
      <c r="V3808" s="17">
        <f>ROUNDUP((T3808+U3808+2*'Read Me'!$B$13)*(1+'Read Me'!$B$12),-1)</f>
        <v/>
      </c>
      <c r="W3808" s="17">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H-DC-0015</t>
        </is>
      </c>
      <c r="B3809" s="12" t="inlineStr">
        <is>
          <t>H</t>
        </is>
      </c>
      <c r="C3809" s="12" t="inlineStr">
        <is>
          <t>BESS</t>
        </is>
      </c>
      <c r="D3809" s="12" t="inlineStr">
        <is>
          <t>DC 1,500 V: container to PCS (2 x 1/C per pole pair)</t>
        </is>
      </c>
      <c r="E3809" s="12" t="inlineStr"/>
      <c r="F3809" s="12" t="inlineStr">
        <is>
          <t>BESS container (ISO 40 ft high cube)</t>
        </is>
      </c>
      <c r="G3809" s="12" t="inlineStr"/>
      <c r="H3809" s="12" t="inlineStr">
        <is>
          <t>BESS PCS / MV skid</t>
        </is>
      </c>
      <c r="I3809" s="12" t="inlineStr">
        <is>
          <t>DC 2 kV</t>
        </is>
      </c>
      <c r="J3809" s="12" t="inlineStr">
        <is>
          <t>PV / RHW-2 2 kV 1/C Cu, XLPE (DC)</t>
        </is>
      </c>
      <c r="K3809" s="12" t="inlineStr">
        <is>
          <t>PV|1/C|500</t>
        </is>
      </c>
      <c r="L3809" s="12" t="inlineStr">
        <is>
          <t>1/C</t>
        </is>
      </c>
      <c r="M3809" s="12" t="inlineStr">
        <is>
          <t>500 kcmil</t>
        </is>
      </c>
      <c r="N3809" s="12" t="n">
        <v>4</v>
      </c>
      <c r="O3809" s="12" t="n">
        <v>2</v>
      </c>
      <c r="P3809" s="12" t="n">
        <v>1500</v>
      </c>
      <c r="Q3809" s="12" t="n">
        <v>4000</v>
      </c>
      <c r="R3809" s="12" t="n"/>
      <c r="S3809" s="12" t="inlineStr">
        <is>
          <t>Tray</t>
        </is>
      </c>
      <c r="T3809" s="17" t="n">
        <v>0</v>
      </c>
      <c r="U3809" s="17" t="n">
        <v>290</v>
      </c>
      <c r="V3809" s="17">
        <f>ROUNDUP((T3809+U3809+2*'Read Me'!$B$13)*(1+'Read Me'!$B$12),-1)</f>
        <v/>
      </c>
      <c r="W3809" s="17">
        <f>V3809*N3809*O3809</f>
        <v/>
      </c>
      <c r="X3809" s="12">
        <f>IF(LEFT(I3809,2)="MV",2*N3809*IF(L3809="1/C",O3809,1),0)</f>
        <v/>
      </c>
      <c r="Y3809" s="12">
        <f>IF(OR(LEFT(K3809,4)="LVAX",LEFT(K3809,6)="MV15AX",LEFT(K3809,4)="CTAX",LEFT(K3809,2)="W|"),2*N3809*O3809,0)</f>
        <v/>
      </c>
      <c r="Z3809" s="12" t="inlineStr">
        <is>
          <t>4 sets of +/- per container (typ.)</t>
        </is>
      </c>
      <c r="AA3809" s="12">
        <f>N3809*O3809</f>
        <v/>
      </c>
    </row>
    <row r="3810">
      <c r="A3810" s="12" t="inlineStr">
        <is>
          <t>H-DC-0016</t>
        </is>
      </c>
      <c r="B3810" s="12" t="inlineStr">
        <is>
          <t>H</t>
        </is>
      </c>
      <c r="C3810" s="12" t="inlineStr">
        <is>
          <t>BESS</t>
        </is>
      </c>
      <c r="D3810" s="12" t="inlineStr">
        <is>
          <t>DC 1,500 V: container to PCS (2 x 1/C per pole pair)</t>
        </is>
      </c>
      <c r="E3810" s="12" t="inlineStr"/>
      <c r="F3810" s="12" t="inlineStr">
        <is>
          <t>BESS container (ISO 40 ft high cube)</t>
        </is>
      </c>
      <c r="G3810" s="12" t="inlineStr"/>
      <c r="H3810" s="12" t="inlineStr">
        <is>
          <t>BESS PCS / MV skid</t>
        </is>
      </c>
      <c r="I3810" s="12" t="inlineStr">
        <is>
          <t>DC 2 kV</t>
        </is>
      </c>
      <c r="J3810" s="12" t="inlineStr">
        <is>
          <t>PV / RHW-2 2 kV 1/C Cu, XLPE (DC)</t>
        </is>
      </c>
      <c r="K3810" s="12" t="inlineStr">
        <is>
          <t>PV|1/C|500</t>
        </is>
      </c>
      <c r="L3810" s="12" t="inlineStr">
        <is>
          <t>1/C</t>
        </is>
      </c>
      <c r="M3810" s="12" t="inlineStr">
        <is>
          <t>500 kcmil</t>
        </is>
      </c>
      <c r="N3810" s="12" t="n">
        <v>4</v>
      </c>
      <c r="O3810" s="12" t="n">
        <v>2</v>
      </c>
      <c r="P3810" s="12" t="n">
        <v>1500</v>
      </c>
      <c r="Q3810" s="12" t="n">
        <v>4000</v>
      </c>
      <c r="R3810" s="12" t="n"/>
      <c r="S3810" s="12" t="inlineStr">
        <is>
          <t>Tray</t>
        </is>
      </c>
      <c r="T3810" s="17" t="n">
        <v>0</v>
      </c>
      <c r="U3810" s="17" t="n">
        <v>290</v>
      </c>
      <c r="V3810" s="17">
        <f>ROUNDUP((T3810+U3810+2*'Read Me'!$B$13)*(1+'Read Me'!$B$12),-1)</f>
        <v/>
      </c>
      <c r="W3810" s="17">
        <f>V3810*N3810*O3810</f>
        <v/>
      </c>
      <c r="X3810" s="12">
        <f>IF(LEFT(I3810,2)="MV",2*N3810*IF(L3810="1/C",O3810,1),0)</f>
        <v/>
      </c>
      <c r="Y3810" s="12">
        <f>IF(OR(LEFT(K3810,4)="LVAX",LEFT(K3810,6)="MV15AX",LEFT(K3810,4)="CTAX",LEFT(K3810,2)="W|"),2*N3810*O3810,0)</f>
        <v/>
      </c>
      <c r="Z3810" s="12" t="inlineStr">
        <is>
          <t>4 sets of +/- per container (typ.)</t>
        </is>
      </c>
      <c r="AA3810" s="12">
        <f>N3810*O3810</f>
        <v/>
      </c>
    </row>
    <row r="3811">
      <c r="A3811" s="12" t="inlineStr">
        <is>
          <t>H-DC-0017</t>
        </is>
      </c>
      <c r="B3811" s="12" t="inlineStr">
        <is>
          <t>H</t>
        </is>
      </c>
      <c r="C3811" s="12" t="inlineStr">
        <is>
          <t>BESS</t>
        </is>
      </c>
      <c r="D3811" s="12" t="inlineStr">
        <is>
          <t>DC 1,500 V: container to PCS (2 x 1/C per pole pair)</t>
        </is>
      </c>
      <c r="E3811" s="12" t="inlineStr"/>
      <c r="F3811" s="12" t="inlineStr">
        <is>
          <t>BESS container (ISO 40 ft high cube)</t>
        </is>
      </c>
      <c r="G3811" s="12" t="inlineStr"/>
      <c r="H3811" s="12" t="inlineStr">
        <is>
          <t>BESS PCS / MV skid</t>
        </is>
      </c>
      <c r="I3811" s="12" t="inlineStr">
        <is>
          <t>DC 2 kV</t>
        </is>
      </c>
      <c r="J3811" s="12" t="inlineStr">
        <is>
          <t>PV / RHW-2 2 kV 1/C Cu, XLPE (DC)</t>
        </is>
      </c>
      <c r="K3811" s="12" t="inlineStr">
        <is>
          <t>PV|1/C|500</t>
        </is>
      </c>
      <c r="L3811" s="12" t="inlineStr">
        <is>
          <t>1/C</t>
        </is>
      </c>
      <c r="M3811" s="12" t="inlineStr">
        <is>
          <t>500 kcmil</t>
        </is>
      </c>
      <c r="N3811" s="12" t="n">
        <v>4</v>
      </c>
      <c r="O3811" s="12" t="n">
        <v>2</v>
      </c>
      <c r="P3811" s="12" t="n">
        <v>1500</v>
      </c>
      <c r="Q3811" s="12" t="n">
        <v>4000</v>
      </c>
      <c r="R3811" s="12" t="n"/>
      <c r="S3811" s="12" t="inlineStr">
        <is>
          <t>Tray</t>
        </is>
      </c>
      <c r="T3811" s="17" t="n">
        <v>0</v>
      </c>
      <c r="U3811" s="17" t="n">
        <v>290</v>
      </c>
      <c r="V3811" s="17">
        <f>ROUNDUP((T3811+U3811+2*'Read Me'!$B$13)*(1+'Read Me'!$B$12),-1)</f>
        <v/>
      </c>
      <c r="W3811" s="17">
        <f>V3811*N3811*O3811</f>
        <v/>
      </c>
      <c r="X3811" s="12">
        <f>IF(LEFT(I3811,2)="MV",2*N3811*IF(L3811="1/C",O3811,1),0)</f>
        <v/>
      </c>
      <c r="Y3811" s="12">
        <f>IF(OR(LEFT(K3811,4)="LVAX",LEFT(K3811,6)="MV15AX",LEFT(K3811,4)="CTAX",LEFT(K3811,2)="W|"),2*N3811*O3811,0)</f>
        <v/>
      </c>
      <c r="Z3811" s="12" t="inlineStr">
        <is>
          <t>4 sets of +/- per container (typ.)</t>
        </is>
      </c>
      <c r="AA3811" s="12">
        <f>N3811*O3811</f>
        <v/>
      </c>
    </row>
    <row r="3812">
      <c r="A3812" s="12" t="inlineStr">
        <is>
          <t>H-DC-0018</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Tray</t>
        </is>
      </c>
      <c r="T3812" s="17" t="n">
        <v>27</v>
      </c>
      <c r="U3812" s="17" t="n">
        <v>263</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H-DC-0019</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174</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H-DC-0020</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174</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H-DC-0021</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174</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H-DC-0022</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174</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H-DC-0023</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Tray</t>
        </is>
      </c>
      <c r="T3817" s="17" t="n">
        <v>0</v>
      </c>
      <c r="U3817" s="17" t="n">
        <v>174</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H-DC-0024</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Tray</t>
        </is>
      </c>
      <c r="T3818" s="17" t="n">
        <v>0</v>
      </c>
      <c r="U3818" s="17" t="n">
        <v>174</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H-DC-0025</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62</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H-DC-0026</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62</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H-DC-0027</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62</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H-DC-0028</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62</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H-DC-0029</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Tray</t>
        </is>
      </c>
      <c r="T3823" s="17" t="n">
        <v>0</v>
      </c>
      <c r="U3823" s="17" t="n">
        <v>62</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H-DC-0030</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62</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H-F-0001</t>
        </is>
      </c>
      <c r="B3825" s="12" t="inlineStr">
        <is>
          <t>H</t>
        </is>
      </c>
      <c r="C3825" s="12" t="inlineStr">
        <is>
          <t>BESS</t>
        </is>
      </c>
      <c r="D3825" s="12" t="inlineStr">
        <is>
          <t>Plant network / DCS fibre</t>
        </is>
      </c>
      <c r="E3825" s="12" t="inlineStr">
        <is>
          <t>CR</t>
        </is>
      </c>
      <c r="F3825" s="12" t="inlineStr">
        <is>
          <t>Control / admin building (main control room)</t>
        </is>
      </c>
      <c r="G3825" s="12" t="inlineStr"/>
      <c r="H3825" s="12" t="inlineStr">
        <is>
          <t>34.5 kV collector e-house (arc-resistant)</t>
        </is>
      </c>
      <c r="I3825" s="12" t="inlineStr">
        <is>
          <t>Fibre / data</t>
        </is>
      </c>
      <c r="J3825" s="12" t="inlineStr">
        <is>
          <t>Fibre optic, single-mode, 12-fibre, armored, orange jacket</t>
        </is>
      </c>
      <c r="K3825" s="12" t="inlineStr">
        <is>
          <t>FO|12 SM|-</t>
        </is>
      </c>
      <c r="L3825" s="12" t="inlineStr">
        <is>
          <t>12 SM</t>
        </is>
      </c>
      <c r="M3825" s="12" t="inlineStr">
        <is>
          <t>-</t>
        </is>
      </c>
      <c r="N3825" s="12" t="n">
        <v>1</v>
      </c>
      <c r="O3825" s="12" t="n">
        <v>1</v>
      </c>
      <c r="P3825" s="12" t="n"/>
      <c r="Q3825" s="12" t="n"/>
      <c r="R3825" s="12" t="n"/>
      <c r="S3825" s="12" t="inlineStr">
        <is>
          <t>Trench</t>
        </is>
      </c>
      <c r="T3825" s="17" t="n">
        <v>2496</v>
      </c>
      <c r="U3825" s="17" t="n">
        <v>36</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H-F-0002</t>
        </is>
      </c>
      <c r="B3826" s="12" t="inlineStr">
        <is>
          <t>H</t>
        </is>
      </c>
      <c r="C3826" s="12" t="inlineStr">
        <is>
          <t>BESS</t>
        </is>
      </c>
      <c r="D3826" s="12" t="inlineStr">
        <is>
          <t>Plant network / DCS fibre</t>
        </is>
      </c>
      <c r="E3826" s="12" t="inlineStr">
        <is>
          <t>CR</t>
        </is>
      </c>
      <c r="F3826" s="12" t="inlineStr">
        <is>
          <t>Control / admin building (main control room)</t>
        </is>
      </c>
      <c r="G3826" s="12" t="inlineStr"/>
      <c r="H3826" s="12" t="inlineStr">
        <is>
          <t>BESS EMS / SCADA and revenue metering</t>
        </is>
      </c>
      <c r="I3826" s="12" t="inlineStr">
        <is>
          <t>Fibre / data</t>
        </is>
      </c>
      <c r="J3826" s="12" t="inlineStr">
        <is>
          <t>Fibre optic, single-mode, 12-fibre, armored, orange jacket</t>
        </is>
      </c>
      <c r="K3826" s="12" t="inlineStr">
        <is>
          <t>FO|12 SM|-</t>
        </is>
      </c>
      <c r="L3826" s="12" t="inlineStr">
        <is>
          <t>12 SM</t>
        </is>
      </c>
      <c r="M3826" s="12" t="inlineStr">
        <is>
          <t>-</t>
        </is>
      </c>
      <c r="N3826" s="12" t="n">
        <v>1</v>
      </c>
      <c r="O3826" s="12" t="n">
        <v>1</v>
      </c>
      <c r="P3826" s="12" t="n"/>
      <c r="Q3826" s="12" t="n"/>
      <c r="R3826" s="12" t="n"/>
      <c r="S3826" s="12" t="inlineStr">
        <is>
          <t>Trench</t>
        </is>
      </c>
      <c r="T3826" s="17" t="n">
        <v>2583</v>
      </c>
      <c r="U3826" s="17" t="n">
        <v>76</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H-FA-0001</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34.5 kV collector e-house (arc-resistant)</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7" t="n">
        <v>68</v>
      </c>
      <c r="U3827" s="17" t="n">
        <v>37</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H-FA-0002</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EMS / SCADA and revenue metering</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Tray</t>
        </is>
      </c>
      <c r="T3828" s="17" t="n">
        <v>0</v>
      </c>
      <c r="U3828" s="17" t="n">
        <v>32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H-FA-0003</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is>
          <t>BESS</t>
        </is>
      </c>
      <c r="H3829" s="12" t="inlineStr">
        <is>
          <t>BESS blocks: 30 containers + 15 PCS / MV skids</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7" t="n">
        <v>336</v>
      </c>
      <c r="U3829" s="17" t="n">
        <v>32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H-FA-0004</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7" t="n">
        <v>300</v>
      </c>
      <c r="U3830" s="17" t="n">
        <v>89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H-FA-0005</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7" t="n">
        <v>160</v>
      </c>
      <c r="U3831" s="17" t="n">
        <v>169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H-FA-0006</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7" t="n">
        <v>160</v>
      </c>
      <c r="U3832" s="17" t="n">
        <v>109</v>
      </c>
      <c r="V3832" s="17">
        <f>ROUNDUP((T3832+U3832+2*'Read Me'!$B$13)*(1+'Read Me'!$B$12),-1)</f>
        <v/>
      </c>
      <c r="W3832" s="17">
        <f>V3832*N3832*O3832</f>
        <v/>
      </c>
      <c r="X3832" s="12">
        <f>IF(LEFT(I3832,2)="MV",2*N3832*IF(L3832="1/C",O3832,1),0)</f>
        <v/>
      </c>
      <c r="Y3832" s="12">
        <f>IF(OR(LEFT(K3832,4)="LVAX",LEFT(K3832,6)="MV15AX",LEFT(K3832,4)="CTAX",LEFT(K3832,2)="W|"),2*N3832*O3832,0)</f>
        <v/>
      </c>
      <c r="Z3832" s="12" t="inlineStr"/>
      <c r="AA3832" s="12">
        <f>N3832*O3832</f>
        <v/>
      </c>
    </row>
    <row r="3833">
      <c r="A3833" s="12" t="inlineStr">
        <is>
          <t>H-FA-0007</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7" t="n">
        <v>70</v>
      </c>
      <c r="U3833" s="17" t="n">
        <v>139</v>
      </c>
      <c r="V3833" s="17">
        <f>ROUNDUP((T3833+U3833+2*'Read Me'!$B$13)*(1+'Read Me'!$B$12),-1)</f>
        <v/>
      </c>
      <c r="W3833" s="17">
        <f>V3833*N3833*O3833</f>
        <v/>
      </c>
      <c r="X3833" s="12">
        <f>IF(LEFT(I3833,2)="MV",2*N3833*IF(L3833="1/C",O3833,1),0)</f>
        <v/>
      </c>
      <c r="Y3833" s="12">
        <f>IF(OR(LEFT(K3833,4)="LVAX",LEFT(K3833,6)="MV15AX",LEFT(K3833,4)="CTAX",LEFT(K3833,2)="W|"),2*N3833*O3833,0)</f>
        <v/>
      </c>
      <c r="Z3833" s="12" t="inlineStr"/>
      <c r="AA3833" s="12">
        <f>N3833*O3833</f>
        <v/>
      </c>
    </row>
    <row r="3834">
      <c r="A3834" s="12" t="inlineStr">
        <is>
          <t>H-FA-0008</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7" t="n">
        <v>30</v>
      </c>
      <c r="U3834" s="17" t="n">
        <v>93</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H-FA-0009</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Tray</t>
        </is>
      </c>
      <c r="T3835" s="17" t="n">
        <v>0</v>
      </c>
      <c r="U3835" s="17" t="n">
        <v>83</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H-FA-0010</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7" t="n">
        <v>300</v>
      </c>
      <c r="U3836" s="17" t="n">
        <v>147</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H-FA-0011</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7" t="n">
        <v>160</v>
      </c>
      <c r="U3837" s="17" t="n">
        <v>227</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H-FA-0012</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7" t="n">
        <v>160</v>
      </c>
      <c r="U3838" s="17" t="n">
        <v>167</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H-FA-0013</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7" t="n">
        <v>30</v>
      </c>
      <c r="U3839" s="17" t="n">
        <v>211</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H-FA-0014</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7" t="n">
        <v>30</v>
      </c>
      <c r="U3840" s="17" t="n">
        <v>151</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H-FA-0015</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Tray</t>
        </is>
      </c>
      <c r="T3841" s="17" t="n">
        <v>0</v>
      </c>
      <c r="U3841" s="17" t="n">
        <v>141</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H-FA-0016</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7" t="n">
        <v>300</v>
      </c>
      <c r="U3842" s="17" t="n">
        <v>205</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H-FA-0017</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7" t="n">
        <v>300</v>
      </c>
      <c r="U3843" s="17" t="n">
        <v>205</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H-FA-0018</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BESS container (ISO 40 ft high cube)</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160</v>
      </c>
      <c r="U3844" s="17" t="n">
        <v>225</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H-FA-0019</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container (ISO 40 ft high cube)</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Duct bank</t>
        </is>
      </c>
      <c r="T3845" s="17" t="n">
        <v>160</v>
      </c>
      <c r="U3845" s="17" t="n">
        <v>225</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H-FA-0020</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c r="H3846" s="12" t="inlineStr">
        <is>
          <t>BESS container (ISO 40 ft high cube)</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30</v>
      </c>
      <c r="U3846" s="17" t="n">
        <v>209</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H-FA-0021</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336</v>
      </c>
      <c r="U3847" s="17" t="n">
        <v>173</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H-FA-0022</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340</v>
      </c>
      <c r="U3848" s="17" t="n">
        <v>253</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H-FA-0023</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300</v>
      </c>
      <c r="U3849" s="17" t="n">
        <v>263</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H-FA-0024</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160</v>
      </c>
      <c r="U3850" s="17" t="n">
        <v>283</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H-FA-0025</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160</v>
      </c>
      <c r="U3851" s="17" t="n">
        <v>283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H-FA-0026</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Duct bank</t>
        </is>
      </c>
      <c r="T3852" s="17" t="n">
        <v>336</v>
      </c>
      <c r="U3852" s="17" t="n">
        <v>115</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H-FA-0027</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336</v>
      </c>
      <c r="U3853" s="17" t="n">
        <v>115</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H-FA-0028</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602</v>
      </c>
      <c r="U3854" s="17" t="n">
        <v>57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H-FA-0029</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482</v>
      </c>
      <c r="U3855" s="17" t="n">
        <v>117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H-FA-0030</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336</v>
      </c>
      <c r="U3856" s="17" t="n">
        <v>177</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H-FA-0031</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336</v>
      </c>
      <c r="U3857" s="17" t="n">
        <v>117</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H-FA-0032</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Duct bank</t>
        </is>
      </c>
      <c r="T3858" s="17" t="n">
        <v>336</v>
      </c>
      <c r="U3858" s="17" t="n">
        <v>57</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H-FA-0033</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336</v>
      </c>
      <c r="U3859" s="17" t="n">
        <v>57</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H-I-0001</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7" t="n">
        <v>43</v>
      </c>
      <c r="U3860" s="17" t="n">
        <v>10</v>
      </c>
      <c r="V3860" s="17">
        <f>ROUNDUP((T3860+U3860+2*'Read Me'!$B$13)*(1+'Read Me'!$B$12),-1)</f>
        <v/>
      </c>
      <c r="W3860" s="17">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H-I-0002</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7" t="n">
        <v>300</v>
      </c>
      <c r="U3861" s="17" t="n">
        <v>103</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H-I-0003</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7" t="n">
        <v>43</v>
      </c>
      <c r="U3862" s="17" t="n">
        <v>10</v>
      </c>
      <c r="V3862" s="17">
        <f>ROUNDUP((T3862+U3862+2*'Read Me'!$B$13)*(1+'Read Me'!$B$12),-1)</f>
        <v/>
      </c>
      <c r="W3862" s="17">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H-I-0004</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7" t="n">
        <v>300</v>
      </c>
      <c r="U3863" s="17" t="n">
        <v>103</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H-I-0005</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7" t="n">
        <v>43</v>
      </c>
      <c r="U3864" s="17" t="n">
        <v>10</v>
      </c>
      <c r="V3864" s="17">
        <f>ROUNDUP((T3864+U3864+2*'Read Me'!$B$13)*(1+'Read Me'!$B$12),-1)</f>
        <v/>
      </c>
      <c r="W3864" s="17">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H-I-0006</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7" t="n">
        <v>160</v>
      </c>
      <c r="U3865" s="17" t="n">
        <v>123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H-I-0007</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7" t="n">
        <v>43</v>
      </c>
      <c r="U3866" s="17" t="n">
        <v>10</v>
      </c>
      <c r="V3866" s="17">
        <f>ROUNDUP((T3866+U3866+2*'Read Me'!$B$13)*(1+'Read Me'!$B$12),-1)</f>
        <v/>
      </c>
      <c r="W3866" s="17">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H-I-0008</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7" t="n">
        <v>160</v>
      </c>
      <c r="U3867" s="17" t="n">
        <v>123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H-I-0009</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7" t="n">
        <v>43</v>
      </c>
      <c r="U3868" s="17" t="n">
        <v>10</v>
      </c>
      <c r="V3868" s="17">
        <f>ROUNDUP((T3868+U3868+2*'Read Me'!$B$13)*(1+'Read Me'!$B$12),-1)</f>
        <v/>
      </c>
      <c r="W3868" s="17">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H-I-0010</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7" t="n">
        <v>30</v>
      </c>
      <c r="U3869" s="17" t="n">
        <v>107</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H-I-0011</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7" t="n">
        <v>43</v>
      </c>
      <c r="U3870" s="17" t="n">
        <v>10</v>
      </c>
      <c r="V3870" s="17">
        <f>ROUNDUP((T3870+U3870+2*'Read Me'!$B$13)*(1+'Read Me'!$B$12),-1)</f>
        <v/>
      </c>
      <c r="W3870" s="17">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H-I-0012</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7" t="n">
        <v>30</v>
      </c>
      <c r="U3871" s="17" t="n">
        <v>107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H-I-0013</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7" t="n">
        <v>43</v>
      </c>
      <c r="U3872" s="17" t="n">
        <v>10</v>
      </c>
      <c r="V3872" s="17">
        <f>ROUNDUP((T3872+U3872+2*'Read Me'!$B$13)*(1+'Read Me'!$B$12),-1)</f>
        <v/>
      </c>
      <c r="W3872" s="17">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H-I-0014</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7" t="n">
        <v>300</v>
      </c>
      <c r="U3873" s="17" t="n">
        <v>161</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H-I-0015</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7" t="n">
        <v>43</v>
      </c>
      <c r="U3874" s="17" t="n">
        <v>10</v>
      </c>
      <c r="V3874" s="17">
        <f>ROUNDUP((T3874+U3874+2*'Read Me'!$B$13)*(1+'Read Me'!$B$12),-1)</f>
        <v/>
      </c>
      <c r="W3874" s="17">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H-I-0016</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7" t="n">
        <v>300</v>
      </c>
      <c r="U3875" s="17" t="n">
        <v>161</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H-I-0017</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7" t="n">
        <v>43</v>
      </c>
      <c r="U3876" s="17" t="n">
        <v>10</v>
      </c>
      <c r="V3876" s="17">
        <f>ROUNDUP((T3876+U3876+2*'Read Me'!$B$13)*(1+'Read Me'!$B$12),-1)</f>
        <v/>
      </c>
      <c r="W3876" s="17">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H-I-0018</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7" t="n">
        <v>160</v>
      </c>
      <c r="U3877" s="17" t="n">
        <v>181</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H-I-0019</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7" t="n">
        <v>43</v>
      </c>
      <c r="U3878" s="17" t="n">
        <v>10</v>
      </c>
      <c r="V3878" s="17">
        <f>ROUNDUP((T3878+U3878+2*'Read Me'!$B$13)*(1+'Read Me'!$B$12),-1)</f>
        <v/>
      </c>
      <c r="W3878" s="17">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H-I-0020</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7" t="n">
        <v>160</v>
      </c>
      <c r="U3879" s="17" t="n">
        <v>181</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H-I-0021</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7" t="n">
        <v>43</v>
      </c>
      <c r="U3880" s="17" t="n">
        <v>10</v>
      </c>
      <c r="V3880" s="17">
        <f>ROUNDUP((T3880+U3880+2*'Read Me'!$B$13)*(1+'Read Me'!$B$12),-1)</f>
        <v/>
      </c>
      <c r="W3880" s="17">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H-I-0022</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7" t="n">
        <v>30</v>
      </c>
      <c r="U3881" s="17" t="n">
        <v>165</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H-I-0023</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7" t="n">
        <v>43</v>
      </c>
      <c r="U3882" s="17" t="n">
        <v>10</v>
      </c>
      <c r="V3882" s="17">
        <f>ROUNDUP((T3882+U3882+2*'Read Me'!$B$13)*(1+'Read Me'!$B$12),-1)</f>
        <v/>
      </c>
      <c r="W3882" s="17">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H-I-0024</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7" t="n">
        <v>30</v>
      </c>
      <c r="U3883" s="17" t="n">
        <v>165</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H-I-0025</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7" t="n">
        <v>43</v>
      </c>
      <c r="U3884" s="17" t="n">
        <v>10</v>
      </c>
      <c r="V3884" s="17">
        <f>ROUNDUP((T3884+U3884+2*'Read Me'!$B$13)*(1+'Read Me'!$B$12),-1)</f>
        <v/>
      </c>
      <c r="W3884" s="17">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H-I-0026</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7" t="n">
        <v>300</v>
      </c>
      <c r="U3885" s="17" t="n">
        <v>219</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H-I-0027</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7" t="n">
        <v>43</v>
      </c>
      <c r="U3886" s="17" t="n">
        <v>10</v>
      </c>
      <c r="V3886" s="17">
        <f>ROUNDUP((T3886+U3886+2*'Read Me'!$B$13)*(1+'Read Me'!$B$12),-1)</f>
        <v/>
      </c>
      <c r="W3886" s="17">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H-I-0028</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7" t="n">
        <v>300</v>
      </c>
      <c r="U3887" s="17" t="n">
        <v>219</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H-I-0029</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7" t="n">
        <v>43</v>
      </c>
      <c r="U3888" s="17" t="n">
        <v>10</v>
      </c>
      <c r="V3888" s="17">
        <f>ROUNDUP((T3888+U3888+2*'Read Me'!$B$13)*(1+'Read Me'!$B$12),-1)</f>
        <v/>
      </c>
      <c r="W3888" s="17">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H-I-0030</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7" t="n">
        <v>160</v>
      </c>
      <c r="U3889" s="17" t="n">
        <v>239</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H-I-0031</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7" t="n">
        <v>43</v>
      </c>
      <c r="U3890" s="17" t="n">
        <v>10</v>
      </c>
      <c r="V3890" s="17">
        <f>ROUNDUP((T3890+U3890+2*'Read Me'!$B$13)*(1+'Read Me'!$B$12),-1)</f>
        <v/>
      </c>
      <c r="W3890" s="17">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H-I-0032</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7" t="n">
        <v>160</v>
      </c>
      <c r="U3891" s="17" t="n">
        <v>239</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H-I-0033</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7" t="n">
        <v>43</v>
      </c>
      <c r="U3892" s="17" t="n">
        <v>10</v>
      </c>
      <c r="V3892" s="17">
        <f>ROUNDUP((T3892+U3892+2*'Read Me'!$B$13)*(1+'Read Me'!$B$12),-1)</f>
        <v/>
      </c>
      <c r="W3892" s="17">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H-I-0034</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7" t="n">
        <v>336</v>
      </c>
      <c r="U3893" s="17" t="n">
        <v>149</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H-I-0035</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7" t="n">
        <v>43</v>
      </c>
      <c r="U3894" s="17" t="n">
        <v>10</v>
      </c>
      <c r="V3894" s="17">
        <f>ROUNDUP((T3894+U3894+2*'Read Me'!$B$13)*(1+'Read Me'!$B$12),-1)</f>
        <v/>
      </c>
      <c r="W3894" s="17">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H-I-0036</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7" t="n">
        <v>336</v>
      </c>
      <c r="U3895" s="17" t="n">
        <v>149</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H-I-0037</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7" t="n">
        <v>43</v>
      </c>
      <c r="U3896" s="17" t="n">
        <v>10</v>
      </c>
      <c r="V3896" s="17">
        <f>ROUNDUP((T3896+U3896+2*'Read Me'!$B$13)*(1+'Read Me'!$B$12),-1)</f>
        <v/>
      </c>
      <c r="W3896" s="17">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H-I-0038</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7" t="n">
        <v>602</v>
      </c>
      <c r="U3897" s="17" t="n">
        <v>91</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H-I-0039</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7" t="n">
        <v>43</v>
      </c>
      <c r="U3898" s="17" t="n">
        <v>10</v>
      </c>
      <c r="V3898" s="17">
        <f>ROUNDUP((T3898+U3898+2*'Read Me'!$B$13)*(1+'Read Me'!$B$12),-1)</f>
        <v/>
      </c>
      <c r="W3898" s="17">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H-I-0040</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7" t="n">
        <v>602</v>
      </c>
      <c r="U3899" s="17" t="n">
        <v>91</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H-I-0041</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7" t="n">
        <v>43</v>
      </c>
      <c r="U3900" s="17" t="n">
        <v>10</v>
      </c>
      <c r="V3900" s="17">
        <f>ROUNDUP((T3900+U3900+2*'Read Me'!$B$13)*(1+'Read Me'!$B$12),-1)</f>
        <v/>
      </c>
      <c r="W3900" s="17">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H-I-0042</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7" t="n">
        <v>336</v>
      </c>
      <c r="U3901" s="17" t="n">
        <v>211</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H-I-0043</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7" t="n">
        <v>43</v>
      </c>
      <c r="U3902" s="17" t="n">
        <v>10</v>
      </c>
      <c r="V3902" s="17">
        <f>ROUNDUP((T3902+U3902+2*'Read Me'!$B$13)*(1+'Read Me'!$B$12),-1)</f>
        <v/>
      </c>
      <c r="W3902" s="17">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H-I-0044</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7" t="n">
        <v>336</v>
      </c>
      <c r="U3903" s="17" t="n">
        <v>211</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H-I-0045</t>
        </is>
      </c>
      <c r="B3904" s="12" t="inlineStr">
        <is>
          <t>H</t>
        </is>
      </c>
      <c r="C3904" s="12" t="inlineStr">
        <is>
          <t>BESS</t>
        </is>
      </c>
      <c r="D3904" s="12" t="inlineStr">
        <is>
          <t>Analog instrument to JB JB-BESS PCS / MV skid-AI01: 6 x 1 pr (field cables)</t>
        </is>
      </c>
      <c r="E3904" s="12" t="inlineStr"/>
      <c r="F3904" s="12" t="inlineStr">
        <is>
          <t>BESS PCS / MV skid</t>
        </is>
      </c>
      <c r="G3904" s="12" t="inlineStr">
        <is>
          <t>JB-BESS PCS / MV skid-AI01</t>
        </is>
      </c>
      <c r="H3904" s="12" t="inlineStr">
        <is>
          <t>BESS PCS / MV skid</t>
        </is>
      </c>
      <c r="I3904" s="12" t="inlineStr">
        <is>
          <t>Instrumentation</t>
        </is>
      </c>
      <c r="J3904" s="12" t="inlineStr">
        <is>
          <t>Instrumentation PLTC / TC-ER 300 V, #18 twisted shielded pairs, overall shield</t>
        </is>
      </c>
      <c r="K3904" s="12" t="inlineStr">
        <is>
          <t>PLTC|1 pr|16</t>
        </is>
      </c>
      <c r="L3904" s="12" t="inlineStr">
        <is>
          <t>1 pr</t>
        </is>
      </c>
      <c r="M3904" s="12" t="inlineStr">
        <is>
          <t>16</t>
        </is>
      </c>
      <c r="N3904" s="12" t="n">
        <v>6</v>
      </c>
      <c r="O3904" s="12" t="n">
        <v>1</v>
      </c>
      <c r="P3904" s="12" t="n"/>
      <c r="Q3904" s="12" t="n"/>
      <c r="R3904" s="12" t="n"/>
      <c r="S3904" s="12" t="inlineStr">
        <is>
          <t>Tray / conduit</t>
        </is>
      </c>
      <c r="T3904" s="17" t="n">
        <v>43</v>
      </c>
      <c r="U3904" s="17" t="n">
        <v>10</v>
      </c>
      <c r="V3904" s="17">
        <f>ROUNDUP((T3904+U3904+2*'Read Me'!$B$13)*(1+'Read Me'!$B$12),-1)</f>
        <v/>
      </c>
      <c r="W3904" s="17">
        <f>V3904*N3904*O3904</f>
        <v/>
      </c>
      <c r="X3904" s="12">
        <f>IF(LEFT(I3904,2)="MV",2*N3904*IF(L3904="1/C",O3904,1),0)</f>
        <v/>
      </c>
      <c r="Y3904" s="12">
        <f>IF(OR(LEFT(K3904,4)="LVAX",LEFT(K3904,6)="MV15AX",LEFT(K3904,4)="CTAX",LEFT(K3904,2)="W|"),2*N3904*O3904,0)</f>
        <v/>
      </c>
      <c r="Z3904" s="12" t="inlineStr">
        <is>
          <t>device-to-JB field wiring, one cable per device</t>
        </is>
      </c>
      <c r="AA3904" s="12">
        <f>N3904*O3904</f>
        <v/>
      </c>
    </row>
    <row r="3905">
      <c r="A3905" s="12" t="inlineStr">
        <is>
          <t>H-I-0046</t>
        </is>
      </c>
      <c r="B3905" s="12" t="inlineStr">
        <is>
          <t>H</t>
        </is>
      </c>
      <c r="C3905" s="12" t="inlineStr">
        <is>
          <t>BESS</t>
        </is>
      </c>
      <c r="D3905" s="12" t="inlineStr">
        <is>
          <t>Home run JB-BESS PCS / MV skid-AI01 to the control / marshalling room</t>
        </is>
      </c>
      <c r="E3905" s="12" t="inlineStr"/>
      <c r="F3905" s="12" t="inlineStr">
        <is>
          <t>BESS EMS / SCADA and revenue metering</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PLTC|24 pr|18</t>
        </is>
      </c>
      <c r="L3905" s="12" t="inlineStr">
        <is>
          <t>24 pr</t>
        </is>
      </c>
      <c r="M3905" s="12" t="inlineStr">
        <is>
          <t>18</t>
        </is>
      </c>
      <c r="N3905" s="12" t="n">
        <v>1</v>
      </c>
      <c r="O3905" s="12" t="n">
        <v>1</v>
      </c>
      <c r="P3905" s="12" t="n"/>
      <c r="Q3905" s="12" t="n"/>
      <c r="R3905" s="12" t="n"/>
      <c r="S3905" s="12" t="inlineStr">
        <is>
          <t>Duct bank</t>
        </is>
      </c>
      <c r="T3905" s="17" t="n">
        <v>336</v>
      </c>
      <c r="U3905" s="17" t="n">
        <v>91</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H-I-0047</t>
        </is>
      </c>
      <c r="B3906" s="12" t="inlineStr">
        <is>
          <t>H</t>
        </is>
      </c>
      <c r="C3906" s="12" t="inlineStr">
        <is>
          <t>BESS</t>
        </is>
      </c>
      <c r="D3906" s="12" t="inlineStr">
        <is>
          <t>Discrete device to JB JB-BESS PCS / MV skid-DI01: 10 x 1 pr (field cables)</t>
        </is>
      </c>
      <c r="E3906" s="12" t="inlineStr"/>
      <c r="F3906" s="12" t="inlineStr">
        <is>
          <t>BESS PCS / MV skid</t>
        </is>
      </c>
      <c r="G3906" s="12" t="inlineStr">
        <is>
          <t>JB-BESS PCS / MV skid-DI01</t>
        </is>
      </c>
      <c r="H3906" s="12" t="inlineStr">
        <is>
          <t>BESS PCS / MV skid</t>
        </is>
      </c>
      <c r="I3906" s="12" t="inlineStr">
        <is>
          <t>Instrumentation</t>
        </is>
      </c>
      <c r="J3906" s="12" t="inlineStr">
        <is>
          <t>Instrumentation PLTC / TC-ER 300 V, #18 twisted shielded pairs, overall shield</t>
        </is>
      </c>
      <c r="K3906" s="12" t="inlineStr">
        <is>
          <t>PLTC|1 pr|16</t>
        </is>
      </c>
      <c r="L3906" s="12" t="inlineStr">
        <is>
          <t>1 pr</t>
        </is>
      </c>
      <c r="M3906" s="12" t="inlineStr">
        <is>
          <t>16</t>
        </is>
      </c>
      <c r="N3906" s="12" t="n">
        <v>10</v>
      </c>
      <c r="O3906" s="12" t="n">
        <v>1</v>
      </c>
      <c r="P3906" s="12" t="n"/>
      <c r="Q3906" s="12" t="n"/>
      <c r="R3906" s="12" t="n"/>
      <c r="S3906" s="12" t="inlineStr">
        <is>
          <t>Tray / conduit</t>
        </is>
      </c>
      <c r="T3906" s="17" t="n">
        <v>43</v>
      </c>
      <c r="U3906" s="17" t="n">
        <v>10</v>
      </c>
      <c r="V3906" s="17">
        <f>ROUNDUP((T3906+U3906+2*'Read Me'!$B$13)*(1+'Read Me'!$B$12),-1)</f>
        <v/>
      </c>
      <c r="W3906" s="17">
        <f>V3906*N3906*O3906</f>
        <v/>
      </c>
      <c r="X3906" s="12">
        <f>IF(LEFT(I3906,2)="MV",2*N3906*IF(L3906="1/C",O3906,1),0)</f>
        <v/>
      </c>
      <c r="Y3906" s="12">
        <f>IF(OR(LEFT(K3906,4)="LVAX",LEFT(K3906,6)="MV15AX",LEFT(K3906,4)="CTAX",LEFT(K3906,2)="W|"),2*N3906*O3906,0)</f>
        <v/>
      </c>
      <c r="Z3906" s="12" t="inlineStr">
        <is>
          <t>device-to-JB field wiring, one cable per device</t>
        </is>
      </c>
      <c r="AA3906" s="12">
        <f>N3906*O3906</f>
        <v/>
      </c>
    </row>
    <row r="3907">
      <c r="A3907" s="12" t="inlineStr">
        <is>
          <t>H-I-0048</t>
        </is>
      </c>
      <c r="B3907" s="12" t="inlineStr">
        <is>
          <t>H</t>
        </is>
      </c>
      <c r="C3907" s="12" t="inlineStr">
        <is>
          <t>BESS</t>
        </is>
      </c>
      <c r="D3907" s="12" t="inlineStr">
        <is>
          <t>Home run JB-BESS PCS / MV skid-DI01 to the control / marshalling room</t>
        </is>
      </c>
      <c r="E3907" s="12" t="inlineStr"/>
      <c r="F3907" s="12" t="inlineStr">
        <is>
          <t>BESS EMS / SCADA and revenue metering</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PLTC|24 pr|18</t>
        </is>
      </c>
      <c r="L3907" s="12" t="inlineStr">
        <is>
          <t>24 pr</t>
        </is>
      </c>
      <c r="M3907" s="12" t="inlineStr">
        <is>
          <t>18</t>
        </is>
      </c>
      <c r="N3907" s="12" t="n">
        <v>1</v>
      </c>
      <c r="O3907" s="12" t="n">
        <v>1</v>
      </c>
      <c r="P3907" s="12" t="n"/>
      <c r="Q3907" s="12" t="n"/>
      <c r="R3907" s="12" t="n"/>
      <c r="S3907" s="12" t="inlineStr">
        <is>
          <t>Duct bank</t>
        </is>
      </c>
      <c r="T3907" s="17" t="n">
        <v>336</v>
      </c>
      <c r="U3907" s="17" t="n">
        <v>91</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H-I-0049</t>
        </is>
      </c>
      <c r="B3908" s="12" t="inlineStr">
        <is>
          <t>H</t>
        </is>
      </c>
      <c r="C3908" s="12" t="inlineStr">
        <is>
          <t>BESS</t>
        </is>
      </c>
      <c r="D3908" s="12" t="inlineStr">
        <is>
          <t>Analog instrument to JB JB-BESS PCS / MV skid-AI01: 6 x 1 pr (field cables)</t>
        </is>
      </c>
      <c r="E3908" s="12" t="inlineStr"/>
      <c r="F3908" s="12" t="inlineStr">
        <is>
          <t>BESS PCS / MV skid</t>
        </is>
      </c>
      <c r="G3908" s="12" t="inlineStr">
        <is>
          <t>JB-BESS PCS / MV skid-AI01</t>
        </is>
      </c>
      <c r="H3908" s="12" t="inlineStr">
        <is>
          <t>BESS PCS / MV skid</t>
        </is>
      </c>
      <c r="I3908" s="12" t="inlineStr">
        <is>
          <t>Instrumentation</t>
        </is>
      </c>
      <c r="J3908" s="12" t="inlineStr">
        <is>
          <t>Instrumentation PLTC / TC-ER 300 V, #18 twisted shielded pairs, overall shield</t>
        </is>
      </c>
      <c r="K3908" s="12" t="inlineStr">
        <is>
          <t>PLTC|1 pr|16</t>
        </is>
      </c>
      <c r="L3908" s="12" t="inlineStr">
        <is>
          <t>1 pr</t>
        </is>
      </c>
      <c r="M3908" s="12" t="inlineStr">
        <is>
          <t>16</t>
        </is>
      </c>
      <c r="N3908" s="12" t="n">
        <v>6</v>
      </c>
      <c r="O3908" s="12" t="n">
        <v>1</v>
      </c>
      <c r="P3908" s="12" t="n"/>
      <c r="Q3908" s="12" t="n"/>
      <c r="R3908" s="12" t="n"/>
      <c r="S3908" s="12" t="inlineStr">
        <is>
          <t>Tray / conduit</t>
        </is>
      </c>
      <c r="T3908" s="17" t="n">
        <v>43</v>
      </c>
      <c r="U3908" s="17" t="n">
        <v>10</v>
      </c>
      <c r="V3908" s="17">
        <f>ROUNDUP((T3908+U3908+2*'Read Me'!$B$13)*(1+'Read Me'!$B$12),-1)</f>
        <v/>
      </c>
      <c r="W3908" s="17">
        <f>V3908*N3908*O3908</f>
        <v/>
      </c>
      <c r="X3908" s="12">
        <f>IF(LEFT(I3908,2)="MV",2*N3908*IF(L3908="1/C",O3908,1),0)</f>
        <v/>
      </c>
      <c r="Y3908" s="12">
        <f>IF(OR(LEFT(K3908,4)="LVAX",LEFT(K3908,6)="MV15AX",LEFT(K3908,4)="CTAX",LEFT(K3908,2)="W|"),2*N3908*O3908,0)</f>
        <v/>
      </c>
      <c r="Z3908" s="12" t="inlineStr">
        <is>
          <t>device-to-JB field wiring, one cable per device</t>
        </is>
      </c>
      <c r="AA3908" s="12">
        <f>N3908*O3908</f>
        <v/>
      </c>
    </row>
    <row r="3909">
      <c r="A3909" s="12" t="inlineStr">
        <is>
          <t>H-I-0050</t>
        </is>
      </c>
      <c r="B3909" s="12" t="inlineStr">
        <is>
          <t>H</t>
        </is>
      </c>
      <c r="C3909" s="12" t="inlineStr">
        <is>
          <t>BESS</t>
        </is>
      </c>
      <c r="D3909" s="12" t="inlineStr">
        <is>
          <t>Home run JB-BESS PCS / MV skid-AI01 to the control / marshalling room</t>
        </is>
      </c>
      <c r="E3909" s="12" t="inlineStr"/>
      <c r="F3909" s="12" t="inlineStr">
        <is>
          <t>BESS EMS / SCADA and revenue metering</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PLTC|24 pr|18</t>
        </is>
      </c>
      <c r="L3909" s="12" t="inlineStr">
        <is>
          <t>24 pr</t>
        </is>
      </c>
      <c r="M3909" s="12" t="inlineStr">
        <is>
          <t>18</t>
        </is>
      </c>
      <c r="N3909" s="12" t="n">
        <v>1</v>
      </c>
      <c r="O3909" s="12" t="n">
        <v>1</v>
      </c>
      <c r="P3909" s="12" t="n"/>
      <c r="Q3909" s="12" t="n"/>
      <c r="R3909" s="12" t="n"/>
      <c r="S3909" s="12" t="inlineStr">
        <is>
          <t>Duct bank</t>
        </is>
      </c>
      <c r="T3909" s="17" t="n">
        <v>602</v>
      </c>
      <c r="U3909" s="17" t="n">
        <v>37</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H-I-0051</t>
        </is>
      </c>
      <c r="B3910" s="12" t="inlineStr">
        <is>
          <t>H</t>
        </is>
      </c>
      <c r="C3910" s="12" t="inlineStr">
        <is>
          <t>BESS</t>
        </is>
      </c>
      <c r="D3910" s="12" t="inlineStr">
        <is>
          <t>Discrete device to JB JB-BESS PCS / MV skid-DI01: 10 x 1 pr (field cables)</t>
        </is>
      </c>
      <c r="E3910" s="12" t="inlineStr"/>
      <c r="F3910" s="12" t="inlineStr">
        <is>
          <t>BESS PCS / MV skid</t>
        </is>
      </c>
      <c r="G3910" s="12" t="inlineStr">
        <is>
          <t>JB-BESS PCS / MV skid-DI01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10</v>
      </c>
      <c r="O3910" s="12" t="n">
        <v>1</v>
      </c>
      <c r="P3910" s="12" t="n"/>
      <c r="Q3910" s="12" t="n"/>
      <c r="R3910" s="12" t="n"/>
      <c r="S3910" s="12" t="inlineStr">
        <is>
          <t>Tray / conduit</t>
        </is>
      </c>
      <c r="T3910" s="17" t="n">
        <v>43</v>
      </c>
      <c r="U3910" s="17" t="n">
        <v>10</v>
      </c>
      <c r="V3910" s="17">
        <f>ROUNDUP((T3910+U3910+2*'Read Me'!$B$13)*(1+'Read Me'!$B$12),-1)</f>
        <v/>
      </c>
      <c r="W3910" s="17">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H-I-0052</t>
        </is>
      </c>
      <c r="B3911" s="12" t="inlineStr">
        <is>
          <t>H</t>
        </is>
      </c>
      <c r="C3911" s="12" t="inlineStr">
        <is>
          <t>BESS</t>
        </is>
      </c>
      <c r="D3911" s="12" t="inlineStr">
        <is>
          <t>Home run JB-BESS PCS / MV skid-DI01 to the control / marshalling room</t>
        </is>
      </c>
      <c r="E3911" s="12" t="inlineStr"/>
      <c r="F3911" s="12" t="inlineStr">
        <is>
          <t>BESS EMS / SCADA and revenue metering</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7" t="n">
        <v>602</v>
      </c>
      <c r="U3911" s="17" t="n">
        <v>37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H-I-0053</t>
        </is>
      </c>
      <c r="B3912" s="12" t="inlineStr">
        <is>
          <t>H</t>
        </is>
      </c>
      <c r="C3912" s="12" t="inlineStr">
        <is>
          <t>BESS</t>
        </is>
      </c>
      <c r="D3912" s="12" t="inlineStr">
        <is>
          <t>Analog instrument to JB JB-BESS PCS / MV skid-AI01: 6 x 1 pr (field cables)</t>
        </is>
      </c>
      <c r="E3912" s="12" t="inlineStr"/>
      <c r="F3912" s="12" t="inlineStr">
        <is>
          <t>BESS PCS / MV skid</t>
        </is>
      </c>
      <c r="G3912" s="12" t="inlineStr">
        <is>
          <t>JB-BESS PCS / MV skid-AI01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6</v>
      </c>
      <c r="O3912" s="12" t="n">
        <v>1</v>
      </c>
      <c r="P3912" s="12" t="n"/>
      <c r="Q3912" s="12" t="n"/>
      <c r="R3912" s="12" t="n"/>
      <c r="S3912" s="12" t="inlineStr">
        <is>
          <t>Tray / conduit</t>
        </is>
      </c>
      <c r="T3912" s="17" t="n">
        <v>43</v>
      </c>
      <c r="U3912" s="17" t="n">
        <v>10</v>
      </c>
      <c r="V3912" s="17">
        <f>ROUNDUP((T3912+U3912+2*'Read Me'!$B$13)*(1+'Read Me'!$B$12),-1)</f>
        <v/>
      </c>
      <c r="W3912" s="17">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H-I-0054</t>
        </is>
      </c>
      <c r="B3913" s="12" t="inlineStr">
        <is>
          <t>H</t>
        </is>
      </c>
      <c r="C3913" s="12" t="inlineStr">
        <is>
          <t>BESS</t>
        </is>
      </c>
      <c r="D3913" s="12" t="inlineStr">
        <is>
          <t>Home run JB-BESS PCS / MV skid-AI01 to the control / marshalling room</t>
        </is>
      </c>
      <c r="E3913" s="12" t="inlineStr"/>
      <c r="F3913" s="12" t="inlineStr">
        <is>
          <t>BESS EMS / SCADA and revenue metering</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7" t="n">
        <v>336</v>
      </c>
      <c r="U3913" s="17" t="n">
        <v>157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H-I-0055</t>
        </is>
      </c>
      <c r="B3914" s="12" t="inlineStr">
        <is>
          <t>H</t>
        </is>
      </c>
      <c r="C3914" s="12" t="inlineStr">
        <is>
          <t>BESS</t>
        </is>
      </c>
      <c r="D3914" s="12" t="inlineStr">
        <is>
          <t>Discrete device to JB JB-BESS PCS / MV skid-DI01: 10 x 1 pr (field cables)</t>
        </is>
      </c>
      <c r="E3914" s="12" t="inlineStr"/>
      <c r="F3914" s="12" t="inlineStr">
        <is>
          <t>BESS PCS / MV skid</t>
        </is>
      </c>
      <c r="G3914" s="12" t="inlineStr">
        <is>
          <t>JB-BESS PCS / MV skid-DI01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10</v>
      </c>
      <c r="O3914" s="12" t="n">
        <v>1</v>
      </c>
      <c r="P3914" s="12" t="n"/>
      <c r="Q3914" s="12" t="n"/>
      <c r="R3914" s="12" t="n"/>
      <c r="S3914" s="12" t="inlineStr">
        <is>
          <t>Tray / conduit</t>
        </is>
      </c>
      <c r="T3914" s="17" t="n">
        <v>43</v>
      </c>
      <c r="U3914" s="17" t="n">
        <v>10</v>
      </c>
      <c r="V3914" s="17">
        <f>ROUNDUP((T3914+U3914+2*'Read Me'!$B$13)*(1+'Read Me'!$B$12),-1)</f>
        <v/>
      </c>
      <c r="W3914" s="17">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H-I-0056</t>
        </is>
      </c>
      <c r="B3915" s="12" t="inlineStr">
        <is>
          <t>H</t>
        </is>
      </c>
      <c r="C3915" s="12" t="inlineStr">
        <is>
          <t>BESS</t>
        </is>
      </c>
      <c r="D3915" s="12" t="inlineStr">
        <is>
          <t>Home run JB-BESS PCS / MV skid-DI01 to the control / marshalling room</t>
        </is>
      </c>
      <c r="E3915" s="12" t="inlineStr"/>
      <c r="F3915" s="12" t="inlineStr">
        <is>
          <t>BESS EMS / SCADA and revenue metering</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7" t="n">
        <v>336</v>
      </c>
      <c r="U3915" s="17" t="n">
        <v>157</v>
      </c>
      <c r="V3915" s="17">
        <f>ROUNDUP((T3915+U3915+2*'Read Me'!$B$13)*(1+'Read Me'!$B$12),-1)</f>
        <v/>
      </c>
      <c r="W3915" s="17">
        <f>V3915*N3915*O3915</f>
        <v/>
      </c>
      <c r="X3915" s="12">
        <f>IF(LEFT(I3915,2)="MV",2*N3915*IF(L3915="1/C",O3915,1),0)</f>
        <v/>
      </c>
      <c r="Y3915" s="12">
        <f>IF(OR(LEFT(K3915,4)="LVAX",LEFT(K3915,6)="MV15AX",LEFT(K3915,4)="CTAX",LEFT(K3915,2)="W|"),2*N3915*O3915,0)</f>
        <v/>
      </c>
      <c r="Z3915" s="12" t="inlineStr"/>
      <c r="AA3915" s="12">
        <f>N3915*O3915</f>
        <v/>
      </c>
    </row>
    <row r="3916">
      <c r="A3916" s="12" t="inlineStr">
        <is>
          <t>H-I-0057</t>
        </is>
      </c>
      <c r="B3916" s="12" t="inlineStr">
        <is>
          <t>H</t>
        </is>
      </c>
      <c r="C3916" s="12" t="inlineStr">
        <is>
          <t>BESS</t>
        </is>
      </c>
      <c r="D3916" s="12" t="inlineStr">
        <is>
          <t>Analog instrument to JB JB-BESS PCS / MV skid-AI01: 6 x 1 pr (field cables)</t>
        </is>
      </c>
      <c r="E3916" s="12" t="inlineStr"/>
      <c r="F3916" s="12" t="inlineStr">
        <is>
          <t>BESS PCS / MV skid</t>
        </is>
      </c>
      <c r="G3916" s="12" t="inlineStr">
        <is>
          <t>JB-BESS PCS / MV skid-AI01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6</v>
      </c>
      <c r="O3916" s="12" t="n">
        <v>1</v>
      </c>
      <c r="P3916" s="12" t="n"/>
      <c r="Q3916" s="12" t="n"/>
      <c r="R3916" s="12" t="n"/>
      <c r="S3916" s="12" t="inlineStr">
        <is>
          <t>Tray / conduit</t>
        </is>
      </c>
      <c r="T3916" s="17" t="n">
        <v>43</v>
      </c>
      <c r="U3916" s="17" t="n">
        <v>10</v>
      </c>
      <c r="V3916" s="17">
        <f>ROUNDUP((T3916+U3916+2*'Read Me'!$B$13)*(1+'Read Me'!$B$12),-1)</f>
        <v/>
      </c>
      <c r="W3916" s="17">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H-I-0058</t>
        </is>
      </c>
      <c r="B3917" s="12" t="inlineStr">
        <is>
          <t>H</t>
        </is>
      </c>
      <c r="C3917" s="12" t="inlineStr">
        <is>
          <t>BESS</t>
        </is>
      </c>
      <c r="D3917" s="12" t="inlineStr">
        <is>
          <t>Home run JB-BESS PCS / MV skid-AI01 to the control / marshalling room</t>
        </is>
      </c>
      <c r="E3917" s="12" t="inlineStr"/>
      <c r="F3917" s="12" t="inlineStr">
        <is>
          <t>BESS EMS / SCADA and revenue metering</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7" t="n">
        <v>336</v>
      </c>
      <c r="U3917" s="17" t="n">
        <v>37</v>
      </c>
      <c r="V3917" s="17">
        <f>ROUNDUP((T3917+U3917+2*'Read Me'!$B$13)*(1+'Read Me'!$B$12),-1)</f>
        <v/>
      </c>
      <c r="W3917" s="17">
        <f>V3917*N3917*O3917</f>
        <v/>
      </c>
      <c r="X3917" s="12">
        <f>IF(LEFT(I3917,2)="MV",2*N3917*IF(L3917="1/C",O3917,1),0)</f>
        <v/>
      </c>
      <c r="Y3917" s="12">
        <f>IF(OR(LEFT(K3917,4)="LVAX",LEFT(K3917,6)="MV15AX",LEFT(K3917,4)="CTAX",LEFT(K3917,2)="W|"),2*N3917*O3917,0)</f>
        <v/>
      </c>
      <c r="Z3917" s="12" t="inlineStr"/>
      <c r="AA3917" s="12">
        <f>N3917*O3917</f>
        <v/>
      </c>
    </row>
    <row r="3918">
      <c r="A3918" s="12" t="inlineStr">
        <is>
          <t>H-I-0059</t>
        </is>
      </c>
      <c r="B3918" s="12" t="inlineStr">
        <is>
          <t>H</t>
        </is>
      </c>
      <c r="C3918" s="12" t="inlineStr">
        <is>
          <t>BESS</t>
        </is>
      </c>
      <c r="D3918" s="12" t="inlineStr">
        <is>
          <t>Discrete device to JB JB-BESS PCS / MV skid-DI01: 10 x 1 pr (field cables)</t>
        </is>
      </c>
      <c r="E3918" s="12" t="inlineStr"/>
      <c r="F3918" s="12" t="inlineStr">
        <is>
          <t>BESS PCS / MV skid</t>
        </is>
      </c>
      <c r="G3918" s="12" t="inlineStr">
        <is>
          <t>JB-BESS PCS / MV skid-DI01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10</v>
      </c>
      <c r="O3918" s="12" t="n">
        <v>1</v>
      </c>
      <c r="P3918" s="12" t="n"/>
      <c r="Q3918" s="12" t="n"/>
      <c r="R3918" s="12" t="n"/>
      <c r="S3918" s="12" t="inlineStr">
        <is>
          <t>Tray / conduit</t>
        </is>
      </c>
      <c r="T3918" s="17" t="n">
        <v>43</v>
      </c>
      <c r="U3918" s="17" t="n">
        <v>10</v>
      </c>
      <c r="V3918" s="17">
        <f>ROUNDUP((T3918+U3918+2*'Read Me'!$B$13)*(1+'Read Me'!$B$12),-1)</f>
        <v/>
      </c>
      <c r="W3918" s="17">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H-I-0060</t>
        </is>
      </c>
      <c r="B3919" s="12" t="inlineStr">
        <is>
          <t>H</t>
        </is>
      </c>
      <c r="C3919" s="12" t="inlineStr">
        <is>
          <t>BESS</t>
        </is>
      </c>
      <c r="D3919" s="12" t="inlineStr">
        <is>
          <t>Home run JB-BESS PCS / MV skid-DI01 to the control / marshalling room</t>
        </is>
      </c>
      <c r="E3919" s="12" t="inlineStr"/>
      <c r="F3919" s="12" t="inlineStr">
        <is>
          <t>BESS EMS / SCADA and revenue metering</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7" t="n">
        <v>336</v>
      </c>
      <c r="U3919" s="17" t="n">
        <v>37</v>
      </c>
      <c r="V3919" s="17">
        <f>ROUNDUP((T3919+U3919+2*'Read Me'!$B$13)*(1+'Read Me'!$B$12),-1)</f>
        <v/>
      </c>
      <c r="W3919" s="17">
        <f>V3919*N3919*O3919</f>
        <v/>
      </c>
      <c r="X3919" s="12">
        <f>IF(LEFT(I3919,2)="MV",2*N3919*IF(L3919="1/C",O3919,1),0)</f>
        <v/>
      </c>
      <c r="Y3919" s="12">
        <f>IF(OR(LEFT(K3919,4)="LVAX",LEFT(K3919,6)="MV15AX",LEFT(K3919,4)="CTAX",LEFT(K3919,2)="W|"),2*N3919*O3919,0)</f>
        <v/>
      </c>
      <c r="Z3919" s="12" t="inlineStr"/>
      <c r="AA3919" s="12">
        <f>N3919*O3919</f>
        <v/>
      </c>
    </row>
    <row r="3920">
      <c r="A3920" s="12" t="inlineStr">
        <is>
          <t>H-I-0061</t>
        </is>
      </c>
      <c r="B3920" s="12" t="inlineStr">
        <is>
          <t>H</t>
        </is>
      </c>
      <c r="C3920" s="12" t="inlineStr">
        <is>
          <t>BESS</t>
        </is>
      </c>
      <c r="D3920" s="12" t="inlineStr">
        <is>
          <t>Instrumentation</t>
        </is>
      </c>
      <c r="E3920" s="12" t="inlineStr"/>
      <c r="F3920" s="12" t="inlineStr">
        <is>
          <t>BESS EMS / SCADA and revenue metering</t>
        </is>
      </c>
      <c r="G3920" s="12" t="inlineStr"/>
      <c r="H3920" s="12" t="inlineStr">
        <is>
          <t>BESS auxiliary transformer</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7" t="n">
        <v>38</v>
      </c>
      <c r="U3920" s="17" t="n">
        <v>32</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H-I-0062</t>
        </is>
      </c>
      <c r="B3921" s="12" t="inlineStr">
        <is>
          <t>H</t>
        </is>
      </c>
      <c r="C3921" s="12" t="inlineStr">
        <is>
          <t>BESS</t>
        </is>
      </c>
      <c r="D3921" s="12" t="inlineStr">
        <is>
          <t>Instrumentation</t>
        </is>
      </c>
      <c r="E3921" s="12" t="inlineStr"/>
      <c r="F3921" s="12" t="inlineStr">
        <is>
          <t>BESS EMS / SCADA and revenue metering</t>
        </is>
      </c>
      <c r="G3921" s="12" t="inlineStr">
        <is>
          <t>BESS</t>
        </is>
      </c>
      <c r="H3921" s="12" t="inlineStr">
        <is>
          <t>BESS blocks: 30 containers + 15 PCS / MV skids</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Duct bank</t>
        </is>
      </c>
      <c r="T3921" s="17" t="n">
        <v>336</v>
      </c>
      <c r="U3921" s="17" t="n">
        <v>32</v>
      </c>
      <c r="V3921" s="17">
        <f>ROUNDUP((T3921+U3921+2*'Read Me'!$B$13)*(1+'Read Me'!$B$12),-1)</f>
        <v/>
      </c>
      <c r="W3921" s="17">
        <f>V3921*N3921*O3921</f>
        <v/>
      </c>
      <c r="X3921" s="12">
        <f>IF(LEFT(I3921,2)="MV",2*N3921*IF(L3921="1/C",O3921,1),0)</f>
        <v/>
      </c>
      <c r="Y3921" s="12">
        <f>IF(OR(LEFT(K3921,4)="LVAX",LEFT(K3921,6)="MV15AX",LEFT(K3921,4)="CTAX",LEFT(K3921,2)="W|"),2*N3921*O3921,0)</f>
        <v/>
      </c>
      <c r="Z3921" s="12" t="inlineStr"/>
      <c r="AA3921" s="12">
        <f>N3921*O3921</f>
        <v/>
      </c>
    </row>
    <row r="3922">
      <c r="A3922" s="12" t="inlineStr">
        <is>
          <t>H-I-0063</t>
        </is>
      </c>
      <c r="B3922" s="12" t="inlineStr">
        <is>
          <t>H</t>
        </is>
      </c>
      <c r="C3922" s="12" t="inlineStr">
        <is>
          <t>BESS</t>
        </is>
      </c>
      <c r="D3922" s="12" t="inlineStr">
        <is>
          <t>Instrumentation</t>
        </is>
      </c>
      <c r="E3922" s="12" t="inlineStr"/>
      <c r="F3922" s="12" t="inlineStr">
        <is>
          <t>BESS EMS / SCADA and revenue metering</t>
        </is>
      </c>
      <c r="G3922" s="12" t="inlineStr">
        <is>
          <t>BESS</t>
        </is>
      </c>
      <c r="H3922" s="12" t="inlineStr">
        <is>
          <t>BESS blocks: 30 containers + 15 PCS / MV skids</t>
        </is>
      </c>
      <c r="I3922" s="12" t="inlineStr">
        <is>
          <t>Instrumentation</t>
        </is>
      </c>
      <c r="J3922" s="12" t="inlineStr">
        <is>
          <t>Instrumentation PLTC / TC-ER 300 V, #18 twisted shielded pairs, overall shield</t>
        </is>
      </c>
      <c r="K3922" s="12" t="inlineStr">
        <is>
          <t>PLTC|12 pr|18</t>
        </is>
      </c>
      <c r="L3922" s="12" t="inlineStr">
        <is>
          <t>12 pr</t>
        </is>
      </c>
      <c r="M3922" s="12" t="inlineStr">
        <is>
          <t>18</t>
        </is>
      </c>
      <c r="N3922" s="12" t="n">
        <v>1</v>
      </c>
      <c r="O3922" s="12" t="n">
        <v>1</v>
      </c>
      <c r="P3922" s="12" t="n"/>
      <c r="Q3922" s="12" t="n"/>
      <c r="R3922" s="12" t="n"/>
      <c r="S3922" s="12" t="inlineStr">
        <is>
          <t>Duct bank</t>
        </is>
      </c>
      <c r="T3922" s="17" t="n">
        <v>336</v>
      </c>
      <c r="U3922" s="17" t="n">
        <v>32</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H-I-0064</t>
        </is>
      </c>
      <c r="B3923" s="12" t="inlineStr">
        <is>
          <t>H</t>
        </is>
      </c>
      <c r="C3923" s="12" t="inlineStr">
        <is>
          <t>BESS</t>
        </is>
      </c>
      <c r="D3923" s="12" t="inlineStr">
        <is>
          <t>Thermocouples</t>
        </is>
      </c>
      <c r="E3923" s="12" t="inlineStr"/>
      <c r="F3923" s="12" t="inlineStr">
        <is>
          <t>BESS EMS / SCADA and revenue metering</t>
        </is>
      </c>
      <c r="G3923" s="12" t="inlineStr">
        <is>
          <t>BESS</t>
        </is>
      </c>
      <c r="H3923" s="12" t="inlineStr">
        <is>
          <t>BESS blocks: 30 containers + 15 PCS / MV skids</t>
        </is>
      </c>
      <c r="I3923" s="12" t="inlineStr">
        <is>
          <t>Instrumentation</t>
        </is>
      </c>
      <c r="J3923" s="12" t="inlineStr">
        <is>
          <t>Thermocouple extension KX, #16 shielded pairs, PLTC</t>
        </is>
      </c>
      <c r="K3923" s="12" t="inlineStr">
        <is>
          <t>TCX|12 pr|16</t>
        </is>
      </c>
      <c r="L3923" s="12" t="inlineStr">
        <is>
          <t>12 pr</t>
        </is>
      </c>
      <c r="M3923" s="12" t="inlineStr">
        <is>
          <t>16</t>
        </is>
      </c>
      <c r="N3923" s="12" t="n">
        <v>1</v>
      </c>
      <c r="O3923" s="12" t="n">
        <v>1</v>
      </c>
      <c r="P3923" s="12" t="n"/>
      <c r="Q3923" s="12" t="n"/>
      <c r="R3923" s="12" t="n"/>
      <c r="S3923" s="12" t="inlineStr">
        <is>
          <t>Duct bank</t>
        </is>
      </c>
      <c r="T3923" s="17" t="n">
        <v>336</v>
      </c>
      <c r="U3923" s="17" t="n">
        <v>32</v>
      </c>
      <c r="V3923" s="17">
        <f>ROUNDUP((T3923+U3923+2*'Read Me'!$B$13)*(1+'Read Me'!$B$12),-1)</f>
        <v/>
      </c>
      <c r="W3923" s="17">
        <f>V3923*N3923*O3923</f>
        <v/>
      </c>
      <c r="X3923" s="12">
        <f>IF(LEFT(I3923,2)="MV",2*N3923*IF(L3923="1/C",O3923,1),0)</f>
        <v/>
      </c>
      <c r="Y3923" s="12">
        <f>IF(OR(LEFT(K3923,4)="LVAX",LEFT(K3923,6)="MV15AX",LEFT(K3923,4)="CTAX",LEFT(K3923,2)="W|"),2*N3923*O3923,0)</f>
        <v/>
      </c>
      <c r="Z3923" s="12" t="inlineStr"/>
      <c r="AA3923" s="12">
        <f>N3923*O3923</f>
        <v/>
      </c>
    </row>
    <row r="3924">
      <c r="A3924" s="12" t="inlineStr">
        <is>
          <t>H-I-0065</t>
        </is>
      </c>
      <c r="B3924" s="12" t="inlineStr">
        <is>
          <t>H</t>
        </is>
      </c>
      <c r="C3924" s="12" t="inlineStr">
        <is>
          <t>BESS</t>
        </is>
      </c>
      <c r="D3924" s="12" t="inlineStr">
        <is>
          <t>Thermocouples</t>
        </is>
      </c>
      <c r="E3924" s="12" t="inlineStr"/>
      <c r="F3924" s="12" t="inlineStr">
        <is>
          <t>BESS EMS / SCADA and revenue metering</t>
        </is>
      </c>
      <c r="G3924" s="12" t="inlineStr">
        <is>
          <t>BESS</t>
        </is>
      </c>
      <c r="H3924" s="12" t="inlineStr">
        <is>
          <t>BESS blocks: 30 containers + 15 PCS / MV skids</t>
        </is>
      </c>
      <c r="I3924" s="12" t="inlineStr">
        <is>
          <t>Instrumentation</t>
        </is>
      </c>
      <c r="J3924" s="12" t="inlineStr">
        <is>
          <t>Thermocouple extension KX, #16 shielded pairs, PLTC</t>
        </is>
      </c>
      <c r="K3924" s="12" t="inlineStr">
        <is>
          <t>TCX|12 pr|16</t>
        </is>
      </c>
      <c r="L3924" s="12" t="inlineStr">
        <is>
          <t>12 pr</t>
        </is>
      </c>
      <c r="M3924" s="12" t="inlineStr">
        <is>
          <t>16</t>
        </is>
      </c>
      <c r="N3924" s="12" t="n">
        <v>1</v>
      </c>
      <c r="O3924" s="12" t="n">
        <v>1</v>
      </c>
      <c r="P3924" s="12" t="n"/>
      <c r="Q3924" s="12" t="n"/>
      <c r="R3924" s="12" t="n"/>
      <c r="S3924" s="12" t="inlineStr">
        <is>
          <t>Duct bank</t>
        </is>
      </c>
      <c r="T3924" s="17" t="n">
        <v>336</v>
      </c>
      <c r="U3924" s="17" t="n">
        <v>32</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H-I-0066</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Duct bank</t>
        </is>
      </c>
      <c r="T3925" s="17" t="n">
        <v>10</v>
      </c>
      <c r="U3925" s="17" t="n">
        <v>150</v>
      </c>
      <c r="V3925" s="17">
        <f>ROUNDUP((T3925+U3925+2*'Read Me'!$B$13)*(1+'Read Me'!$B$12),-1)</f>
        <v/>
      </c>
      <c r="W3925" s="17">
        <f>V3925*N3925*O3925</f>
        <v/>
      </c>
      <c r="X3925" s="12">
        <f>IF(LEFT(I3925,2)="MV",2*N3925*IF(L3925="1/C",O3925,1),0)</f>
        <v/>
      </c>
      <c r="Y3925" s="12">
        <f>IF(OR(LEFT(K3925,4)="LVAX",LEFT(K3925,6)="MV15AX",LEFT(K3925,4)="CTAX",LEFT(K3925,2)="W|"),2*N3925*O3925,0)</f>
        <v/>
      </c>
      <c r="Z3925" s="12" t="inlineStr"/>
      <c r="AA3925" s="12">
        <f>N3925*O3925</f>
        <v/>
      </c>
    </row>
    <row r="3926">
      <c r="A3926" s="12" t="inlineStr">
        <is>
          <t>H-I-0067</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7" t="n">
        <v>0</v>
      </c>
      <c r="U3926" s="17" t="n">
        <v>160</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H-I-0068</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7" t="n">
        <v>0</v>
      </c>
      <c r="U3927" s="17" t="n">
        <v>200</v>
      </c>
      <c r="V3927" s="17">
        <f>ROUNDUP((T3927+U3927+2*'Read Me'!$B$13)*(1+'Read Me'!$B$12),-1)</f>
        <v/>
      </c>
      <c r="W3927" s="17">
        <f>V3927*N3927*O3927</f>
        <v/>
      </c>
      <c r="X3927" s="12">
        <f>IF(LEFT(I3927,2)="MV",2*N3927*IF(L3927="1/C",O3927,1),0)</f>
        <v/>
      </c>
      <c r="Y3927" s="12">
        <f>IF(OR(LEFT(K3927,4)="LVAX",LEFT(K3927,6)="MV15AX",LEFT(K3927,4)="CTAX",LEFT(K3927,2)="W|"),2*N3927*O3927,0)</f>
        <v/>
      </c>
      <c r="Z3927" s="12" t="inlineStr"/>
      <c r="AA3927" s="12">
        <f>N3927*O3927</f>
        <v/>
      </c>
    </row>
    <row r="3928">
      <c r="A3928" s="12" t="inlineStr">
        <is>
          <t>H-I-0069</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7" t="n">
        <v>0</v>
      </c>
      <c r="U3928" s="17" t="n">
        <v>200</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H-I-0070</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7" t="n">
        <v>0</v>
      </c>
      <c r="U3929" s="17" t="n">
        <v>168</v>
      </c>
      <c r="V3929" s="17">
        <f>ROUNDUP((T3929+U3929+2*'Read Me'!$B$13)*(1+'Read Me'!$B$12),-1)</f>
        <v/>
      </c>
      <c r="W3929" s="17">
        <f>V3929*N3929*O3929</f>
        <v/>
      </c>
      <c r="X3929" s="12">
        <f>IF(LEFT(I3929,2)="MV",2*N3929*IF(L3929="1/C",O3929,1),0)</f>
        <v/>
      </c>
      <c r="Y3929" s="12">
        <f>IF(OR(LEFT(K3929,4)="LVAX",LEFT(K3929,6)="MV15AX",LEFT(K3929,4)="CTAX",LEFT(K3929,2)="W|"),2*N3929*O3929,0)</f>
        <v/>
      </c>
      <c r="Z3929" s="12" t="inlineStr"/>
      <c r="AA3929" s="12">
        <f>N3929*O3929</f>
        <v/>
      </c>
    </row>
    <row r="3930">
      <c r="A3930" s="12" t="inlineStr">
        <is>
          <t>H-I-0071</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7" t="n">
        <v>0</v>
      </c>
      <c r="U3930" s="17" t="n">
        <v>168</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H-I-0072</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Duct bank</t>
        </is>
      </c>
      <c r="T3931" s="17" t="n">
        <v>10</v>
      </c>
      <c r="U3931" s="17" t="n">
        <v>266</v>
      </c>
      <c r="V3931" s="17">
        <f>ROUNDUP((T3931+U3931+2*'Read Me'!$B$13)*(1+'Read Me'!$B$12),-1)</f>
        <v/>
      </c>
      <c r="W3931" s="17">
        <f>V3931*N3931*O3931</f>
        <v/>
      </c>
      <c r="X3931" s="12">
        <f>IF(LEFT(I3931,2)="MV",2*N3931*IF(L3931="1/C",O3931,1),0)</f>
        <v/>
      </c>
      <c r="Y3931" s="12">
        <f>IF(OR(LEFT(K3931,4)="LVAX",LEFT(K3931,6)="MV15AX",LEFT(K3931,4)="CTAX",LEFT(K3931,2)="W|"),2*N3931*O3931,0)</f>
        <v/>
      </c>
      <c r="Z3931" s="12" t="inlineStr"/>
      <c r="AA3931" s="12">
        <f>N3931*O3931</f>
        <v/>
      </c>
    </row>
    <row r="3932">
      <c r="A3932" s="12" t="inlineStr">
        <is>
          <t>H-I-0073</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H-I-0074</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7" t="n">
        <v>0</v>
      </c>
      <c r="U3933" s="17" t="n">
        <v>316</v>
      </c>
      <c r="V3933" s="17">
        <f>ROUNDUP((T3933+U3933+2*'Read Me'!$B$13)*(1+'Read Me'!$B$12),-1)</f>
        <v/>
      </c>
      <c r="W3933" s="17">
        <f>V3933*N3933*O3933</f>
        <v/>
      </c>
      <c r="X3933" s="12">
        <f>IF(LEFT(I3933,2)="MV",2*N3933*IF(L3933="1/C",O3933,1),0)</f>
        <v/>
      </c>
      <c r="Y3933" s="12">
        <f>IF(OR(LEFT(K3933,4)="LVAX",LEFT(K3933,6)="MV15AX",LEFT(K3933,4)="CTAX",LEFT(K3933,2)="W|"),2*N3933*O3933,0)</f>
        <v/>
      </c>
      <c r="Z3933" s="12" t="inlineStr"/>
      <c r="AA3933" s="12">
        <f>N3933*O3933</f>
        <v/>
      </c>
    </row>
    <row r="3934">
      <c r="A3934" s="12" t="inlineStr">
        <is>
          <t>H-I-0075</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7" t="n">
        <v>0</v>
      </c>
      <c r="U3934" s="17" t="n">
        <v>316</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H-I-0076</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7" t="n">
        <v>0</v>
      </c>
      <c r="U3935" s="17" t="n">
        <v>284</v>
      </c>
      <c r="V3935" s="17">
        <f>ROUNDUP((T3935+U3935+2*'Read Me'!$B$13)*(1+'Read Me'!$B$12),-1)</f>
        <v/>
      </c>
      <c r="W3935" s="17">
        <f>V3935*N3935*O3935</f>
        <v/>
      </c>
      <c r="X3935" s="12">
        <f>IF(LEFT(I3935,2)="MV",2*N3935*IF(L3935="1/C",O3935,1),0)</f>
        <v/>
      </c>
      <c r="Y3935" s="12">
        <f>IF(OR(LEFT(K3935,4)="LVAX",LEFT(K3935,6)="MV15AX",LEFT(K3935,4)="CTAX",LEFT(K3935,2)="W|"),2*N3935*O3935,0)</f>
        <v/>
      </c>
      <c r="Z3935" s="12" t="inlineStr"/>
      <c r="AA3935" s="12">
        <f>N3935*O3935</f>
        <v/>
      </c>
    </row>
    <row r="3936">
      <c r="A3936" s="12" t="inlineStr">
        <is>
          <t>H-I-0077</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7" t="n">
        <v>0</v>
      </c>
      <c r="U3936" s="17" t="n">
        <v>284</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H-I-0078</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0</v>
      </c>
      <c r="U3937" s="17" t="n">
        <v>290</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H-I-0079</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7" t="n">
        <v>0</v>
      </c>
      <c r="U3938" s="17" t="n">
        <v>290</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H-I-0080</t>
        </is>
      </c>
      <c r="B3939" s="12" t="inlineStr">
        <is>
          <t>H</t>
        </is>
      </c>
      <c r="C3939" s="12" t="inlineStr">
        <is>
          <t>BESS</t>
        </is>
      </c>
      <c r="D3939" s="12" t="inlineStr">
        <is>
          <t>Instrumentation</t>
        </is>
      </c>
      <c r="E3939" s="12" t="inlineStr"/>
      <c r="F3939" s="12" t="inlineStr">
        <is>
          <t>BESS PCS / MV skid</t>
        </is>
      </c>
      <c r="G3939" s="12" t="inlineStr"/>
      <c r="H3939" s="12" t="inlineStr">
        <is>
          <t>BESS container (ISO 40 ft high cube)</t>
        </is>
      </c>
      <c r="I3939" s="12" t="inlineStr">
        <is>
          <t>Instrumentation</t>
        </is>
      </c>
      <c r="J3939" s="12" t="inlineStr">
        <is>
          <t>Instrumentation PLTC / TC-ER 300 V, #18 twisted shielded pairs, overall shield</t>
        </is>
      </c>
      <c r="K3939" s="12" t="inlineStr">
        <is>
          <t>PLTC|4 pr|18</t>
        </is>
      </c>
      <c r="L3939" s="12" t="inlineStr">
        <is>
          <t>4 pr</t>
        </is>
      </c>
      <c r="M3939" s="12" t="inlineStr">
        <is>
          <t>18</t>
        </is>
      </c>
      <c r="N3939" s="12" t="n">
        <v>1</v>
      </c>
      <c r="O3939" s="12" t="n">
        <v>1</v>
      </c>
      <c r="P3939" s="12" t="n"/>
      <c r="Q3939" s="12" t="n"/>
      <c r="R3939" s="12" t="n"/>
      <c r="S3939" s="12" t="inlineStr">
        <is>
          <t>Tray</t>
        </is>
      </c>
      <c r="T3939" s="17" t="n">
        <v>0</v>
      </c>
      <c r="U3939" s="17" t="n">
        <v>290</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H-I-0081</t>
        </is>
      </c>
      <c r="B3940" s="12" t="inlineStr">
        <is>
          <t>H</t>
        </is>
      </c>
      <c r="C3940" s="12" t="inlineStr">
        <is>
          <t>BESS</t>
        </is>
      </c>
      <c r="D3940" s="12" t="inlineStr">
        <is>
          <t>Instrumentation</t>
        </is>
      </c>
      <c r="E3940" s="12" t="inlineStr"/>
      <c r="F3940" s="12" t="inlineStr">
        <is>
          <t>BESS PCS / MV skid</t>
        </is>
      </c>
      <c r="G3940" s="12" t="inlineStr"/>
      <c r="H3940" s="12" t="inlineStr">
        <is>
          <t>BESS container (ISO 40 ft high cube)</t>
        </is>
      </c>
      <c r="I3940" s="12" t="inlineStr">
        <is>
          <t>Instrumentation</t>
        </is>
      </c>
      <c r="J3940" s="12" t="inlineStr">
        <is>
          <t>Instrumentation PLTC / TC-ER 300 V, #18 twisted shielded pairs, overall shield</t>
        </is>
      </c>
      <c r="K3940" s="12" t="inlineStr">
        <is>
          <t>PLTC|4 pr|18</t>
        </is>
      </c>
      <c r="L3940" s="12" t="inlineStr">
        <is>
          <t>4 pr</t>
        </is>
      </c>
      <c r="M3940" s="12" t="inlineStr">
        <is>
          <t>18</t>
        </is>
      </c>
      <c r="N3940" s="12" t="n">
        <v>1</v>
      </c>
      <c r="O3940" s="12" t="n">
        <v>1</v>
      </c>
      <c r="P3940" s="12" t="n"/>
      <c r="Q3940" s="12" t="n"/>
      <c r="R3940" s="12" t="n"/>
      <c r="S3940" s="12" t="inlineStr">
        <is>
          <t>Tray</t>
        </is>
      </c>
      <c r="T3940" s="17" t="n">
        <v>0</v>
      </c>
      <c r="U3940" s="17" t="n">
        <v>290</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H-I-0082</t>
        </is>
      </c>
      <c r="B3941" s="12" t="inlineStr">
        <is>
          <t>H</t>
        </is>
      </c>
      <c r="C3941" s="12" t="inlineStr">
        <is>
          <t>BESS</t>
        </is>
      </c>
      <c r="D3941" s="12" t="inlineStr">
        <is>
          <t>Instrumentation</t>
        </is>
      </c>
      <c r="E3941" s="12" t="inlineStr"/>
      <c r="F3941" s="12" t="inlineStr">
        <is>
          <t>BESS PCS / MV skid</t>
        </is>
      </c>
      <c r="G3941" s="12" t="inlineStr"/>
      <c r="H3941" s="12" t="inlineStr">
        <is>
          <t>BESS container (ISO 40 ft high cube)</t>
        </is>
      </c>
      <c r="I3941" s="12" t="inlineStr">
        <is>
          <t>Instrumentation</t>
        </is>
      </c>
      <c r="J3941" s="12" t="inlineStr">
        <is>
          <t>Instrumentation PLTC / TC-ER 300 V, #18 twisted shielded pairs, overall shield</t>
        </is>
      </c>
      <c r="K3941" s="12" t="inlineStr">
        <is>
          <t>PLTC|4 pr|18</t>
        </is>
      </c>
      <c r="L3941" s="12" t="inlineStr">
        <is>
          <t>4 pr</t>
        </is>
      </c>
      <c r="M3941" s="12" t="inlineStr">
        <is>
          <t>18</t>
        </is>
      </c>
      <c r="N3941" s="12" t="n">
        <v>1</v>
      </c>
      <c r="O3941" s="12" t="n">
        <v>1</v>
      </c>
      <c r="P3941" s="12" t="n"/>
      <c r="Q3941" s="12" t="n"/>
      <c r="R3941" s="12" t="n"/>
      <c r="S3941" s="12" t="inlineStr">
        <is>
          <t>Tray</t>
        </is>
      </c>
      <c r="T3941" s="17" t="n">
        <v>0</v>
      </c>
      <c r="U3941" s="17" t="n">
        <v>290</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H-I-0083</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Tray</t>
        </is>
      </c>
      <c r="T3942" s="17" t="n">
        <v>0</v>
      </c>
      <c r="U3942" s="17" t="n">
        <v>290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H-I-0084</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174</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H-I-0085</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174</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H-I-0086</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174</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H-I-0087</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174</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H-I-0088</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174</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H-I-0089</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Tray</t>
        </is>
      </c>
      <c r="T3948" s="17" t="n">
        <v>0</v>
      </c>
      <c r="U3948" s="17" t="n">
        <v>174</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H-I-0090</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62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H-I-0091</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62</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H-I-0092</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62</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H-I-0093</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62</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H-I-0094</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62</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H-I-0095</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62</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H-I-0096</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7" t="n">
        <v>53</v>
      </c>
      <c r="U3955" s="17" t="n">
        <v>10</v>
      </c>
      <c r="V3955" s="17">
        <f>ROUNDUP((T3955+U3955+2*'Read Me'!$B$13)*(1+'Read Me'!$B$12),-1)</f>
        <v/>
      </c>
      <c r="W3955" s="17">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H-I-0097</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7" t="n">
        <v>300</v>
      </c>
      <c r="U3956" s="17" t="n">
        <v>89</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H-I-0098</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7" t="n">
        <v>53</v>
      </c>
      <c r="U3957" s="17" t="n">
        <v>10</v>
      </c>
      <c r="V3957" s="17">
        <f>ROUNDUP((T3957+U3957+2*'Read Me'!$B$13)*(1+'Read Me'!$B$12),-1)</f>
        <v/>
      </c>
      <c r="W3957" s="17">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H-I-0099</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7" t="n">
        <v>160</v>
      </c>
      <c r="U3958" s="17" t="n">
        <v>169</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H-I-0100</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7" t="n">
        <v>53</v>
      </c>
      <c r="U3959" s="17" t="n">
        <v>10</v>
      </c>
      <c r="V3959" s="17">
        <f>ROUNDUP((T3959+U3959+2*'Read Me'!$B$13)*(1+'Read Me'!$B$12),-1)</f>
        <v/>
      </c>
      <c r="W3959" s="17">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H-I-0101</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7" t="n">
        <v>160</v>
      </c>
      <c r="U3960" s="17" t="n">
        <v>109</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H-I-0102</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7" t="n">
        <v>53</v>
      </c>
      <c r="U3961" s="17" t="n">
        <v>10</v>
      </c>
      <c r="V3961" s="17">
        <f>ROUNDUP((T3961+U3961+2*'Read Me'!$B$13)*(1+'Read Me'!$B$12),-1)</f>
        <v/>
      </c>
      <c r="W3961" s="17">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H-I-0103</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7" t="n">
        <v>70</v>
      </c>
      <c r="U3962" s="17" t="n">
        <v>139</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H-I-0104</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7" t="n">
        <v>53</v>
      </c>
      <c r="U3963" s="17" t="n">
        <v>10</v>
      </c>
      <c r="V3963" s="17">
        <f>ROUNDUP((T3963+U3963+2*'Read Me'!$B$13)*(1+'Read Me'!$B$12),-1)</f>
        <v/>
      </c>
      <c r="W3963" s="17">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H-I-0105</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7" t="n">
        <v>30</v>
      </c>
      <c r="U3964" s="17" t="n">
        <v>93</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H-I-0106</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7" t="n">
        <v>53</v>
      </c>
      <c r="U3965" s="17" t="n">
        <v>10</v>
      </c>
      <c r="V3965" s="17">
        <f>ROUNDUP((T3965+U3965+2*'Read Me'!$B$13)*(1+'Read Me'!$B$12),-1)</f>
        <v/>
      </c>
      <c r="W3965" s="17">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H-I-0107</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Tray</t>
        </is>
      </c>
      <c r="T3966" s="17" t="n">
        <v>0</v>
      </c>
      <c r="U3966" s="17" t="n">
        <v>83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H-I-0108</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7" t="n">
        <v>53</v>
      </c>
      <c r="U3967" s="17" t="n">
        <v>10</v>
      </c>
      <c r="V3967" s="17">
        <f>ROUNDUP((T3967+U3967+2*'Read Me'!$B$13)*(1+'Read Me'!$B$12),-1)</f>
        <v/>
      </c>
      <c r="W3967" s="17">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H-I-0109</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7" t="n">
        <v>300</v>
      </c>
      <c r="U3968" s="17" t="n">
        <v>147</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H-I-0110</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7" t="n">
        <v>53</v>
      </c>
      <c r="U3969" s="17" t="n">
        <v>10</v>
      </c>
      <c r="V3969" s="17">
        <f>ROUNDUP((T3969+U3969+2*'Read Me'!$B$13)*(1+'Read Me'!$B$12),-1)</f>
        <v/>
      </c>
      <c r="W3969" s="17">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H-I-0111</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7" t="n">
        <v>160</v>
      </c>
      <c r="U3970" s="17" t="n">
        <v>227</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H-I-0112</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7" t="n">
        <v>53</v>
      </c>
      <c r="U3971" s="17" t="n">
        <v>10</v>
      </c>
      <c r="V3971" s="17">
        <f>ROUNDUP((T3971+U3971+2*'Read Me'!$B$13)*(1+'Read Me'!$B$12),-1)</f>
        <v/>
      </c>
      <c r="W3971" s="17">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H-I-0113</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7" t="n">
        <v>160</v>
      </c>
      <c r="U3972" s="17" t="n">
        <v>167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H-I-0114</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7" t="n">
        <v>53</v>
      </c>
      <c r="U3973" s="17" t="n">
        <v>10</v>
      </c>
      <c r="V3973" s="17">
        <f>ROUNDUP((T3973+U3973+2*'Read Me'!$B$13)*(1+'Read Me'!$B$12),-1)</f>
        <v/>
      </c>
      <c r="W3973" s="17">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H-I-0115</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7" t="n">
        <v>30</v>
      </c>
      <c r="U3974" s="17" t="n">
        <v>211</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H-I-0116</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7" t="n">
        <v>53</v>
      </c>
      <c r="U3975" s="17" t="n">
        <v>10</v>
      </c>
      <c r="V3975" s="17">
        <f>ROUNDUP((T3975+U3975+2*'Read Me'!$B$13)*(1+'Read Me'!$B$12),-1)</f>
        <v/>
      </c>
      <c r="W3975" s="17">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H-I-0117</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7" t="n">
        <v>30</v>
      </c>
      <c r="U3976" s="17" t="n">
        <v>151</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H-I-0118</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7" t="n">
        <v>53</v>
      </c>
      <c r="U3977" s="17" t="n">
        <v>10</v>
      </c>
      <c r="V3977" s="17">
        <f>ROUNDUP((T3977+U3977+2*'Read Me'!$B$13)*(1+'Read Me'!$B$12),-1)</f>
        <v/>
      </c>
      <c r="W3977" s="17">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H-I-0119</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Tray</t>
        </is>
      </c>
      <c r="T3978" s="17" t="n">
        <v>0</v>
      </c>
      <c r="U3978" s="17" t="n">
        <v>141</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H-I-0120</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7" t="n">
        <v>53</v>
      </c>
      <c r="U3979" s="17" t="n">
        <v>10</v>
      </c>
      <c r="V3979" s="17">
        <f>ROUNDUP((T3979+U3979+2*'Read Me'!$B$13)*(1+'Read Me'!$B$12),-1)</f>
        <v/>
      </c>
      <c r="W3979" s="17">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H-I-0121</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7" t="n">
        <v>300</v>
      </c>
      <c r="U3980" s="17" t="n">
        <v>205</v>
      </c>
      <c r="V3980" s="17">
        <f>ROUNDUP((T3980+U3980+2*'Read Me'!$B$13)*(1+'Read Me'!$B$12),-1)</f>
        <v/>
      </c>
      <c r="W3980" s="17">
        <f>V3980*N3980*O3980</f>
        <v/>
      </c>
      <c r="X3980" s="12">
        <f>IF(LEFT(I3980,2)="MV",2*N3980*IF(L3980="1/C",O3980,1),0)</f>
        <v/>
      </c>
      <c r="Y3980" s="12">
        <f>IF(OR(LEFT(K3980,4)="LVAX",LEFT(K3980,6)="MV15AX",LEFT(K3980,4)="CTAX",LEFT(K3980,2)="W|"),2*N3980*O3980,0)</f>
        <v/>
      </c>
      <c r="Z3980" s="12" t="inlineStr"/>
      <c r="AA3980" s="12">
        <f>N3980*O3980</f>
        <v/>
      </c>
    </row>
    <row r="3981">
      <c r="A3981" s="12" t="inlineStr">
        <is>
          <t>H-I-0122</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7" t="n">
        <v>53</v>
      </c>
      <c r="U3981" s="17" t="n">
        <v>10</v>
      </c>
      <c r="V3981" s="17">
        <f>ROUNDUP((T3981+U3981+2*'Read Me'!$B$13)*(1+'Read Me'!$B$12),-1)</f>
        <v/>
      </c>
      <c r="W3981" s="17">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H-I-0123</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7" t="n">
        <v>300</v>
      </c>
      <c r="U3982" s="17" t="n">
        <v>205</v>
      </c>
      <c r="V3982" s="17">
        <f>ROUNDUP((T3982+U3982+2*'Read Me'!$B$13)*(1+'Read Me'!$B$12),-1)</f>
        <v/>
      </c>
      <c r="W3982" s="17">
        <f>V3982*N3982*O3982</f>
        <v/>
      </c>
      <c r="X3982" s="12">
        <f>IF(LEFT(I3982,2)="MV",2*N3982*IF(L3982="1/C",O3982,1),0)</f>
        <v/>
      </c>
      <c r="Y3982" s="12">
        <f>IF(OR(LEFT(K3982,4)="LVAX",LEFT(K3982,6)="MV15AX",LEFT(K3982,4)="CTAX",LEFT(K3982,2)="W|"),2*N3982*O3982,0)</f>
        <v/>
      </c>
      <c r="Z3982" s="12" t="inlineStr"/>
      <c r="AA3982" s="12">
        <f>N3982*O3982</f>
        <v/>
      </c>
    </row>
    <row r="3983">
      <c r="A3983" s="12" t="inlineStr">
        <is>
          <t>H-I-0124</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7" t="n">
        <v>53</v>
      </c>
      <c r="U3983" s="17" t="n">
        <v>10</v>
      </c>
      <c r="V3983" s="17">
        <f>ROUNDUP((T3983+U3983+2*'Read Me'!$B$13)*(1+'Read Me'!$B$12),-1)</f>
        <v/>
      </c>
      <c r="W3983" s="17">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H-I-0125</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7" t="n">
        <v>160</v>
      </c>
      <c r="U3984" s="17" t="n">
        <v>225</v>
      </c>
      <c r="V3984" s="17">
        <f>ROUNDUP((T3984+U3984+2*'Read Me'!$B$13)*(1+'Read Me'!$B$12),-1)</f>
        <v/>
      </c>
      <c r="W3984" s="17">
        <f>V3984*N3984*O3984</f>
        <v/>
      </c>
      <c r="X3984" s="12">
        <f>IF(LEFT(I3984,2)="MV",2*N3984*IF(L3984="1/C",O3984,1),0)</f>
        <v/>
      </c>
      <c r="Y3984" s="12">
        <f>IF(OR(LEFT(K3984,4)="LVAX",LEFT(K3984,6)="MV15AX",LEFT(K3984,4)="CTAX",LEFT(K3984,2)="W|"),2*N3984*O3984,0)</f>
        <v/>
      </c>
      <c r="Z3984" s="12" t="inlineStr"/>
      <c r="AA3984" s="12">
        <f>N3984*O3984</f>
        <v/>
      </c>
    </row>
    <row r="3985">
      <c r="A3985" s="12" t="inlineStr">
        <is>
          <t>H-I-0126</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7" t="n">
        <v>53</v>
      </c>
      <c r="U3985" s="17" t="n">
        <v>10</v>
      </c>
      <c r="V3985" s="17">
        <f>ROUNDUP((T3985+U3985+2*'Read Me'!$B$13)*(1+'Read Me'!$B$12),-1)</f>
        <v/>
      </c>
      <c r="W3985" s="17">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H-I-0127</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7" t="n">
        <v>160</v>
      </c>
      <c r="U3986" s="17" t="n">
        <v>225</v>
      </c>
      <c r="V3986" s="17">
        <f>ROUNDUP((T3986+U3986+2*'Read Me'!$B$13)*(1+'Read Me'!$B$12),-1)</f>
        <v/>
      </c>
      <c r="W3986" s="17">
        <f>V3986*N3986*O3986</f>
        <v/>
      </c>
      <c r="X3986" s="12">
        <f>IF(LEFT(I3986,2)="MV",2*N3986*IF(L3986="1/C",O3986,1),0)</f>
        <v/>
      </c>
      <c r="Y3986" s="12">
        <f>IF(OR(LEFT(K3986,4)="LVAX",LEFT(K3986,6)="MV15AX",LEFT(K3986,4)="CTAX",LEFT(K3986,2)="W|"),2*N3986*O3986,0)</f>
        <v/>
      </c>
      <c r="Z3986" s="12" t="inlineStr"/>
      <c r="AA3986" s="12">
        <f>N3986*O3986</f>
        <v/>
      </c>
    </row>
    <row r="3987">
      <c r="A3987" s="12" t="inlineStr">
        <is>
          <t>H-I-0128</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7" t="n">
        <v>53</v>
      </c>
      <c r="U3987" s="17" t="n">
        <v>10</v>
      </c>
      <c r="V3987" s="17">
        <f>ROUNDUP((T3987+U3987+2*'Read Me'!$B$13)*(1+'Read Me'!$B$12),-1)</f>
        <v/>
      </c>
      <c r="W3987" s="17">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H-I-0129</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7" t="n">
        <v>30</v>
      </c>
      <c r="U3988" s="17" t="n">
        <v>209</v>
      </c>
      <c r="V3988" s="17">
        <f>ROUNDUP((T3988+U3988+2*'Read Me'!$B$13)*(1+'Read Me'!$B$12),-1)</f>
        <v/>
      </c>
      <c r="W3988" s="17">
        <f>V3988*N3988*O3988</f>
        <v/>
      </c>
      <c r="X3988" s="12">
        <f>IF(LEFT(I3988,2)="MV",2*N3988*IF(L3988="1/C",O3988,1),0)</f>
        <v/>
      </c>
      <c r="Y3988" s="12">
        <f>IF(OR(LEFT(K3988,4)="LVAX",LEFT(K3988,6)="MV15AX",LEFT(K3988,4)="CTAX",LEFT(K3988,2)="W|"),2*N3988*O3988,0)</f>
        <v/>
      </c>
      <c r="Z3988" s="12" t="inlineStr"/>
      <c r="AA3988" s="12">
        <f>N3988*O3988</f>
        <v/>
      </c>
    </row>
    <row r="3989">
      <c r="A3989" s="12" t="inlineStr">
        <is>
          <t>H-I-0130</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7" t="n">
        <v>53</v>
      </c>
      <c r="U3989" s="17" t="n">
        <v>10</v>
      </c>
      <c r="V3989" s="17">
        <f>ROUNDUP((T3989+U3989+2*'Read Me'!$B$13)*(1+'Read Me'!$B$12),-1)</f>
        <v/>
      </c>
      <c r="W3989" s="17">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H-I-0131</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7" t="n">
        <v>336</v>
      </c>
      <c r="U3990" s="17" t="n">
        <v>173</v>
      </c>
      <c r="V3990" s="17">
        <f>ROUNDUP((T3990+U3990+2*'Read Me'!$B$13)*(1+'Read Me'!$B$12),-1)</f>
        <v/>
      </c>
      <c r="W3990" s="17">
        <f>V3990*N3990*O3990</f>
        <v/>
      </c>
      <c r="X3990" s="12">
        <f>IF(LEFT(I3990,2)="MV",2*N3990*IF(L3990="1/C",O3990,1),0)</f>
        <v/>
      </c>
      <c r="Y3990" s="12">
        <f>IF(OR(LEFT(K3990,4)="LVAX",LEFT(K3990,6)="MV15AX",LEFT(K3990,4)="CTAX",LEFT(K3990,2)="W|"),2*N3990*O3990,0)</f>
        <v/>
      </c>
      <c r="Z3990" s="12" t="inlineStr"/>
      <c r="AA3990" s="12">
        <f>N3990*O3990</f>
        <v/>
      </c>
    </row>
    <row r="3991">
      <c r="A3991" s="12" t="inlineStr">
        <is>
          <t>H-I-0132</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7" t="n">
        <v>53</v>
      </c>
      <c r="U3991" s="17" t="n">
        <v>10</v>
      </c>
      <c r="V3991" s="17">
        <f>ROUNDUP((T3991+U3991+2*'Read Me'!$B$13)*(1+'Read Me'!$B$12),-1)</f>
        <v/>
      </c>
      <c r="W3991" s="17">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H-I-0133</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7" t="n">
        <v>340</v>
      </c>
      <c r="U3992" s="17" t="n">
        <v>253</v>
      </c>
      <c r="V3992" s="17">
        <f>ROUNDUP((T3992+U3992+2*'Read Me'!$B$13)*(1+'Read Me'!$B$12),-1)</f>
        <v/>
      </c>
      <c r="W3992" s="17">
        <f>V3992*N3992*O3992</f>
        <v/>
      </c>
      <c r="X3992" s="12">
        <f>IF(LEFT(I3992,2)="MV",2*N3992*IF(L3992="1/C",O3992,1),0)</f>
        <v/>
      </c>
      <c r="Y3992" s="12">
        <f>IF(OR(LEFT(K3992,4)="LVAX",LEFT(K3992,6)="MV15AX",LEFT(K3992,4)="CTAX",LEFT(K3992,2)="W|"),2*N3992*O3992,0)</f>
        <v/>
      </c>
      <c r="Z3992" s="12" t="inlineStr"/>
      <c r="AA3992" s="12">
        <f>N3992*O3992</f>
        <v/>
      </c>
    </row>
    <row r="3993">
      <c r="A3993" s="12" t="inlineStr">
        <is>
          <t>H-I-0134</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7" t="n">
        <v>53</v>
      </c>
      <c r="U3993" s="17" t="n">
        <v>10</v>
      </c>
      <c r="V3993" s="17">
        <f>ROUNDUP((T3993+U3993+2*'Read Me'!$B$13)*(1+'Read Me'!$B$12),-1)</f>
        <v/>
      </c>
      <c r="W3993" s="17">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H-I-0135</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7" t="n">
        <v>300</v>
      </c>
      <c r="U3994" s="17" t="n">
        <v>263</v>
      </c>
      <c r="V3994" s="17">
        <f>ROUNDUP((T3994+U3994+2*'Read Me'!$B$13)*(1+'Read Me'!$B$12),-1)</f>
        <v/>
      </c>
      <c r="W3994" s="17">
        <f>V3994*N3994*O3994</f>
        <v/>
      </c>
      <c r="X3994" s="12">
        <f>IF(LEFT(I3994,2)="MV",2*N3994*IF(L3994="1/C",O3994,1),0)</f>
        <v/>
      </c>
      <c r="Y3994" s="12">
        <f>IF(OR(LEFT(K3994,4)="LVAX",LEFT(K3994,6)="MV15AX",LEFT(K3994,4)="CTAX",LEFT(K3994,2)="W|"),2*N3994*O3994,0)</f>
        <v/>
      </c>
      <c r="Z3994" s="12" t="inlineStr"/>
      <c r="AA3994" s="12">
        <f>N3994*O3994</f>
        <v/>
      </c>
    </row>
    <row r="3995">
      <c r="A3995" s="12" t="inlineStr">
        <is>
          <t>H-I-0136</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7" t="n">
        <v>53</v>
      </c>
      <c r="U3995" s="17" t="n">
        <v>10</v>
      </c>
      <c r="V3995" s="17">
        <f>ROUNDUP((T3995+U3995+2*'Read Me'!$B$13)*(1+'Read Me'!$B$12),-1)</f>
        <v/>
      </c>
      <c r="W3995" s="17">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H-I-0137</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7" t="n">
        <v>160</v>
      </c>
      <c r="U3996" s="17" t="n">
        <v>283</v>
      </c>
      <c r="V3996" s="17">
        <f>ROUNDUP((T3996+U3996+2*'Read Me'!$B$13)*(1+'Read Me'!$B$12),-1)</f>
        <v/>
      </c>
      <c r="W3996" s="17">
        <f>V3996*N3996*O3996</f>
        <v/>
      </c>
      <c r="X3996" s="12">
        <f>IF(LEFT(I3996,2)="MV",2*N3996*IF(L3996="1/C",O3996,1),0)</f>
        <v/>
      </c>
      <c r="Y3996" s="12">
        <f>IF(OR(LEFT(K3996,4)="LVAX",LEFT(K3996,6)="MV15AX",LEFT(K3996,4)="CTAX",LEFT(K3996,2)="W|"),2*N3996*O3996,0)</f>
        <v/>
      </c>
      <c r="Z3996" s="12" t="inlineStr"/>
      <c r="AA3996" s="12">
        <f>N3996*O3996</f>
        <v/>
      </c>
    </row>
    <row r="3997">
      <c r="A3997" s="12" t="inlineStr">
        <is>
          <t>H-I-0138</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7" t="n">
        <v>53</v>
      </c>
      <c r="U3997" s="17" t="n">
        <v>10</v>
      </c>
      <c r="V3997" s="17">
        <f>ROUNDUP((T3997+U3997+2*'Read Me'!$B$13)*(1+'Read Me'!$B$12),-1)</f>
        <v/>
      </c>
      <c r="W3997" s="17">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H-I-0139</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7" t="n">
        <v>160</v>
      </c>
      <c r="U3998" s="17" t="n">
        <v>283</v>
      </c>
      <c r="V3998" s="17">
        <f>ROUNDUP((T3998+U3998+2*'Read Me'!$B$13)*(1+'Read Me'!$B$12),-1)</f>
        <v/>
      </c>
      <c r="W3998" s="17">
        <f>V3998*N3998*O3998</f>
        <v/>
      </c>
      <c r="X3998" s="12">
        <f>IF(LEFT(I3998,2)="MV",2*N3998*IF(L3998="1/C",O3998,1),0)</f>
        <v/>
      </c>
      <c r="Y3998" s="12">
        <f>IF(OR(LEFT(K3998,4)="LVAX",LEFT(K3998,6)="MV15AX",LEFT(K3998,4)="CTAX",LEFT(K3998,2)="W|"),2*N3998*O3998,0)</f>
        <v/>
      </c>
      <c r="Z3998" s="12" t="inlineStr"/>
      <c r="AA3998" s="12">
        <f>N3998*O3998</f>
        <v/>
      </c>
    </row>
    <row r="3999">
      <c r="A3999" s="12" t="inlineStr">
        <is>
          <t>H-I-0140</t>
        </is>
      </c>
      <c r="B3999" s="12" t="inlineStr">
        <is>
          <t>H</t>
        </is>
      </c>
      <c r="C3999" s="12" t="inlineStr">
        <is>
          <t>BESS</t>
        </is>
      </c>
      <c r="D3999" s="12" t="inlineStr">
        <is>
          <t>Discrete device to JB JB-BESS container (IS-DI01: 8 x 1 pr (field cables)</t>
        </is>
      </c>
      <c r="E3999" s="12" t="inlineStr"/>
      <c r="F3999" s="12" t="inlineStr">
        <is>
          <t>BESS container (ISO 40 ft high cube)</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7" t="n">
        <v>53</v>
      </c>
      <c r="U3999" s="17" t="n">
        <v>10</v>
      </c>
      <c r="V3999" s="17">
        <f>ROUNDUP((T3999+U3999+2*'Read Me'!$B$13)*(1+'Read Me'!$B$12),-1)</f>
        <v/>
      </c>
      <c r="W3999" s="17">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H-I-0141</t>
        </is>
      </c>
      <c r="B4000" s="12" t="inlineStr">
        <is>
          <t>H</t>
        </is>
      </c>
      <c r="C4000" s="12" t="inlineStr">
        <is>
          <t>BESS</t>
        </is>
      </c>
      <c r="D4000" s="12" t="inlineStr">
        <is>
          <t>Home run JB-BESS container (IS-DI01 to the control / marshalling room</t>
        </is>
      </c>
      <c r="E4000" s="12" t="inlineStr"/>
      <c r="F4000" s="12" t="inlineStr">
        <is>
          <t>BESS EMS / SCADA and revenue metering</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7" t="n">
        <v>336</v>
      </c>
      <c r="U4000" s="17" t="n">
        <v>115</v>
      </c>
      <c r="V4000" s="17">
        <f>ROUNDUP((T4000+U4000+2*'Read Me'!$B$13)*(1+'Read Me'!$B$12),-1)</f>
        <v/>
      </c>
      <c r="W4000" s="17">
        <f>V4000*N4000*O4000</f>
        <v/>
      </c>
      <c r="X4000" s="12">
        <f>IF(LEFT(I4000,2)="MV",2*N4000*IF(L4000="1/C",O4000,1),0)</f>
        <v/>
      </c>
      <c r="Y4000" s="12">
        <f>IF(OR(LEFT(K4000,4)="LVAX",LEFT(K4000,6)="MV15AX",LEFT(K4000,4)="CTAX",LEFT(K4000,2)="W|"),2*N4000*O4000,0)</f>
        <v/>
      </c>
      <c r="Z4000" s="12" t="inlineStr"/>
      <c r="AA4000" s="12">
        <f>N4000*O4000</f>
        <v/>
      </c>
    </row>
    <row r="4001">
      <c r="A4001" s="12" t="inlineStr">
        <is>
          <t>H-I-0142</t>
        </is>
      </c>
      <c r="B4001" s="12" t="inlineStr">
        <is>
          <t>H</t>
        </is>
      </c>
      <c r="C4001" s="12" t="inlineStr">
        <is>
          <t>BESS</t>
        </is>
      </c>
      <c r="D4001" s="12" t="inlineStr">
        <is>
          <t>Discrete device to JB JB-BESS container (IS-DI01: 8 x 1 pr (field cables)</t>
        </is>
      </c>
      <c r="E4001" s="12" t="inlineStr"/>
      <c r="F4001" s="12" t="inlineStr">
        <is>
          <t>BESS container (ISO 40 ft high cube)</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8</v>
      </c>
      <c r="O4001" s="12" t="n">
        <v>1</v>
      </c>
      <c r="P4001" s="12" t="n"/>
      <c r="Q4001" s="12" t="n"/>
      <c r="R4001" s="12" t="n"/>
      <c r="S4001" s="12" t="inlineStr">
        <is>
          <t>Tray / conduit</t>
        </is>
      </c>
      <c r="T4001" s="17" t="n">
        <v>53</v>
      </c>
      <c r="U4001" s="17" t="n">
        <v>10</v>
      </c>
      <c r="V4001" s="17">
        <f>ROUNDUP((T4001+U4001+2*'Read Me'!$B$13)*(1+'Read Me'!$B$12),-1)</f>
        <v/>
      </c>
      <c r="W4001" s="17">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H-I-0143</t>
        </is>
      </c>
      <c r="B4002" s="12" t="inlineStr">
        <is>
          <t>H</t>
        </is>
      </c>
      <c r="C4002" s="12" t="inlineStr">
        <is>
          <t>BESS</t>
        </is>
      </c>
      <c r="D4002" s="12" t="inlineStr">
        <is>
          <t>Home run JB-BESS container (IS-DI01 to the control / marshalling room</t>
        </is>
      </c>
      <c r="E4002" s="12" t="inlineStr"/>
      <c r="F4002" s="12" t="inlineStr">
        <is>
          <t>BESS EMS / SCADA and revenue metering</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7" t="n">
        <v>336</v>
      </c>
      <c r="U4002" s="17" t="n">
        <v>115</v>
      </c>
      <c r="V4002" s="17">
        <f>ROUNDUP((T4002+U4002+2*'Read Me'!$B$13)*(1+'Read Me'!$B$12),-1)</f>
        <v/>
      </c>
      <c r="W4002" s="17">
        <f>V4002*N4002*O4002</f>
        <v/>
      </c>
      <c r="X4002" s="12">
        <f>IF(LEFT(I4002,2)="MV",2*N4002*IF(L4002="1/C",O4002,1),0)</f>
        <v/>
      </c>
      <c r="Y4002" s="12">
        <f>IF(OR(LEFT(K4002,4)="LVAX",LEFT(K4002,6)="MV15AX",LEFT(K4002,4)="CTAX",LEFT(K4002,2)="W|"),2*N4002*O4002,0)</f>
        <v/>
      </c>
      <c r="Z4002" s="12" t="inlineStr"/>
      <c r="AA4002" s="12">
        <f>N4002*O4002</f>
        <v/>
      </c>
    </row>
    <row r="4003">
      <c r="A4003" s="12" t="inlineStr">
        <is>
          <t>H-I-0144</t>
        </is>
      </c>
      <c r="B4003" s="12" t="inlineStr">
        <is>
          <t>H</t>
        </is>
      </c>
      <c r="C4003" s="12" t="inlineStr">
        <is>
          <t>BESS</t>
        </is>
      </c>
      <c r="D4003" s="12" t="inlineStr">
        <is>
          <t>Discrete device to JB JB-BESS container (IS-DI01: 8 x 1 pr (field cables)</t>
        </is>
      </c>
      <c r="E4003" s="12" t="inlineStr"/>
      <c r="F4003" s="12" t="inlineStr">
        <is>
          <t>BESS container (ISO 40 ft high cube)</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8</v>
      </c>
      <c r="O4003" s="12" t="n">
        <v>1</v>
      </c>
      <c r="P4003" s="12" t="n"/>
      <c r="Q4003" s="12" t="n"/>
      <c r="R4003" s="12" t="n"/>
      <c r="S4003" s="12" t="inlineStr">
        <is>
          <t>Tray / conduit</t>
        </is>
      </c>
      <c r="T4003" s="17" t="n">
        <v>53</v>
      </c>
      <c r="U4003" s="17" t="n">
        <v>10</v>
      </c>
      <c r="V4003" s="17">
        <f>ROUNDUP((T4003+U4003+2*'Read Me'!$B$13)*(1+'Read Me'!$B$12),-1)</f>
        <v/>
      </c>
      <c r="W4003" s="17">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H-I-0145</t>
        </is>
      </c>
      <c r="B4004" s="12" t="inlineStr">
        <is>
          <t>H</t>
        </is>
      </c>
      <c r="C4004" s="12" t="inlineStr">
        <is>
          <t>BESS</t>
        </is>
      </c>
      <c r="D4004" s="12" t="inlineStr">
        <is>
          <t>Home run JB-BESS container (IS-DI01 to the control / marshalling room</t>
        </is>
      </c>
      <c r="E4004" s="12" t="inlineStr"/>
      <c r="F4004" s="12" t="inlineStr">
        <is>
          <t>BESS EMS / SCADA and revenue metering</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7" t="n">
        <v>602</v>
      </c>
      <c r="U4004" s="17" t="n">
        <v>57</v>
      </c>
      <c r="V4004" s="17">
        <f>ROUNDUP((T4004+U4004+2*'Read Me'!$B$13)*(1+'Read Me'!$B$12),-1)</f>
        <v/>
      </c>
      <c r="W4004" s="17">
        <f>V4004*N4004*O4004</f>
        <v/>
      </c>
      <c r="X4004" s="12">
        <f>IF(LEFT(I4004,2)="MV",2*N4004*IF(L4004="1/C",O4004,1),0)</f>
        <v/>
      </c>
      <c r="Y4004" s="12">
        <f>IF(OR(LEFT(K4004,4)="LVAX",LEFT(K4004,6)="MV15AX",LEFT(K4004,4)="CTAX",LEFT(K4004,2)="W|"),2*N4004*O4004,0)</f>
        <v/>
      </c>
      <c r="Z4004" s="12" t="inlineStr"/>
      <c r="AA4004" s="12">
        <f>N4004*O4004</f>
        <v/>
      </c>
    </row>
    <row r="4005">
      <c r="A4005" s="12" t="inlineStr">
        <is>
          <t>H-I-0146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7" t="n">
        <v>53</v>
      </c>
      <c r="U4005" s="17" t="n">
        <v>10</v>
      </c>
      <c r="V4005" s="17">
        <f>ROUNDUP((T4005+U4005+2*'Read Me'!$B$13)*(1+'Read Me'!$B$12),-1)</f>
        <v/>
      </c>
      <c r="W4005" s="17">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H-I-0147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7" t="n">
        <v>482</v>
      </c>
      <c r="U4006" s="17" t="n">
        <v>117</v>
      </c>
      <c r="V4006" s="17">
        <f>ROUNDUP((T4006+U4006+2*'Read Me'!$B$13)*(1+'Read Me'!$B$12),-1)</f>
        <v/>
      </c>
      <c r="W4006" s="17">
        <f>V4006*N4006*O4006</f>
        <v/>
      </c>
      <c r="X4006" s="12">
        <f>IF(LEFT(I4006,2)="MV",2*N4006*IF(L4006="1/C",O4006,1),0)</f>
        <v/>
      </c>
      <c r="Y4006" s="12">
        <f>IF(OR(LEFT(K4006,4)="LVAX",LEFT(K4006,6)="MV15AX",LEFT(K4006,4)="CTAX",LEFT(K4006,2)="W|"),2*N4006*O4006,0)</f>
        <v/>
      </c>
      <c r="Z4006" s="12" t="inlineStr"/>
      <c r="AA4006" s="12">
        <f>N4006*O4006</f>
        <v/>
      </c>
    </row>
    <row r="4007">
      <c r="A4007" s="12" t="inlineStr">
        <is>
          <t>H-I-0148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7" t="n">
        <v>53</v>
      </c>
      <c r="U4007" s="17" t="n">
        <v>10</v>
      </c>
      <c r="V4007" s="17">
        <f>ROUNDUP((T4007+U4007+2*'Read Me'!$B$13)*(1+'Read Me'!$B$12),-1)</f>
        <v/>
      </c>
      <c r="W4007" s="17">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H-I-0149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7" t="n">
        <v>336</v>
      </c>
      <c r="U4008" s="17" t="n">
        <v>177</v>
      </c>
      <c r="V4008" s="17">
        <f>ROUNDUP((T4008+U4008+2*'Read Me'!$B$13)*(1+'Read Me'!$B$12),-1)</f>
        <v/>
      </c>
      <c r="W4008" s="17">
        <f>V4008*N4008*O4008</f>
        <v/>
      </c>
      <c r="X4008" s="12">
        <f>IF(LEFT(I4008,2)="MV",2*N4008*IF(L4008="1/C",O4008,1),0)</f>
        <v/>
      </c>
      <c r="Y4008" s="12">
        <f>IF(OR(LEFT(K4008,4)="LVAX",LEFT(K4008,6)="MV15AX",LEFT(K4008,4)="CTAX",LEFT(K4008,2)="W|"),2*N4008*O4008,0)</f>
        <v/>
      </c>
      <c r="Z4008" s="12" t="inlineStr"/>
      <c r="AA4008" s="12">
        <f>N4008*O4008</f>
        <v/>
      </c>
    </row>
    <row r="4009">
      <c r="A4009" s="12" t="inlineStr">
        <is>
          <t>H-I-0150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7" t="n">
        <v>53</v>
      </c>
      <c r="U4009" s="17" t="n">
        <v>10</v>
      </c>
      <c r="V4009" s="17">
        <f>ROUNDUP((T4009+U4009+2*'Read Me'!$B$13)*(1+'Read Me'!$B$12),-1)</f>
        <v/>
      </c>
      <c r="W4009" s="17">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H-I-0151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7" t="n">
        <v>336</v>
      </c>
      <c r="U4010" s="17" t="n">
        <v>117</v>
      </c>
      <c r="V4010" s="17">
        <f>ROUNDUP((T4010+U4010+2*'Read Me'!$B$13)*(1+'Read Me'!$B$12),-1)</f>
        <v/>
      </c>
      <c r="W4010" s="17">
        <f>V4010*N4010*O4010</f>
        <v/>
      </c>
      <c r="X4010" s="12">
        <f>IF(LEFT(I4010,2)="MV",2*N4010*IF(L4010="1/C",O4010,1),0)</f>
        <v/>
      </c>
      <c r="Y4010" s="12">
        <f>IF(OR(LEFT(K4010,4)="LVAX",LEFT(K4010,6)="MV15AX",LEFT(K4010,4)="CTAX",LEFT(K4010,2)="W|"),2*N4010*O4010,0)</f>
        <v/>
      </c>
      <c r="Z4010" s="12" t="inlineStr"/>
      <c r="AA4010" s="12">
        <f>N4010*O4010</f>
        <v/>
      </c>
    </row>
    <row r="4011">
      <c r="A4011" s="12" t="inlineStr">
        <is>
          <t>H-I-0152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7" t="n">
        <v>53</v>
      </c>
      <c r="U4011" s="17" t="n">
        <v>10</v>
      </c>
      <c r="V4011" s="17">
        <f>ROUNDUP((T4011+U4011+2*'Read Me'!$B$13)*(1+'Read Me'!$B$12),-1)</f>
        <v/>
      </c>
      <c r="W4011" s="17">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H-I-0153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7" t="n">
        <v>336</v>
      </c>
      <c r="U4012" s="17" t="n">
        <v>57</v>
      </c>
      <c r="V4012" s="17">
        <f>ROUNDUP((T4012+U4012+2*'Read Me'!$B$13)*(1+'Read Me'!$B$12),-1)</f>
        <v/>
      </c>
      <c r="W4012" s="17">
        <f>V4012*N4012*O4012</f>
        <v/>
      </c>
      <c r="X4012" s="12">
        <f>IF(LEFT(I4012,2)="MV",2*N4012*IF(L4012="1/C",O4012,1),0)</f>
        <v/>
      </c>
      <c r="Y4012" s="12">
        <f>IF(OR(LEFT(K4012,4)="LVAX",LEFT(K4012,6)="MV15AX",LEFT(K4012,4)="CTAX",LEFT(K4012,2)="W|"),2*N4012*O4012,0)</f>
        <v/>
      </c>
      <c r="Z4012" s="12" t="inlineStr"/>
      <c r="AA4012" s="12">
        <f>N4012*O4012</f>
        <v/>
      </c>
    </row>
    <row r="4013">
      <c r="A4013" s="12" t="inlineStr">
        <is>
          <t>H-I-0154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7" t="n">
        <v>53</v>
      </c>
      <c r="U4013" s="17" t="n">
        <v>10</v>
      </c>
      <c r="V4013" s="17">
        <f>ROUNDUP((T4013+U4013+2*'Read Me'!$B$13)*(1+'Read Me'!$B$12),-1)</f>
        <v/>
      </c>
      <c r="W4013" s="17">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H-I-0155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7" t="n">
        <v>336</v>
      </c>
      <c r="U4014" s="17" t="n">
        <v>57</v>
      </c>
      <c r="V4014" s="17">
        <f>ROUNDUP((T4014+U4014+2*'Read Me'!$B$13)*(1+'Read Me'!$B$12),-1)</f>
        <v/>
      </c>
      <c r="W4014" s="17">
        <f>V4014*N4014*O4014</f>
        <v/>
      </c>
      <c r="X4014" s="12">
        <f>IF(LEFT(I4014,2)="MV",2*N4014*IF(L4014="1/C",O4014,1),0)</f>
        <v/>
      </c>
      <c r="Y4014" s="12">
        <f>IF(OR(LEFT(K4014,4)="LVAX",LEFT(K4014,6)="MV15AX",LEFT(K4014,4)="CTAX",LEFT(K4014,2)="W|"),2*N4014*O4014,0)</f>
        <v/>
      </c>
      <c r="Z4014" s="12" t="inlineStr"/>
      <c r="AA4014" s="12">
        <f>N4014*O4014</f>
        <v/>
      </c>
    </row>
    <row r="4015">
      <c r="A4015" s="12" t="inlineStr">
        <is>
          <t>H-I-0156</t>
        </is>
      </c>
      <c r="B4015" s="12" t="inlineStr">
        <is>
          <t>H</t>
        </is>
      </c>
      <c r="C4015" s="12" t="inlineStr">
        <is>
          <t>BESS</t>
        </is>
      </c>
      <c r="D4015" s="12" t="inlineStr">
        <is>
          <t>Analog instrument to JB JB-BESS MPT-AI01: 8 x 1 pr (field cables)</t>
        </is>
      </c>
      <c r="E4015" s="12" t="inlineStr">
        <is>
          <t>BESS MPT</t>
        </is>
      </c>
      <c r="F4015" s="12" t="inlineStr">
        <is>
          <t>BESS main power transformer 34.5/230 kV (to D4 upper)</t>
        </is>
      </c>
      <c r="G4015" s="12" t="inlineStr">
        <is>
          <t>JB-BESS MPT-AI01</t>
        </is>
      </c>
      <c r="H4015" s="12" t="inlineStr">
        <is>
          <t>BESS main power transformer 34.5/230 kV (to D4 upper)</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7" t="n">
        <v>77</v>
      </c>
      <c r="U4015" s="17" t="n">
        <v>10</v>
      </c>
      <c r="V4015" s="17">
        <f>ROUNDUP((T4015+U4015+2*'Read Me'!$B$13)*(1+'Read Me'!$B$12),-1)</f>
        <v/>
      </c>
      <c r="W4015" s="17">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H-I-0157</t>
        </is>
      </c>
      <c r="B4016" s="12" t="inlineStr">
        <is>
          <t>H</t>
        </is>
      </c>
      <c r="C4016" s="12" t="inlineStr">
        <is>
          <t>BESS</t>
        </is>
      </c>
      <c r="D4016" s="12" t="inlineStr">
        <is>
          <t>Home run JB-BESS MPT-AI01 to the control / marshalling room</t>
        </is>
      </c>
      <c r="E4016" s="12" t="inlineStr"/>
      <c r="F4016" s="12" t="inlineStr">
        <is>
          <t>BESS EMS / SCADA and revenue metering</t>
        </is>
      </c>
      <c r="G4016" s="12" t="inlineStr">
        <is>
          <t>JB-BESS MPT-AI01</t>
        </is>
      </c>
      <c r="H4016" s="12" t="inlineStr">
        <is>
          <t>BESS main power transformer 34.5/230 kV (to D4 upper)</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7" t="n">
        <v>162</v>
      </c>
      <c r="U4016" s="17" t="n">
        <v>32</v>
      </c>
      <c r="V4016" s="17">
        <f>ROUNDUP((T4016+U4016+2*'Read Me'!$B$13)*(1+'Read Me'!$B$12),-1)</f>
        <v/>
      </c>
      <c r="W4016" s="17">
        <f>V4016*N4016*O4016</f>
        <v/>
      </c>
      <c r="X4016" s="12">
        <f>IF(LEFT(I4016,2)="MV",2*N4016*IF(L4016="1/C",O4016,1),0)</f>
        <v/>
      </c>
      <c r="Y4016" s="12">
        <f>IF(OR(LEFT(K4016,4)="LVAX",LEFT(K4016,6)="MV15AX",LEFT(K4016,4)="CTAX",LEFT(K4016,2)="W|"),2*N4016*O4016,0)</f>
        <v/>
      </c>
      <c r="Z4016" s="12" t="inlineStr"/>
      <c r="AA4016" s="12">
        <f>N4016*O4016</f>
        <v/>
      </c>
    </row>
    <row r="4017">
      <c r="A4017" s="12" t="inlineStr">
        <is>
          <t>H-I-0158</t>
        </is>
      </c>
      <c r="B4017" s="12" t="inlineStr">
        <is>
          <t>H</t>
        </is>
      </c>
      <c r="C4017" s="12" t="inlineStr">
        <is>
          <t>BESS</t>
        </is>
      </c>
      <c r="D4017" s="12" t="inlineStr">
        <is>
          <t>Discrete device to JB JB-BESS MPT-DI01: 16 x 1 pr (field cables)</t>
        </is>
      </c>
      <c r="E4017" s="12" t="inlineStr">
        <is>
          <t>BESS MPT</t>
        </is>
      </c>
      <c r="F4017" s="12" t="inlineStr">
        <is>
          <t>BESS main power transformer 34.5/230 kV (to D4 upper)</t>
        </is>
      </c>
      <c r="G4017" s="12" t="inlineStr">
        <is>
          <t>JB-BESS MPT-DI01</t>
        </is>
      </c>
      <c r="H4017" s="12" t="inlineStr">
        <is>
          <t>BESS main power transformer 34.5/230 kV (to D4 upper)</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16</v>
      </c>
      <c r="O4017" s="12" t="n">
        <v>1</v>
      </c>
      <c r="P4017" s="12" t="n"/>
      <c r="Q4017" s="12" t="n"/>
      <c r="R4017" s="12" t="n"/>
      <c r="S4017" s="12" t="inlineStr">
        <is>
          <t>Tray / conduit</t>
        </is>
      </c>
      <c r="T4017" s="17" t="n">
        <v>77</v>
      </c>
      <c r="U4017" s="17" t="n">
        <v>10</v>
      </c>
      <c r="V4017" s="17">
        <f>ROUNDUP((T4017+U4017+2*'Read Me'!$B$13)*(1+'Read Me'!$B$12),-1)</f>
        <v/>
      </c>
      <c r="W4017" s="17">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H-I-0159</t>
        </is>
      </c>
      <c r="B4018" s="12" t="inlineStr">
        <is>
          <t>H</t>
        </is>
      </c>
      <c r="C4018" s="12" t="inlineStr">
        <is>
          <t>BESS</t>
        </is>
      </c>
      <c r="D4018" s="12" t="inlineStr">
        <is>
          <t>Home run JB-BESS MPT-DI01 to the control / marshalling room</t>
        </is>
      </c>
      <c r="E4018" s="12" t="inlineStr"/>
      <c r="F4018" s="12" t="inlineStr">
        <is>
          <t>BESS EMS / SCADA and revenue metering</t>
        </is>
      </c>
      <c r="G4018" s="12" t="inlineStr">
        <is>
          <t>JB-BESS MPT-DI01</t>
        </is>
      </c>
      <c r="H4018" s="12" t="inlineStr">
        <is>
          <t>BESS main power transformer 34.5/230 kV (to D4 upper)</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7" t="n">
        <v>162</v>
      </c>
      <c r="U4018" s="17" t="n">
        <v>32</v>
      </c>
      <c r="V4018" s="17">
        <f>ROUNDUP((T4018+U4018+2*'Read Me'!$B$13)*(1+'Read Me'!$B$12),-1)</f>
        <v/>
      </c>
      <c r="W4018" s="17">
        <f>V4018*N4018*O4018</f>
        <v/>
      </c>
      <c r="X4018" s="12">
        <f>IF(LEFT(I4018,2)="MV",2*N4018*IF(L4018="1/C",O4018,1),0)</f>
        <v/>
      </c>
      <c r="Y4018" s="12">
        <f>IF(OR(LEFT(K4018,4)="LVAX",LEFT(K4018,6)="MV15AX",LEFT(K4018,4)="CTAX",LEFT(K4018,2)="W|"),2*N4018*O4018,0)</f>
        <v/>
      </c>
      <c r="Z4018" s="12" t="inlineStr"/>
      <c r="AA4018" s="12">
        <f>N4018*O4018</f>
        <v/>
      </c>
    </row>
    <row r="4019">
      <c r="A4019" s="12" t="inlineStr">
        <is>
          <t>H-I-0160</t>
        </is>
      </c>
      <c r="B4019" s="12" t="inlineStr">
        <is>
          <t>H</t>
        </is>
      </c>
      <c r="C4019" s="12" t="inlineStr">
        <is>
          <t>BESS</t>
        </is>
      </c>
      <c r="D4019" s="12" t="inlineStr">
        <is>
          <t>Instrumentation</t>
        </is>
      </c>
      <c r="E4019" s="12" t="inlineStr"/>
      <c r="F4019" s="12" t="inlineStr">
        <is>
          <t>BESS EMS / SCADA and revenue metering</t>
        </is>
      </c>
      <c r="G4019" s="12" t="inlineStr"/>
      <c r="H4019" s="12" t="inlineStr">
        <is>
          <t>CONDITIONAL: grounding transformer</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Duct bank</t>
        </is>
      </c>
      <c r="T4019" s="17" t="n">
        <v>280</v>
      </c>
      <c r="U4019" s="17" t="n">
        <v>87</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H-P-0001</t>
        </is>
      </c>
      <c r="B4020" s="12" t="inlineStr">
        <is>
          <t>H</t>
        </is>
      </c>
      <c r="C4020" s="12" t="inlineStr">
        <is>
          <t>BESS</t>
        </is>
      </c>
      <c r="D4020" s="12" t="inlineStr">
        <is>
          <t>LV panel / distribution feeder</t>
        </is>
      </c>
      <c r="E4020" s="12" t="inlineStr"/>
      <c r="F4020" s="12" t="inlineStr">
        <is>
          <t>BESS auxiliary transformer</t>
        </is>
      </c>
      <c r="G4020" s="12" t="inlineStr"/>
      <c r="H4020" s="12" t="inlineStr">
        <is>
          <t>34.5 kV collector e-house (arc-resistant)</t>
        </is>
      </c>
      <c r="I4020" s="12" t="inlineStr">
        <is>
          <t>LV 600 V</t>
        </is>
      </c>
      <c r="J4020" s="12" t="inlineStr">
        <is>
          <t>Type TC-ER 600 V 3/C Cu XHHW-2 + ground, PVC jacket</t>
        </is>
      </c>
      <c r="K4020" s="12" t="inlineStr">
        <is>
          <t>LV|3/C+G|6</t>
        </is>
      </c>
      <c r="L4020" s="12" t="inlineStr">
        <is>
          <t>3/C+G</t>
        </is>
      </c>
      <c r="M4020" s="12" t="inlineStr">
        <is>
          <t>6</t>
        </is>
      </c>
      <c r="N4020" s="12" t="n">
        <v>1</v>
      </c>
      <c r="O4020" s="12" t="n">
        <v>1</v>
      </c>
      <c r="P4020" s="12" t="n">
        <v>480</v>
      </c>
      <c r="Q4020" s="12" t="n">
        <v>30</v>
      </c>
      <c r="R4020" s="12" t="n">
        <v>42.5</v>
      </c>
      <c r="S4020" s="12" t="inlineStr">
        <is>
          <t>Duct bank</t>
        </is>
      </c>
      <c r="T4020" s="17" t="n">
        <v>30</v>
      </c>
      <c r="U4020" s="17" t="n">
        <v>37</v>
      </c>
      <c r="V4020" s="17">
        <f>ROUNDUP((T4020+U4020+2*'Read Me'!$B$13)*(1+'Read Me'!$B$12),-1)</f>
        <v/>
      </c>
      <c r="W4020" s="17">
        <f>V4020*N4020*O4020</f>
        <v/>
      </c>
      <c r="X4020" s="12">
        <f>IF(LEFT(I4020,2)="MV",2*N4020*IF(L4020="1/C",O4020,1),0)</f>
        <v/>
      </c>
      <c r="Y4020" s="12">
        <f>IF(OR(LEFT(K4020,4)="LVAX",LEFT(K4020,6)="MV15AX",LEFT(K4020,4)="CTAX",LEFT(K4020,2)="W|"),2*N4020*O4020,0)</f>
        <v/>
      </c>
      <c r="Z4020" s="12" t="inlineStr">
        <is>
          <t>VD 0.6 %</t>
        </is>
      </c>
      <c r="AA4020" s="12">
        <f>N4020*O4020</f>
        <v/>
      </c>
    </row>
    <row r="4021">
      <c r="A4021" s="12" t="inlineStr">
        <is>
          <t>H-P-0002</t>
        </is>
      </c>
      <c r="B4021" s="12" t="inlineStr">
        <is>
          <t>H</t>
        </is>
      </c>
      <c r="C4021" s="12" t="inlineStr">
        <is>
          <t>BESS</t>
        </is>
      </c>
      <c r="D4021" s="12" t="inlineStr">
        <is>
          <t>LV panel / distribution feeder</t>
        </is>
      </c>
      <c r="E4021" s="12" t="inlineStr"/>
      <c r="F4021" s="12" t="inlineStr">
        <is>
          <t>BESS auxiliary transformer</t>
        </is>
      </c>
      <c r="G4021" s="12" t="inlineStr"/>
      <c r="H4021" s="12" t="inlineStr">
        <is>
          <t>BESS EMS / SCADA and revenue metering</t>
        </is>
      </c>
      <c r="I4021" s="12" t="inlineStr">
        <is>
          <t>LV 600 V</t>
        </is>
      </c>
      <c r="J4021" s="12" t="inlineStr">
        <is>
          <t>ARMOR-X MC-HL 600 V 3/C Cu XHHW-2 + ground, CWA, black PVC (Class I Div 2)</t>
        </is>
      </c>
      <c r="K4021" s="12" t="inlineStr">
        <is>
          <t>LVAX|3/C+G|6</t>
        </is>
      </c>
      <c r="L4021" s="12" t="inlineStr">
        <is>
          <t>3/C+G</t>
        </is>
      </c>
      <c r="M4021" s="12" t="inlineStr">
        <is>
          <t>6</t>
        </is>
      </c>
      <c r="N4021" s="12" t="n">
        <v>1</v>
      </c>
      <c r="O4021" s="12" t="n">
        <v>1</v>
      </c>
      <c r="P4021" s="12" t="n">
        <v>480</v>
      </c>
      <c r="Q4021" s="12" t="n">
        <v>30</v>
      </c>
      <c r="R4021" s="12" t="n">
        <v>42.5</v>
      </c>
      <c r="S4021" s="12" t="inlineStr">
        <is>
          <t>Tray</t>
        </is>
      </c>
      <c r="T4021" s="17" t="n">
        <v>0</v>
      </c>
      <c r="U4021" s="17" t="n">
        <v>70</v>
      </c>
      <c r="V4021" s="17">
        <f>ROUNDUP((T4021+U4021+2*'Read Me'!$B$13)*(1+'Read Me'!$B$12),-1)</f>
        <v/>
      </c>
      <c r="W4021" s="17">
        <f>V4021*N4021*O4021</f>
        <v/>
      </c>
      <c r="X4021" s="12">
        <f>IF(LEFT(I4021,2)="MV",2*N4021*IF(L4021="1/C",O4021,1),0)</f>
        <v/>
      </c>
      <c r="Y4021" s="12">
        <f>IF(OR(LEFT(K4021,4)="LVAX",LEFT(K4021,6)="MV15AX",LEFT(K4021,4)="CTAX",LEFT(K4021,2)="W|"),2*N4021*O4021,0)</f>
        <v/>
      </c>
      <c r="Z4021" s="12" t="inlineStr">
        <is>
          <t>VD 0.6 %</t>
        </is>
      </c>
      <c r="AA4021" s="12">
        <f>N4021*O4021</f>
        <v/>
      </c>
    </row>
    <row r="4022">
      <c r="A4022" s="12" t="inlineStr">
        <is>
          <t>H-P-0003</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7" t="n">
        <v>318</v>
      </c>
      <c r="U4022" s="17" t="n">
        <v>103</v>
      </c>
      <c r="V4022" s="17">
        <f>ROUNDUP((T4022+U4022+2*'Read Me'!$B$13)*(1+'Read Me'!$B$12),-1)</f>
        <v/>
      </c>
      <c r="W4022" s="17">
        <f>V4022*N4022*O4022</f>
        <v/>
      </c>
      <c r="X4022" s="12">
        <f>IF(LEFT(I4022,2)="MV",2*N4022*IF(L4022="1/C",O4022,1),0)</f>
        <v/>
      </c>
      <c r="Y4022" s="12">
        <f>IF(OR(LEFT(K4022,4)="LVAX",LEFT(K4022,6)="MV15AX",LEFT(K4022,4)="CTAX",LEFT(K4022,2)="W|"),2*N4022*O4022,0)</f>
        <v/>
      </c>
      <c r="Z4022" s="12" t="inlineStr">
        <is>
          <t>VD 2.0 %</t>
        </is>
      </c>
      <c r="AA4022" s="12">
        <f>N4022*O4022</f>
        <v/>
      </c>
    </row>
    <row r="4023">
      <c r="A4023" s="12" t="inlineStr">
        <is>
          <t>H-P-0004</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7" t="n">
        <v>318</v>
      </c>
      <c r="U4023" s="17" t="n">
        <v>103</v>
      </c>
      <c r="V4023" s="17">
        <f>ROUNDUP((T4023+U4023+2*'Read Me'!$B$13)*(1+'Read Me'!$B$12),-1)</f>
        <v/>
      </c>
      <c r="W4023" s="17">
        <f>V4023*N4023*O4023</f>
        <v/>
      </c>
      <c r="X4023" s="12">
        <f>IF(LEFT(I4023,2)="MV",2*N4023*IF(L4023="1/C",O4023,1),0)</f>
        <v/>
      </c>
      <c r="Y4023" s="12">
        <f>IF(OR(LEFT(K4023,4)="LVAX",LEFT(K4023,6)="MV15AX",LEFT(K4023,4)="CTAX",LEFT(K4023,2)="W|"),2*N4023*O4023,0)</f>
        <v/>
      </c>
      <c r="Z4023" s="12" t="inlineStr">
        <is>
          <t>VD 2.0 %</t>
        </is>
      </c>
      <c r="AA4023" s="12">
        <f>N4023*O4023</f>
        <v/>
      </c>
    </row>
    <row r="4024">
      <c r="A4024" s="12" t="inlineStr">
        <is>
          <t>H-P-0005</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7" t="n">
        <v>178</v>
      </c>
      <c r="U4024" s="17" t="n">
        <v>123</v>
      </c>
      <c r="V4024" s="17">
        <f>ROUNDUP((T4024+U4024+2*'Read Me'!$B$13)*(1+'Read Me'!$B$12),-1)</f>
        <v/>
      </c>
      <c r="W4024" s="17">
        <f>V4024*N4024*O4024</f>
        <v/>
      </c>
      <c r="X4024" s="12">
        <f>IF(LEFT(I4024,2)="MV",2*N4024*IF(L4024="1/C",O4024,1),0)</f>
        <v/>
      </c>
      <c r="Y4024" s="12">
        <f>IF(OR(LEFT(K4024,4)="LVAX",LEFT(K4024,6)="MV15AX",LEFT(K4024,4)="CTAX",LEFT(K4024,2)="W|"),2*N4024*O4024,0)</f>
        <v/>
      </c>
      <c r="Z4024" s="12" t="inlineStr">
        <is>
          <t>VD 1.4 %</t>
        </is>
      </c>
      <c r="AA4024" s="12">
        <f>N4024*O4024</f>
        <v/>
      </c>
    </row>
    <row r="4025">
      <c r="A4025" s="12" t="inlineStr">
        <is>
          <t>H-P-0006</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7" t="n">
        <v>178</v>
      </c>
      <c r="U4025" s="17" t="n">
        <v>123</v>
      </c>
      <c r="V4025" s="17">
        <f>ROUNDUP((T4025+U4025+2*'Read Me'!$B$13)*(1+'Read Me'!$B$12),-1)</f>
        <v/>
      </c>
      <c r="W4025" s="17">
        <f>V4025*N4025*O4025</f>
        <v/>
      </c>
      <c r="X4025" s="12">
        <f>IF(LEFT(I4025,2)="MV",2*N4025*IF(L4025="1/C",O4025,1),0)</f>
        <v/>
      </c>
      <c r="Y4025" s="12">
        <f>IF(OR(LEFT(K4025,4)="LVAX",LEFT(K4025,6)="MV15AX",LEFT(K4025,4)="CTAX",LEFT(K4025,2)="W|"),2*N4025*O4025,0)</f>
        <v/>
      </c>
      <c r="Z4025" s="12" t="inlineStr">
        <is>
          <t>VD 1.4 %</t>
        </is>
      </c>
      <c r="AA4025" s="12">
        <f>N4025*O4025</f>
        <v/>
      </c>
    </row>
    <row r="4026">
      <c r="A4026" s="12" t="inlineStr">
        <is>
          <t>H-P-0007</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7" t="n">
        <v>74</v>
      </c>
      <c r="U4026" s="17" t="n">
        <v>107</v>
      </c>
      <c r="V4026" s="17">
        <f>ROUNDUP((T4026+U4026+2*'Read Me'!$B$13)*(1+'Read Me'!$B$12),-1)</f>
        <v/>
      </c>
      <c r="W4026" s="17">
        <f>V4026*N4026*O4026</f>
        <v/>
      </c>
      <c r="X4026" s="12">
        <f>IF(LEFT(I4026,2)="MV",2*N4026*IF(L4026="1/C",O4026,1),0)</f>
        <v/>
      </c>
      <c r="Y4026" s="12">
        <f>IF(OR(LEFT(K4026,4)="LVAX",LEFT(K4026,6)="MV15AX",LEFT(K4026,4)="CTAX",LEFT(K4026,2)="W|"),2*N4026*O4026,0)</f>
        <v/>
      </c>
      <c r="Z4026" s="12" t="inlineStr">
        <is>
          <t>VD 0.9 %</t>
        </is>
      </c>
      <c r="AA4026" s="12">
        <f>N4026*O4026</f>
        <v/>
      </c>
    </row>
    <row r="4027">
      <c r="A4027" s="12" t="inlineStr">
        <is>
          <t>H-P-0008</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7" t="n">
        <v>74</v>
      </c>
      <c r="U4027" s="17" t="n">
        <v>107</v>
      </c>
      <c r="V4027" s="17">
        <f>ROUNDUP((T4027+U4027+2*'Read Me'!$B$13)*(1+'Read Me'!$B$12),-1)</f>
        <v/>
      </c>
      <c r="W4027" s="17">
        <f>V4027*N4027*O4027</f>
        <v/>
      </c>
      <c r="X4027" s="12">
        <f>IF(LEFT(I4027,2)="MV",2*N4027*IF(L4027="1/C",O4027,1),0)</f>
        <v/>
      </c>
      <c r="Y4027" s="12">
        <f>IF(OR(LEFT(K4027,4)="LVAX",LEFT(K4027,6)="MV15AX",LEFT(K4027,4)="CTAX",LEFT(K4027,2)="W|"),2*N4027*O4027,0)</f>
        <v/>
      </c>
      <c r="Z4027" s="12" t="inlineStr">
        <is>
          <t>VD 0.9 %</t>
        </is>
      </c>
      <c r="AA4027" s="12">
        <f>N4027*O4027</f>
        <v/>
      </c>
    </row>
    <row r="4028">
      <c r="A4028" s="12" t="inlineStr">
        <is>
          <t>H-P-0009</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7" t="n">
        <v>318</v>
      </c>
      <c r="U4028" s="17" t="n">
        <v>161</v>
      </c>
      <c r="V4028" s="17">
        <f>ROUNDUP((T4028+U4028+2*'Read Me'!$B$13)*(1+'Read Me'!$B$12),-1)</f>
        <v/>
      </c>
      <c r="W4028" s="17">
        <f>V4028*N4028*O4028</f>
        <v/>
      </c>
      <c r="X4028" s="12">
        <f>IF(LEFT(I4028,2)="MV",2*N4028*IF(L4028="1/C",O4028,1),0)</f>
        <v/>
      </c>
      <c r="Y4028" s="12">
        <f>IF(OR(LEFT(K4028,4)="LVAX",LEFT(K4028,6)="MV15AX",LEFT(K4028,4)="CTAX",LEFT(K4028,2)="W|"),2*N4028*O4028,0)</f>
        <v/>
      </c>
      <c r="Z4028" s="12" t="inlineStr">
        <is>
          <t>VD 2.3 %</t>
        </is>
      </c>
      <c r="AA4028" s="12">
        <f>N4028*O4028</f>
        <v/>
      </c>
    </row>
    <row r="4029">
      <c r="A4029" s="12" t="inlineStr">
        <is>
          <t>H-P-0010</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7" t="n">
        <v>318</v>
      </c>
      <c r="U4029" s="17" t="n">
        <v>161</v>
      </c>
      <c r="V4029" s="17">
        <f>ROUNDUP((T4029+U4029+2*'Read Me'!$B$13)*(1+'Read Me'!$B$12),-1)</f>
        <v/>
      </c>
      <c r="W4029" s="17">
        <f>V4029*N4029*O4029</f>
        <v/>
      </c>
      <c r="X4029" s="12">
        <f>IF(LEFT(I4029,2)="MV",2*N4029*IF(L4029="1/C",O4029,1),0)</f>
        <v/>
      </c>
      <c r="Y4029" s="12">
        <f>IF(OR(LEFT(K4029,4)="LVAX",LEFT(K4029,6)="MV15AX",LEFT(K4029,4)="CTAX",LEFT(K4029,2)="W|"),2*N4029*O4029,0)</f>
        <v/>
      </c>
      <c r="Z4029" s="12" t="inlineStr">
        <is>
          <t>VD 2.3 %</t>
        </is>
      </c>
      <c r="AA4029" s="12">
        <f>N4029*O4029</f>
        <v/>
      </c>
    </row>
    <row r="4030">
      <c r="A4030" s="12" t="inlineStr">
        <is>
          <t>H-P-0011</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7" t="n">
        <v>178</v>
      </c>
      <c r="U4030" s="17" t="n">
        <v>181</v>
      </c>
      <c r="V4030" s="17">
        <f>ROUNDUP((T4030+U4030+2*'Read Me'!$B$13)*(1+'Read Me'!$B$12),-1)</f>
        <v/>
      </c>
      <c r="W4030" s="17">
        <f>V4030*N4030*O4030</f>
        <v/>
      </c>
      <c r="X4030" s="12">
        <f>IF(LEFT(I4030,2)="MV",2*N4030*IF(L4030="1/C",O4030,1),0)</f>
        <v/>
      </c>
      <c r="Y4030" s="12">
        <f>IF(OR(LEFT(K4030,4)="LVAX",LEFT(K4030,6)="MV15AX",LEFT(K4030,4)="CTAX",LEFT(K4030,2)="W|"),2*N4030*O4030,0)</f>
        <v/>
      </c>
      <c r="Z4030" s="12" t="inlineStr">
        <is>
          <t>VD 1.7 %</t>
        </is>
      </c>
      <c r="AA4030" s="12">
        <f>N4030*O4030</f>
        <v/>
      </c>
    </row>
    <row r="4031">
      <c r="A4031" s="12" t="inlineStr">
        <is>
          <t>H-P-0012</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7" t="n">
        <v>178</v>
      </c>
      <c r="U4031" s="17" t="n">
        <v>181</v>
      </c>
      <c r="V4031" s="17">
        <f>ROUNDUP((T4031+U4031+2*'Read Me'!$B$13)*(1+'Read Me'!$B$12),-1)</f>
        <v/>
      </c>
      <c r="W4031" s="17">
        <f>V4031*N4031*O4031</f>
        <v/>
      </c>
      <c r="X4031" s="12">
        <f>IF(LEFT(I4031,2)="MV",2*N4031*IF(L4031="1/C",O4031,1),0)</f>
        <v/>
      </c>
      <c r="Y4031" s="12">
        <f>IF(OR(LEFT(K4031,4)="LVAX",LEFT(K4031,6)="MV15AX",LEFT(K4031,4)="CTAX",LEFT(K4031,2)="W|"),2*N4031*O4031,0)</f>
        <v/>
      </c>
      <c r="Z4031" s="12" t="inlineStr">
        <is>
          <t>VD 1.7 %</t>
        </is>
      </c>
      <c r="AA4031" s="12">
        <f>N4031*O4031</f>
        <v/>
      </c>
    </row>
    <row r="4032">
      <c r="A4032" s="12" t="inlineStr">
        <is>
          <t>H-P-0013</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7" t="n">
        <v>74</v>
      </c>
      <c r="U4032" s="17" t="n">
        <v>165</v>
      </c>
      <c r="V4032" s="17">
        <f>ROUNDUP((T4032+U4032+2*'Read Me'!$B$13)*(1+'Read Me'!$B$12),-1)</f>
        <v/>
      </c>
      <c r="W4032" s="17">
        <f>V4032*N4032*O4032</f>
        <v/>
      </c>
      <c r="X4032" s="12">
        <f>IF(LEFT(I4032,2)="MV",2*N4032*IF(L4032="1/C",O4032,1),0)</f>
        <v/>
      </c>
      <c r="Y4032" s="12">
        <f>IF(OR(LEFT(K4032,4)="LVAX",LEFT(K4032,6)="MV15AX",LEFT(K4032,4)="CTAX",LEFT(K4032,2)="W|"),2*N4032*O4032,0)</f>
        <v/>
      </c>
      <c r="Z4032" s="12" t="inlineStr">
        <is>
          <t>VD 1.1 %</t>
        </is>
      </c>
      <c r="AA4032" s="12">
        <f>N4032*O4032</f>
        <v/>
      </c>
    </row>
    <row r="4033">
      <c r="A4033" s="12" t="inlineStr">
        <is>
          <t>H-P-0014</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7" t="n">
        <v>74</v>
      </c>
      <c r="U4033" s="17" t="n">
        <v>165</v>
      </c>
      <c r="V4033" s="17">
        <f>ROUNDUP((T4033+U4033+2*'Read Me'!$B$13)*(1+'Read Me'!$B$12),-1)</f>
        <v/>
      </c>
      <c r="W4033" s="17">
        <f>V4033*N4033*O4033</f>
        <v/>
      </c>
      <c r="X4033" s="12">
        <f>IF(LEFT(I4033,2)="MV",2*N4033*IF(L4033="1/C",O4033,1),0)</f>
        <v/>
      </c>
      <c r="Y4033" s="12">
        <f>IF(OR(LEFT(K4033,4)="LVAX",LEFT(K4033,6)="MV15AX",LEFT(K4033,4)="CTAX",LEFT(K4033,2)="W|"),2*N4033*O4033,0)</f>
        <v/>
      </c>
      <c r="Z4033" s="12" t="inlineStr">
        <is>
          <t>VD 1.1 %</t>
        </is>
      </c>
      <c r="AA4033" s="12">
        <f>N4033*O4033</f>
        <v/>
      </c>
    </row>
    <row r="4034">
      <c r="A4034" s="12" t="inlineStr">
        <is>
          <t>H-P-0015</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7" t="n">
        <v>318</v>
      </c>
      <c r="U4034" s="17" t="n">
        <v>219</v>
      </c>
      <c r="V4034" s="17">
        <f>ROUNDUP((T4034+U4034+2*'Read Me'!$B$13)*(1+'Read Me'!$B$12),-1)</f>
        <v/>
      </c>
      <c r="W4034" s="17">
        <f>V4034*N4034*O4034</f>
        <v/>
      </c>
      <c r="X4034" s="12">
        <f>IF(LEFT(I4034,2)="MV",2*N4034*IF(L4034="1/C",O4034,1),0)</f>
        <v/>
      </c>
      <c r="Y4034" s="12">
        <f>IF(OR(LEFT(K4034,4)="LVAX",LEFT(K4034,6)="MV15AX",LEFT(K4034,4)="CTAX",LEFT(K4034,2)="W|"),2*N4034*O4034,0)</f>
        <v/>
      </c>
      <c r="Z4034" s="12" t="inlineStr">
        <is>
          <t>VD 2.6 %</t>
        </is>
      </c>
      <c r="AA4034" s="12">
        <f>N4034*O4034</f>
        <v/>
      </c>
    </row>
    <row r="4035">
      <c r="A4035" s="12" t="inlineStr">
        <is>
          <t>H-P-0016</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7" t="n">
        <v>318</v>
      </c>
      <c r="U4035" s="17" t="n">
        <v>219</v>
      </c>
      <c r="V4035" s="17">
        <f>ROUNDUP((T4035+U4035+2*'Read Me'!$B$13)*(1+'Read Me'!$B$12),-1)</f>
        <v/>
      </c>
      <c r="W4035" s="17">
        <f>V4035*N4035*O4035</f>
        <v/>
      </c>
      <c r="X4035" s="12">
        <f>IF(LEFT(I4035,2)="MV",2*N4035*IF(L4035="1/C",O4035,1),0)</f>
        <v/>
      </c>
      <c r="Y4035" s="12">
        <f>IF(OR(LEFT(K4035,4)="LVAX",LEFT(K4035,6)="MV15AX",LEFT(K4035,4)="CTAX",LEFT(K4035,2)="W|"),2*N4035*O4035,0)</f>
        <v/>
      </c>
      <c r="Z4035" s="12" t="inlineStr">
        <is>
          <t>VD 2.6 %</t>
        </is>
      </c>
      <c r="AA4035" s="12">
        <f>N4035*O4035</f>
        <v/>
      </c>
    </row>
    <row r="4036">
      <c r="A4036" s="12" t="inlineStr">
        <is>
          <t>H-P-0017</t>
        </is>
      </c>
      <c r="B4036" s="12" t="inlineStr">
        <is>
          <t>H</t>
        </is>
      </c>
      <c r="C4036" s="12" t="inlineStr">
        <is>
          <t>BESS</t>
        </is>
      </c>
      <c r="D4036" s="12" t="inlineStr">
        <is>
          <t>Motor 1 of 2, 7 kW</t>
        </is>
      </c>
      <c r="E4036" s="12" t="inlineStr"/>
      <c r="F4036" s="12" t="inlineStr">
        <is>
          <t>BESS auxiliary transformer</t>
        </is>
      </c>
      <c r="G4036" s="12" t="inlineStr"/>
      <c r="H4036" s="12" t="inlineStr">
        <is>
          <t>BESS PCS / MV skid</t>
        </is>
      </c>
      <c r="I4036" s="12" t="inlineStr">
        <is>
          <t>LV 600 V</t>
        </is>
      </c>
      <c r="J4036" s="12" t="inlineStr">
        <is>
          <t>Type TC-ER 600 V 3/C Cu XHHW-2 + ground, PVC jacket</t>
        </is>
      </c>
      <c r="K4036" s="12" t="inlineStr">
        <is>
          <t>LV|3/C+G|10</t>
        </is>
      </c>
      <c r="L4036" s="12" t="inlineStr">
        <is>
          <t>3/C+G</t>
        </is>
      </c>
      <c r="M4036" s="12" t="inlineStr">
        <is>
          <t>10</t>
        </is>
      </c>
      <c r="N4036" s="12" t="n">
        <v>1</v>
      </c>
      <c r="O4036" s="12" t="n">
        <v>1</v>
      </c>
      <c r="P4036" s="12" t="n">
        <v>480</v>
      </c>
      <c r="Q4036" s="12" t="n">
        <v>7</v>
      </c>
      <c r="R4036" s="12" t="n">
        <v>9.9</v>
      </c>
      <c r="S4036" s="12" t="inlineStr">
        <is>
          <t>Duct bank</t>
        </is>
      </c>
      <c r="T4036" s="17" t="n">
        <v>178</v>
      </c>
      <c r="U4036" s="17" t="n">
        <v>239</v>
      </c>
      <c r="V4036" s="17">
        <f>ROUNDUP((T4036+U4036+2*'Read Me'!$B$13)*(1+'Read Me'!$B$12),-1)</f>
        <v/>
      </c>
      <c r="W4036" s="17">
        <f>V4036*N4036*O4036</f>
        <v/>
      </c>
      <c r="X4036" s="12">
        <f>IF(LEFT(I4036,2)="MV",2*N4036*IF(L4036="1/C",O4036,1),0)</f>
        <v/>
      </c>
      <c r="Y4036" s="12">
        <f>IF(OR(LEFT(K4036,4)="LVAX",LEFT(K4036,6)="MV15AX",LEFT(K4036,4)="CTAX",LEFT(K4036,2)="W|"),2*N4036*O4036,0)</f>
        <v/>
      </c>
      <c r="Z4036" s="12" t="inlineStr">
        <is>
          <t>VD 2.0 %</t>
        </is>
      </c>
      <c r="AA4036" s="12">
        <f>N4036*O4036</f>
        <v/>
      </c>
    </row>
    <row r="4037">
      <c r="A4037" s="12" t="inlineStr">
        <is>
          <t>H-P-0018</t>
        </is>
      </c>
      <c r="B4037" s="12" t="inlineStr">
        <is>
          <t>H</t>
        </is>
      </c>
      <c r="C4037" s="12" t="inlineStr">
        <is>
          <t>BESS</t>
        </is>
      </c>
      <c r="D4037" s="12" t="inlineStr">
        <is>
          <t>Motor 2 of 2, 7 kW</t>
        </is>
      </c>
      <c r="E4037" s="12" t="inlineStr"/>
      <c r="F4037" s="12" t="inlineStr">
        <is>
          <t>BESS auxiliary transformer</t>
        </is>
      </c>
      <c r="G4037" s="12" t="inlineStr"/>
      <c r="H4037" s="12" t="inlineStr">
        <is>
          <t>BESS PCS / MV skid</t>
        </is>
      </c>
      <c r="I4037" s="12" t="inlineStr">
        <is>
          <t>LV 600 V</t>
        </is>
      </c>
      <c r="J4037" s="12" t="inlineStr">
        <is>
          <t>Type TC-ER 600 V 3/C Cu XHHW-2 + ground, PVC jacket</t>
        </is>
      </c>
      <c r="K4037" s="12" t="inlineStr">
        <is>
          <t>LV|3/C+G|10</t>
        </is>
      </c>
      <c r="L4037" s="12" t="inlineStr">
        <is>
          <t>3/C+G</t>
        </is>
      </c>
      <c r="M4037" s="12" t="inlineStr">
        <is>
          <t>10</t>
        </is>
      </c>
      <c r="N4037" s="12" t="n">
        <v>1</v>
      </c>
      <c r="O4037" s="12" t="n">
        <v>1</v>
      </c>
      <c r="P4037" s="12" t="n">
        <v>480</v>
      </c>
      <c r="Q4037" s="12" t="n">
        <v>7</v>
      </c>
      <c r="R4037" s="12" t="n">
        <v>9.9</v>
      </c>
      <c r="S4037" s="12" t="inlineStr">
        <is>
          <t>Duct bank</t>
        </is>
      </c>
      <c r="T4037" s="17" t="n">
        <v>178</v>
      </c>
      <c r="U4037" s="17" t="n">
        <v>239</v>
      </c>
      <c r="V4037" s="17">
        <f>ROUNDUP((T4037+U4037+2*'Read Me'!$B$13)*(1+'Read Me'!$B$12),-1)</f>
        <v/>
      </c>
      <c r="W4037" s="17">
        <f>V4037*N4037*O4037</f>
        <v/>
      </c>
      <c r="X4037" s="12">
        <f>IF(LEFT(I4037,2)="MV",2*N4037*IF(L4037="1/C",O4037,1),0)</f>
        <v/>
      </c>
      <c r="Y4037" s="12">
        <f>IF(OR(LEFT(K4037,4)="LVAX",LEFT(K4037,6)="MV15AX",LEFT(K4037,4)="CTAX",LEFT(K4037,2)="W|"),2*N4037*O4037,0)</f>
        <v/>
      </c>
      <c r="Z4037" s="12" t="inlineStr">
        <is>
          <t>VD 2.0 %</t>
        </is>
      </c>
      <c r="AA4037" s="12">
        <f>N4037*O4037</f>
        <v/>
      </c>
    </row>
    <row r="4038">
      <c r="A4038" s="12" t="inlineStr">
        <is>
          <t>H-P-0019</t>
        </is>
      </c>
      <c r="B4038" s="12" t="inlineStr">
        <is>
          <t>H</t>
        </is>
      </c>
      <c r="C4038" s="12" t="inlineStr">
        <is>
          <t>BESS</t>
        </is>
      </c>
      <c r="D4038" s="12" t="inlineStr">
        <is>
          <t>Motor 1 of 2, 7 kW</t>
        </is>
      </c>
      <c r="E4038" s="12" t="inlineStr"/>
      <c r="F4038" s="12" t="inlineStr">
        <is>
          <t>BESS auxiliary transformer</t>
        </is>
      </c>
      <c r="G4038" s="12" t="inlineStr"/>
      <c r="H4038" s="12" t="inlineStr">
        <is>
          <t>BESS PCS / MV skid</t>
        </is>
      </c>
      <c r="I4038" s="12" t="inlineStr">
        <is>
          <t>LV 600 V</t>
        </is>
      </c>
      <c r="J4038" s="12" t="inlineStr">
        <is>
          <t>Type TC-ER 600 V 3/C Cu XHHW-2 + ground, PVC jacket</t>
        </is>
      </c>
      <c r="K4038" s="12" t="inlineStr">
        <is>
          <t>LV|3/C+G|10</t>
        </is>
      </c>
      <c r="L4038" s="12" t="inlineStr">
        <is>
          <t>3/C+G</t>
        </is>
      </c>
      <c r="M4038" s="12" t="inlineStr">
        <is>
          <t>10</t>
        </is>
      </c>
      <c r="N4038" s="12" t="n">
        <v>1</v>
      </c>
      <c r="O4038" s="12" t="n">
        <v>1</v>
      </c>
      <c r="P4038" s="12" t="n">
        <v>480</v>
      </c>
      <c r="Q4038" s="12" t="n">
        <v>7</v>
      </c>
      <c r="R4038" s="12" t="n">
        <v>9.9</v>
      </c>
      <c r="S4038" s="12" t="inlineStr">
        <is>
          <t>Duct bank</t>
        </is>
      </c>
      <c r="T4038" s="17" t="n">
        <v>380</v>
      </c>
      <c r="U4038" s="17" t="n">
        <v>149</v>
      </c>
      <c r="V4038" s="17">
        <f>ROUNDUP((T4038+U4038+2*'Read Me'!$B$13)*(1+'Read Me'!$B$12),-1)</f>
        <v/>
      </c>
      <c r="W4038" s="17">
        <f>V4038*N4038*O4038</f>
        <v/>
      </c>
      <c r="X4038" s="12">
        <f>IF(LEFT(I4038,2)="MV",2*N4038*IF(L4038="1/C",O4038,1),0)</f>
        <v/>
      </c>
      <c r="Y4038" s="12">
        <f>IF(OR(LEFT(K4038,4)="LVAX",LEFT(K4038,6)="MV15AX",LEFT(K4038,4)="CTAX",LEFT(K4038,2)="W|"),2*N4038*O4038,0)</f>
        <v/>
      </c>
      <c r="Z4038" s="12" t="inlineStr">
        <is>
          <t>VD 2.5 %</t>
        </is>
      </c>
      <c r="AA4038" s="12">
        <f>N4038*O4038</f>
        <v/>
      </c>
    </row>
    <row r="4039">
      <c r="A4039" s="12" t="inlineStr">
        <is>
          <t>H-P-0020</t>
        </is>
      </c>
      <c r="B4039" s="12" t="inlineStr">
        <is>
          <t>H</t>
        </is>
      </c>
      <c r="C4039" s="12" t="inlineStr">
        <is>
          <t>BESS</t>
        </is>
      </c>
      <c r="D4039" s="12" t="inlineStr">
        <is>
          <t>Motor 2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380</v>
      </c>
      <c r="U4039" s="17" t="n">
        <v>149</v>
      </c>
      <c r="V4039" s="17">
        <f>ROUNDUP((T4039+U4039+2*'Read Me'!$B$13)*(1+'Read Me'!$B$12),-1)</f>
        <v/>
      </c>
      <c r="W4039" s="17">
        <f>V4039*N4039*O4039</f>
        <v/>
      </c>
      <c r="X4039" s="12">
        <f>IF(LEFT(I4039,2)="MV",2*N4039*IF(L4039="1/C",O4039,1),0)</f>
        <v/>
      </c>
      <c r="Y4039" s="12">
        <f>IF(OR(LEFT(K4039,4)="LVAX",LEFT(K4039,6)="MV15AX",LEFT(K4039,4)="CTAX",LEFT(K4039,2)="W|"),2*N4039*O4039,0)</f>
        <v/>
      </c>
      <c r="Z4039" s="12" t="inlineStr">
        <is>
          <t>VD 2.5 %</t>
        </is>
      </c>
      <c r="AA4039" s="12">
        <f>N4039*O4039</f>
        <v/>
      </c>
    </row>
    <row r="4040">
      <c r="A4040" s="12" t="inlineStr">
        <is>
          <t>H-P-0021</t>
        </is>
      </c>
      <c r="B4040" s="12" t="inlineStr">
        <is>
          <t>H</t>
        </is>
      </c>
      <c r="C4040" s="12" t="inlineStr">
        <is>
          <t>BESS</t>
        </is>
      </c>
      <c r="D4040" s="12" t="inlineStr">
        <is>
          <t>Motor 1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LV|3/C+G|8</t>
        </is>
      </c>
      <c r="L4040" s="12" t="inlineStr">
        <is>
          <t>3/C+G</t>
        </is>
      </c>
      <c r="M4040" s="12" t="inlineStr">
        <is>
          <t>8</t>
        </is>
      </c>
      <c r="N4040" s="12" t="n">
        <v>1</v>
      </c>
      <c r="O4040" s="12" t="n">
        <v>1</v>
      </c>
      <c r="P4040" s="12" t="n">
        <v>480</v>
      </c>
      <c r="Q4040" s="12" t="n">
        <v>7</v>
      </c>
      <c r="R4040" s="12" t="n">
        <v>9.9</v>
      </c>
      <c r="S4040" s="12" t="inlineStr">
        <is>
          <t>Duct bank</t>
        </is>
      </c>
      <c r="T4040" s="17" t="n">
        <v>620</v>
      </c>
      <c r="U4040" s="17" t="n">
        <v>91</v>
      </c>
      <c r="V4040" s="17">
        <f>ROUNDUP((T4040+U4040+2*'Read Me'!$B$13)*(1+'Read Me'!$B$12),-1)</f>
        <v/>
      </c>
      <c r="W4040" s="17">
        <f>V4040*N4040*O4040</f>
        <v/>
      </c>
      <c r="X4040" s="12">
        <f>IF(LEFT(I4040,2)="MV",2*N4040*IF(L4040="1/C",O4040,1),0)</f>
        <v/>
      </c>
      <c r="Y4040" s="12">
        <f>IF(OR(LEFT(K4040,4)="LVAX",LEFT(K4040,6)="MV15AX",LEFT(K4040,4)="CTAX",LEFT(K4040,2)="W|"),2*N4040*O4040,0)</f>
        <v/>
      </c>
      <c r="Z4040" s="12" t="inlineStr">
        <is>
          <t>VD 2.1 %</t>
        </is>
      </c>
      <c r="AA4040" s="12">
        <f>N4040*O4040</f>
        <v/>
      </c>
    </row>
    <row r="4041">
      <c r="A4041" s="12" t="inlineStr">
        <is>
          <t>H-P-0022</t>
        </is>
      </c>
      <c r="B4041" s="12" t="inlineStr">
        <is>
          <t>H</t>
        </is>
      </c>
      <c r="C4041" s="12" t="inlineStr">
        <is>
          <t>BESS</t>
        </is>
      </c>
      <c r="D4041" s="12" t="inlineStr">
        <is>
          <t>Motor 2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LV|3/C+G|8</t>
        </is>
      </c>
      <c r="L4041" s="12" t="inlineStr">
        <is>
          <t>3/C+G</t>
        </is>
      </c>
      <c r="M4041" s="12" t="inlineStr">
        <is>
          <t>8</t>
        </is>
      </c>
      <c r="N4041" s="12" t="n">
        <v>1</v>
      </c>
      <c r="O4041" s="12" t="n">
        <v>1</v>
      </c>
      <c r="P4041" s="12" t="n">
        <v>480</v>
      </c>
      <c r="Q4041" s="12" t="n">
        <v>7</v>
      </c>
      <c r="R4041" s="12" t="n">
        <v>9.9</v>
      </c>
      <c r="S4041" s="12" t="inlineStr">
        <is>
          <t>Duct bank</t>
        </is>
      </c>
      <c r="T4041" s="17" t="n">
        <v>620</v>
      </c>
      <c r="U4041" s="17" t="n">
        <v>91</v>
      </c>
      <c r="V4041" s="17">
        <f>ROUNDUP((T4041+U4041+2*'Read Me'!$B$13)*(1+'Read Me'!$B$12),-1)</f>
        <v/>
      </c>
      <c r="W4041" s="17">
        <f>V4041*N4041*O4041</f>
        <v/>
      </c>
      <c r="X4041" s="12">
        <f>IF(LEFT(I4041,2)="MV",2*N4041*IF(L4041="1/C",O4041,1),0)</f>
        <v/>
      </c>
      <c r="Y4041" s="12">
        <f>IF(OR(LEFT(K4041,4)="LVAX",LEFT(K4041,6)="MV15AX",LEFT(K4041,4)="CTAX",LEFT(K4041,2)="W|"),2*N4041*O4041,0)</f>
        <v/>
      </c>
      <c r="Z4041" s="12" t="inlineStr">
        <is>
          <t>VD 2.1 %</t>
        </is>
      </c>
      <c r="AA4041" s="12">
        <f>N4041*O4041</f>
        <v/>
      </c>
    </row>
    <row r="4042">
      <c r="A4042" s="12" t="inlineStr">
        <is>
          <t>H-P-0023</t>
        </is>
      </c>
      <c r="B4042" s="12" t="inlineStr">
        <is>
          <t>H</t>
        </is>
      </c>
      <c r="C4042" s="12" t="inlineStr">
        <is>
          <t>BESS</t>
        </is>
      </c>
      <c r="D4042" s="12" t="inlineStr">
        <is>
          <t>Motor 1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500</v>
      </c>
      <c r="U4042" s="17" t="n">
        <v>91</v>
      </c>
      <c r="V4042" s="17">
        <f>ROUNDUP((T4042+U4042+2*'Read Me'!$B$13)*(1+'Read Me'!$B$12),-1)</f>
        <v/>
      </c>
      <c r="W4042" s="17">
        <f>V4042*N4042*O4042</f>
        <v/>
      </c>
      <c r="X4042" s="12">
        <f>IF(LEFT(I4042,2)="MV",2*N4042*IF(L4042="1/C",O4042,1),0)</f>
        <v/>
      </c>
      <c r="Y4042" s="12">
        <f>IF(OR(LEFT(K4042,4)="LVAX",LEFT(K4042,6)="MV15AX",LEFT(K4042,4)="CTAX",LEFT(K4042,2)="W|"),2*N4042*O4042,0)</f>
        <v/>
      </c>
      <c r="Z4042" s="12" t="inlineStr">
        <is>
          <t>VD 2.8 %</t>
        </is>
      </c>
      <c r="AA4042" s="12">
        <f>N4042*O4042</f>
        <v/>
      </c>
    </row>
    <row r="4043">
      <c r="A4043" s="12" t="inlineStr">
        <is>
          <t>H-P-0024</t>
        </is>
      </c>
      <c r="B4043" s="12" t="inlineStr">
        <is>
          <t>H</t>
        </is>
      </c>
      <c r="C4043" s="12" t="inlineStr">
        <is>
          <t>BESS</t>
        </is>
      </c>
      <c r="D4043" s="12" t="inlineStr">
        <is>
          <t>Motor 2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500</v>
      </c>
      <c r="U4043" s="17" t="n">
        <v>91</v>
      </c>
      <c r="V4043" s="17">
        <f>ROUNDUP((T4043+U4043+2*'Read Me'!$B$13)*(1+'Read Me'!$B$12),-1)</f>
        <v/>
      </c>
      <c r="W4043" s="17">
        <f>V4043*N4043*O4043</f>
        <v/>
      </c>
      <c r="X4043" s="12">
        <f>IF(LEFT(I4043,2)="MV",2*N4043*IF(L4043="1/C",O4043,1),0)</f>
        <v/>
      </c>
      <c r="Y4043" s="12">
        <f>IF(OR(LEFT(K4043,4)="LVAX",LEFT(K4043,6)="MV15AX",LEFT(K4043,4)="CTAX",LEFT(K4043,2)="W|"),2*N4043*O4043,0)</f>
        <v/>
      </c>
      <c r="Z4043" s="12" t="inlineStr">
        <is>
          <t>VD 2.8 %</t>
        </is>
      </c>
      <c r="AA4043" s="12">
        <f>N4043*O4043</f>
        <v/>
      </c>
    </row>
    <row r="4044">
      <c r="A4044" s="12" t="inlineStr">
        <is>
          <t>H-P-0025</t>
        </is>
      </c>
      <c r="B4044" s="12" t="inlineStr">
        <is>
          <t>H</t>
        </is>
      </c>
      <c r="C4044" s="12" t="inlineStr">
        <is>
          <t>BESS</t>
        </is>
      </c>
      <c r="D4044" s="12" t="inlineStr">
        <is>
          <t>Motor 1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380</v>
      </c>
      <c r="U4044" s="17" t="n">
        <v>91</v>
      </c>
      <c r="V4044" s="17">
        <f>ROUNDUP((T4044+U4044+2*'Read Me'!$B$13)*(1+'Read Me'!$B$12),-1)</f>
        <v/>
      </c>
      <c r="W4044" s="17">
        <f>V4044*N4044*O4044</f>
        <v/>
      </c>
      <c r="X4044" s="12">
        <f>IF(LEFT(I4044,2)="MV",2*N4044*IF(L4044="1/C",O4044,1),0)</f>
        <v/>
      </c>
      <c r="Y4044" s="12">
        <f>IF(OR(LEFT(K4044,4)="LVAX",LEFT(K4044,6)="MV15AX",LEFT(K4044,4)="CTAX",LEFT(K4044,2)="W|"),2*N4044*O4044,0)</f>
        <v/>
      </c>
      <c r="Z4044" s="12" t="inlineStr">
        <is>
          <t>VD 2.2 %</t>
        </is>
      </c>
      <c r="AA4044" s="12">
        <f>N4044*O4044</f>
        <v/>
      </c>
    </row>
    <row r="4045">
      <c r="A4045" s="12" t="inlineStr">
        <is>
          <t>H-P-0026</t>
        </is>
      </c>
      <c r="B4045" s="12" t="inlineStr">
        <is>
          <t>H</t>
        </is>
      </c>
      <c r="C4045" s="12" t="inlineStr">
        <is>
          <t>BESS</t>
        </is>
      </c>
      <c r="D4045" s="12" t="inlineStr">
        <is>
          <t>Motor 2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380</v>
      </c>
      <c r="U4045" s="17" t="n">
        <v>91</v>
      </c>
      <c r="V4045" s="17">
        <f>ROUNDUP((T4045+U4045+2*'Read Me'!$B$13)*(1+'Read Me'!$B$12),-1)</f>
        <v/>
      </c>
      <c r="W4045" s="17">
        <f>V4045*N4045*O4045</f>
        <v/>
      </c>
      <c r="X4045" s="12">
        <f>IF(LEFT(I4045,2)="MV",2*N4045*IF(L4045="1/C",O4045,1),0)</f>
        <v/>
      </c>
      <c r="Y4045" s="12">
        <f>IF(OR(LEFT(K4045,4)="LVAX",LEFT(K4045,6)="MV15AX",LEFT(K4045,4)="CTAX",LEFT(K4045,2)="W|"),2*N4045*O4045,0)</f>
        <v/>
      </c>
      <c r="Z4045" s="12" t="inlineStr">
        <is>
          <t>VD 2.2 %</t>
        </is>
      </c>
      <c r="AA4045" s="12">
        <f>N4045*O4045</f>
        <v/>
      </c>
    </row>
    <row r="4046">
      <c r="A4046" s="12" t="inlineStr">
        <is>
          <t>H-P-0027</t>
        </is>
      </c>
      <c r="B4046" s="12" t="inlineStr">
        <is>
          <t>H</t>
        </is>
      </c>
      <c r="C4046" s="12" t="inlineStr">
        <is>
          <t>BESS</t>
        </is>
      </c>
      <c r="D4046" s="12" t="inlineStr">
        <is>
          <t>Motor 1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LV|3/C+G|8</t>
        </is>
      </c>
      <c r="L4046" s="12" t="inlineStr">
        <is>
          <t>3/C+G</t>
        </is>
      </c>
      <c r="M4046" s="12" t="inlineStr">
        <is>
          <t>8</t>
        </is>
      </c>
      <c r="N4046" s="12" t="n">
        <v>1</v>
      </c>
      <c r="O4046" s="12" t="n">
        <v>1</v>
      </c>
      <c r="P4046" s="12" t="n">
        <v>480</v>
      </c>
      <c r="Q4046" s="12" t="n">
        <v>7</v>
      </c>
      <c r="R4046" s="12" t="n">
        <v>9.9</v>
      </c>
      <c r="S4046" s="12" t="inlineStr">
        <is>
          <t>Duct bank</t>
        </is>
      </c>
      <c r="T4046" s="17" t="n">
        <v>620</v>
      </c>
      <c r="U4046" s="17" t="n">
        <v>37</v>
      </c>
      <c r="V4046" s="17">
        <f>ROUNDUP((T4046+U4046+2*'Read Me'!$B$13)*(1+'Read Me'!$B$12),-1)</f>
        <v/>
      </c>
      <c r="W4046" s="17">
        <f>V4046*N4046*O4046</f>
        <v/>
      </c>
      <c r="X4046" s="12">
        <f>IF(LEFT(I4046,2)="MV",2*N4046*IF(L4046="1/C",O4046,1),0)</f>
        <v/>
      </c>
      <c r="Y4046" s="12">
        <f>IF(OR(LEFT(K4046,4)="LVAX",LEFT(K4046,6)="MV15AX",LEFT(K4046,4)="CTAX",LEFT(K4046,2)="W|"),2*N4046*O4046,0)</f>
        <v/>
      </c>
      <c r="Z4046" s="12" t="inlineStr">
        <is>
          <t>VD 2.0 %</t>
        </is>
      </c>
      <c r="AA4046" s="12">
        <f>N4046*O4046</f>
        <v/>
      </c>
    </row>
    <row r="4047">
      <c r="A4047" s="12" t="inlineStr">
        <is>
          <t>H-P-0028</t>
        </is>
      </c>
      <c r="B4047" s="12" t="inlineStr">
        <is>
          <t>H</t>
        </is>
      </c>
      <c r="C4047" s="12" t="inlineStr">
        <is>
          <t>BESS</t>
        </is>
      </c>
      <c r="D4047" s="12" t="inlineStr">
        <is>
          <t>Motor 2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LV|3/C+G|8</t>
        </is>
      </c>
      <c r="L4047" s="12" t="inlineStr">
        <is>
          <t>3/C+G</t>
        </is>
      </c>
      <c r="M4047" s="12" t="inlineStr">
        <is>
          <t>8</t>
        </is>
      </c>
      <c r="N4047" s="12" t="n">
        <v>1</v>
      </c>
      <c r="O4047" s="12" t="n">
        <v>1</v>
      </c>
      <c r="P4047" s="12" t="n">
        <v>480</v>
      </c>
      <c r="Q4047" s="12" t="n">
        <v>7</v>
      </c>
      <c r="R4047" s="12" t="n">
        <v>9.9</v>
      </c>
      <c r="S4047" s="12" t="inlineStr">
        <is>
          <t>Duct bank</t>
        </is>
      </c>
      <c r="T4047" s="17" t="n">
        <v>620</v>
      </c>
      <c r="U4047" s="17" t="n">
        <v>37</v>
      </c>
      <c r="V4047" s="17">
        <f>ROUNDUP((T4047+U4047+2*'Read Me'!$B$13)*(1+'Read Me'!$B$12),-1)</f>
        <v/>
      </c>
      <c r="W4047" s="17">
        <f>V4047*N4047*O4047</f>
        <v/>
      </c>
      <c r="X4047" s="12">
        <f>IF(LEFT(I4047,2)="MV",2*N4047*IF(L4047="1/C",O4047,1),0)</f>
        <v/>
      </c>
      <c r="Y4047" s="12">
        <f>IF(OR(LEFT(K4047,4)="LVAX",LEFT(K4047,6)="MV15AX",LEFT(K4047,4)="CTAX",LEFT(K4047,2)="W|"),2*N4047*O4047,0)</f>
        <v/>
      </c>
      <c r="Z4047" s="12" t="inlineStr">
        <is>
          <t>VD 2.0 %</t>
        </is>
      </c>
      <c r="AA4047" s="12">
        <f>N4047*O4047</f>
        <v/>
      </c>
    </row>
    <row r="4048">
      <c r="A4048" s="12" t="inlineStr">
        <is>
          <t>H-P-0029</t>
        </is>
      </c>
      <c r="B4048" s="12" t="inlineStr">
        <is>
          <t>H</t>
        </is>
      </c>
      <c r="C4048" s="12" t="inlineStr">
        <is>
          <t>BESS</t>
        </is>
      </c>
      <c r="D4048" s="12" t="inlineStr">
        <is>
          <t>Motor 1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500</v>
      </c>
      <c r="U4048" s="17" t="n">
        <v>37</v>
      </c>
      <c r="V4048" s="17">
        <f>ROUNDUP((T4048+U4048+2*'Read Me'!$B$13)*(1+'Read Me'!$B$12),-1)</f>
        <v/>
      </c>
      <c r="W4048" s="17">
        <f>V4048*N4048*O4048</f>
        <v/>
      </c>
      <c r="X4048" s="12">
        <f>IF(LEFT(I4048,2)="MV",2*N4048*IF(L4048="1/C",O4048,1),0)</f>
        <v/>
      </c>
      <c r="Y4048" s="12">
        <f>IF(OR(LEFT(K4048,4)="LVAX",LEFT(K4048,6)="MV15AX",LEFT(K4048,4)="CTAX",LEFT(K4048,2)="W|"),2*N4048*O4048,0)</f>
        <v/>
      </c>
      <c r="Z4048" s="12" t="inlineStr">
        <is>
          <t>VD 2.6 %</t>
        </is>
      </c>
      <c r="AA4048" s="12">
        <f>N4048*O4048</f>
        <v/>
      </c>
    </row>
    <row r="4049">
      <c r="A4049" s="12" t="inlineStr">
        <is>
          <t>H-P-0030</t>
        </is>
      </c>
      <c r="B4049" s="12" t="inlineStr">
        <is>
          <t>H</t>
        </is>
      </c>
      <c r="C4049" s="12" t="inlineStr">
        <is>
          <t>BESS</t>
        </is>
      </c>
      <c r="D4049" s="12" t="inlineStr">
        <is>
          <t>Motor 2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500</v>
      </c>
      <c r="U4049" s="17" t="n">
        <v>37</v>
      </c>
      <c r="V4049" s="17">
        <f>ROUNDUP((T4049+U4049+2*'Read Me'!$B$13)*(1+'Read Me'!$B$12),-1)</f>
        <v/>
      </c>
      <c r="W4049" s="17">
        <f>V4049*N4049*O4049</f>
        <v/>
      </c>
      <c r="X4049" s="12">
        <f>IF(LEFT(I4049,2)="MV",2*N4049*IF(L4049="1/C",O4049,1),0)</f>
        <v/>
      </c>
      <c r="Y4049" s="12">
        <f>IF(OR(LEFT(K4049,4)="LVAX",LEFT(K4049,6)="MV15AX",LEFT(K4049,4)="CTAX",LEFT(K4049,2)="W|"),2*N4049*O4049,0)</f>
        <v/>
      </c>
      <c r="Z4049" s="12" t="inlineStr">
        <is>
          <t>VD 2.6 %</t>
        </is>
      </c>
      <c r="AA4049" s="12">
        <f>N4049*O4049</f>
        <v/>
      </c>
    </row>
    <row r="4050">
      <c r="A4050" s="12" t="inlineStr">
        <is>
          <t>H-P-0031</t>
        </is>
      </c>
      <c r="B4050" s="12" t="inlineStr">
        <is>
          <t>H</t>
        </is>
      </c>
      <c r="C4050" s="12" t="inlineStr">
        <is>
          <t>BESS</t>
        </is>
      </c>
      <c r="D4050" s="12" t="inlineStr">
        <is>
          <t>Motor 1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380</v>
      </c>
      <c r="U4050" s="17" t="n">
        <v>37</v>
      </c>
      <c r="V4050" s="17">
        <f>ROUNDUP((T4050+U4050+2*'Read Me'!$B$13)*(1+'Read Me'!$B$12),-1)</f>
        <v/>
      </c>
      <c r="W4050" s="17">
        <f>V4050*N4050*O4050</f>
        <v/>
      </c>
      <c r="X4050" s="12">
        <f>IF(LEFT(I4050,2)="MV",2*N4050*IF(L4050="1/C",O4050,1),0)</f>
        <v/>
      </c>
      <c r="Y4050" s="12">
        <f>IF(OR(LEFT(K4050,4)="LVAX",LEFT(K4050,6)="MV15AX",LEFT(K4050,4)="CTAX",LEFT(K4050,2)="W|"),2*N4050*O4050,0)</f>
        <v/>
      </c>
      <c r="Z4050" s="12" t="inlineStr">
        <is>
          <t>VD 2.0 %</t>
        </is>
      </c>
      <c r="AA4050" s="12">
        <f>N4050*O4050</f>
        <v/>
      </c>
    </row>
    <row r="4051">
      <c r="A4051" s="12" t="inlineStr">
        <is>
          <t>H-P-0032</t>
        </is>
      </c>
      <c r="B4051" s="12" t="inlineStr">
        <is>
          <t>H</t>
        </is>
      </c>
      <c r="C4051" s="12" t="inlineStr">
        <is>
          <t>BESS</t>
        </is>
      </c>
      <c r="D4051" s="12" t="inlineStr">
        <is>
          <t>Motor 2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380</v>
      </c>
      <c r="U4051" s="17" t="n">
        <v>37</v>
      </c>
      <c r="V4051" s="17">
        <f>ROUNDUP((T4051+U4051+2*'Read Me'!$B$13)*(1+'Read Me'!$B$12),-1)</f>
        <v/>
      </c>
      <c r="W4051" s="17">
        <f>V4051*N4051*O4051</f>
        <v/>
      </c>
      <c r="X4051" s="12">
        <f>IF(LEFT(I4051,2)="MV",2*N4051*IF(L4051="1/C",O4051,1),0)</f>
        <v/>
      </c>
      <c r="Y4051" s="12">
        <f>IF(OR(LEFT(K4051,4)="LVAX",LEFT(K4051,6)="MV15AX",LEFT(K4051,4)="CTAX",LEFT(K4051,2)="W|"),2*N4051*O4051,0)</f>
        <v/>
      </c>
      <c r="Z4051" s="12" t="inlineStr">
        <is>
          <t>VD 2.0 %</t>
        </is>
      </c>
      <c r="AA4051" s="12">
        <f>N4051*O4051</f>
        <v/>
      </c>
    </row>
    <row r="4052">
      <c r="A4052" s="12" t="inlineStr">
        <is>
          <t>H-P-0033</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Duct bank</t>
        </is>
      </c>
      <c r="T4052" s="17" t="n">
        <v>10</v>
      </c>
      <c r="U4052" s="17" t="n">
        <v>150</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H-P-0034</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7" t="n">
        <v>0</v>
      </c>
      <c r="U4053" s="17" t="n">
        <v>160</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H-P-0035</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7" t="n">
        <v>0</v>
      </c>
      <c r="U4054" s="17" t="n">
        <v>200</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H-P-0036</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7" t="n">
        <v>0</v>
      </c>
      <c r="U4055" s="17" t="n">
        <v>200</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H-P-0037</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7" t="n">
        <v>0</v>
      </c>
      <c r="U4056" s="17" t="n">
        <v>168</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H-P-0038</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7" t="n">
        <v>0</v>
      </c>
      <c r="U4057" s="17" t="n">
        <v>168</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H-P-0039</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Duct bank</t>
        </is>
      </c>
      <c r="T4058" s="17" t="n">
        <v>10</v>
      </c>
      <c r="U4058" s="17" t="n">
        <v>266</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H-P-0040</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7" t="n">
        <v>0</v>
      </c>
      <c r="U4059" s="17" t="n">
        <v>276</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H-P-0041</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7" t="n">
        <v>0</v>
      </c>
      <c r="U4060" s="17" t="n">
        <v>316</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H-P-0042</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7" t="n">
        <v>0</v>
      </c>
      <c r="U4061" s="17" t="n">
        <v>316</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H-P-0043</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7" t="n">
        <v>0</v>
      </c>
      <c r="U4062" s="17" t="n">
        <v>284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H-P-0044</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7" t="n">
        <v>0</v>
      </c>
      <c r="U4063" s="17" t="n">
        <v>284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H-P-0045</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7" t="n">
        <v>0</v>
      </c>
      <c r="U4064" s="17" t="n">
        <v>290</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H-P-0046</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7" t="n">
        <v>0</v>
      </c>
      <c r="U4065" s="17" t="n">
        <v>290</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H-P-0047</t>
        </is>
      </c>
      <c r="B4066" s="12" t="inlineStr">
        <is>
          <t>H</t>
        </is>
      </c>
      <c r="C4066" s="12" t="inlineStr">
        <is>
          <t>BESS</t>
        </is>
      </c>
      <c r="D4066" s="12" t="inlineStr">
        <is>
          <t>Container auxiliary 480 V</t>
        </is>
      </c>
      <c r="E4066" s="12" t="inlineStr"/>
      <c r="F4066" s="12" t="inlineStr">
        <is>
          <t>BESS PCS / MV skid</t>
        </is>
      </c>
      <c r="G4066" s="12" t="inlineStr"/>
      <c r="H4066" s="12" t="inlineStr">
        <is>
          <t>BESS container (ISO 40 ft high cube)</t>
        </is>
      </c>
      <c r="I4066" s="12" t="inlineStr">
        <is>
          <t>LV 600 V</t>
        </is>
      </c>
      <c r="J4066" s="12" t="inlineStr">
        <is>
          <t>Type TC-ER 600 V 3/C Cu XHHW-2 + ground, PVC jacket</t>
        </is>
      </c>
      <c r="K4066" s="12" t="inlineStr">
        <is>
          <t>LV|3/C+G|2</t>
        </is>
      </c>
      <c r="L4066" s="12" t="inlineStr">
        <is>
          <t>3/C+G</t>
        </is>
      </c>
      <c r="M4066" s="12" t="inlineStr">
        <is>
          <t>2</t>
        </is>
      </c>
      <c r="N4066" s="12" t="n">
        <v>1</v>
      </c>
      <c r="O4066" s="12" t="n">
        <v>1</v>
      </c>
      <c r="P4066" s="12" t="n">
        <v>480</v>
      </c>
      <c r="Q4066" s="12" t="n">
        <v>60</v>
      </c>
      <c r="R4066" s="12" t="n">
        <v>85</v>
      </c>
      <c r="S4066" s="12" t="inlineStr">
        <is>
          <t>Tray</t>
        </is>
      </c>
      <c r="T4066" s="17" t="n">
        <v>0</v>
      </c>
      <c r="U4066" s="17" t="n">
        <v>290</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H-P-0048</t>
        </is>
      </c>
      <c r="B4067" s="12" t="inlineStr">
        <is>
          <t>H</t>
        </is>
      </c>
      <c r="C4067" s="12" t="inlineStr">
        <is>
          <t>BESS</t>
        </is>
      </c>
      <c r="D4067" s="12" t="inlineStr">
        <is>
          <t>Container auxiliary 480 V</t>
        </is>
      </c>
      <c r="E4067" s="12" t="inlineStr"/>
      <c r="F4067" s="12" t="inlineStr">
        <is>
          <t>BESS PCS / MV skid</t>
        </is>
      </c>
      <c r="G4067" s="12" t="inlineStr"/>
      <c r="H4067" s="12" t="inlineStr">
        <is>
          <t>BESS container (ISO 40 ft high cube)</t>
        </is>
      </c>
      <c r="I4067" s="12" t="inlineStr">
        <is>
          <t>LV 600 V</t>
        </is>
      </c>
      <c r="J4067" s="12" t="inlineStr">
        <is>
          <t>Type TC-ER 600 V 3/C Cu XHHW-2 + ground, PVC jacket</t>
        </is>
      </c>
      <c r="K4067" s="12" t="inlineStr">
        <is>
          <t>LV|3/C+G|2</t>
        </is>
      </c>
      <c r="L4067" s="12" t="inlineStr">
        <is>
          <t>3/C+G</t>
        </is>
      </c>
      <c r="M4067" s="12" t="inlineStr">
        <is>
          <t>2</t>
        </is>
      </c>
      <c r="N4067" s="12" t="n">
        <v>1</v>
      </c>
      <c r="O4067" s="12" t="n">
        <v>1</v>
      </c>
      <c r="P4067" s="12" t="n">
        <v>480</v>
      </c>
      <c r="Q4067" s="12" t="n">
        <v>60</v>
      </c>
      <c r="R4067" s="12" t="n">
        <v>85</v>
      </c>
      <c r="S4067" s="12" t="inlineStr">
        <is>
          <t>Tray</t>
        </is>
      </c>
      <c r="T4067" s="17" t="n">
        <v>0</v>
      </c>
      <c r="U4067" s="17" t="n">
        <v>290</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H-P-0049</t>
        </is>
      </c>
      <c r="B4068" s="12" t="inlineStr">
        <is>
          <t>H</t>
        </is>
      </c>
      <c r="C4068" s="12" t="inlineStr">
        <is>
          <t>BESS</t>
        </is>
      </c>
      <c r="D4068" s="12" t="inlineStr">
        <is>
          <t>Container auxiliary 480 V</t>
        </is>
      </c>
      <c r="E4068" s="12" t="inlineStr"/>
      <c r="F4068" s="12" t="inlineStr">
        <is>
          <t>BESS PCS / MV skid</t>
        </is>
      </c>
      <c r="G4068" s="12" t="inlineStr"/>
      <c r="H4068" s="12" t="inlineStr">
        <is>
          <t>BESS container (ISO 40 ft high cube)</t>
        </is>
      </c>
      <c r="I4068" s="12" t="inlineStr">
        <is>
          <t>LV 600 V</t>
        </is>
      </c>
      <c r="J4068" s="12" t="inlineStr">
        <is>
          <t>Type TC-ER 600 V 3/C Cu XHHW-2 + ground, PVC jacket</t>
        </is>
      </c>
      <c r="K4068" s="12" t="inlineStr">
        <is>
          <t>LV|3/C+G|2</t>
        </is>
      </c>
      <c r="L4068" s="12" t="inlineStr">
        <is>
          <t>3/C+G</t>
        </is>
      </c>
      <c r="M4068" s="12" t="inlineStr">
        <is>
          <t>2</t>
        </is>
      </c>
      <c r="N4068" s="12" t="n">
        <v>1</v>
      </c>
      <c r="O4068" s="12" t="n">
        <v>1</v>
      </c>
      <c r="P4068" s="12" t="n">
        <v>480</v>
      </c>
      <c r="Q4068" s="12" t="n">
        <v>60</v>
      </c>
      <c r="R4068" s="12" t="n">
        <v>85</v>
      </c>
      <c r="S4068" s="12" t="inlineStr">
        <is>
          <t>Tray</t>
        </is>
      </c>
      <c r="T4068" s="17" t="n">
        <v>0</v>
      </c>
      <c r="U4068" s="17" t="n">
        <v>290</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H-P-0050</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Tray</t>
        </is>
      </c>
      <c r="T4069" s="17" t="n">
        <v>0</v>
      </c>
      <c r="U4069" s="17" t="n">
        <v>290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H-P-0051</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174</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H-P-0052</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174</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H-P-0053</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174</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H-P-0054</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174</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H-P-0055</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174</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H-P-0056</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Tray</t>
        </is>
      </c>
      <c r="T4075" s="17" t="n">
        <v>0</v>
      </c>
      <c r="U4075" s="17" t="n">
        <v>174</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H-P-0057</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62</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H-P-0058</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62</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H-P-0059</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62</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H-P-0060</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62</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H-P-0061</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62</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H-P-0062</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62</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H-P-0063</t>
        </is>
      </c>
      <c r="B4082" s="12" t="inlineStr">
        <is>
          <t>H</t>
        </is>
      </c>
      <c r="C4082" s="12" t="inlineStr">
        <is>
          <t>BESS</t>
        </is>
      </c>
      <c r="D4082" s="12" t="inlineStr">
        <is>
          <t>Motor 1 of 6, 2 kW</t>
        </is>
      </c>
      <c r="E4082" s="12" t="inlineStr"/>
      <c r="F4082" s="12" t="inlineStr">
        <is>
          <t>BESS auxiliary transformer</t>
        </is>
      </c>
      <c r="G4082" s="12" t="inlineStr">
        <is>
          <t>BESS MPT</t>
        </is>
      </c>
      <c r="H4082" s="12" t="inlineStr">
        <is>
          <t>BESS main power transformer 34.5/230 kV (to D4 upper)</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2</v>
      </c>
      <c r="R4082" s="12" t="n">
        <v>2.8</v>
      </c>
      <c r="S4082" s="12" t="inlineStr">
        <is>
          <t>Duct bank</t>
        </is>
      </c>
      <c r="T4082" s="17" t="n">
        <v>180</v>
      </c>
      <c r="U4082" s="17" t="n">
        <v>32</v>
      </c>
      <c r="V4082" s="17">
        <f>ROUNDUP((T4082+U4082+2*'Read Me'!$B$13)*(1+'Read Me'!$B$12),-1)</f>
        <v/>
      </c>
      <c r="W4082" s="17">
        <f>V4082*N4082*O4082</f>
        <v/>
      </c>
      <c r="X4082" s="12">
        <f>IF(LEFT(I4082,2)="MV",2*N4082*IF(L4082="1/C",O4082,1),0)</f>
        <v/>
      </c>
      <c r="Y4082" s="12">
        <f>IF(OR(LEFT(K4082,4)="LVAX",LEFT(K4082,6)="MV15AX",LEFT(K4082,4)="CTAX",LEFT(K4082,2)="W|"),2*N4082*O4082,0)</f>
        <v/>
      </c>
      <c r="Z4082" s="12" t="inlineStr">
        <is>
          <t>VD 0.3 %</t>
        </is>
      </c>
      <c r="AA4082" s="12">
        <f>N4082*O4082</f>
        <v/>
      </c>
    </row>
    <row r="4083">
      <c r="A4083" s="12" t="inlineStr">
        <is>
          <t>H-P-0064</t>
        </is>
      </c>
      <c r="B4083" s="12" t="inlineStr">
        <is>
          <t>H</t>
        </is>
      </c>
      <c r="C4083" s="12" t="inlineStr">
        <is>
          <t>BESS</t>
        </is>
      </c>
      <c r="D4083" s="12" t="inlineStr">
        <is>
          <t>Motor 2 of 6, 2 kW</t>
        </is>
      </c>
      <c r="E4083" s="12" t="inlineStr"/>
      <c r="F4083" s="12" t="inlineStr">
        <is>
          <t>BESS auxiliary transformer</t>
        </is>
      </c>
      <c r="G4083" s="12" t="inlineStr">
        <is>
          <t>BESS MPT</t>
        </is>
      </c>
      <c r="H4083" s="12" t="inlineStr">
        <is>
          <t>BESS main power transformer 34.5/230 kV (to D4 upper)</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2</v>
      </c>
      <c r="R4083" s="12" t="n">
        <v>2.8</v>
      </c>
      <c r="S4083" s="12" t="inlineStr">
        <is>
          <t>Duct bank</t>
        </is>
      </c>
      <c r="T4083" s="17" t="n">
        <v>180</v>
      </c>
      <c r="U4083" s="17" t="n">
        <v>32</v>
      </c>
      <c r="V4083" s="17">
        <f>ROUNDUP((T4083+U4083+2*'Read Me'!$B$13)*(1+'Read Me'!$B$12),-1)</f>
        <v/>
      </c>
      <c r="W4083" s="17">
        <f>V4083*N4083*O4083</f>
        <v/>
      </c>
      <c r="X4083" s="12">
        <f>IF(LEFT(I4083,2)="MV",2*N4083*IF(L4083="1/C",O4083,1),0)</f>
        <v/>
      </c>
      <c r="Y4083" s="12">
        <f>IF(OR(LEFT(K4083,4)="LVAX",LEFT(K4083,6)="MV15AX",LEFT(K4083,4)="CTAX",LEFT(K4083,2)="W|"),2*N4083*O4083,0)</f>
        <v/>
      </c>
      <c r="Z4083" s="12" t="inlineStr">
        <is>
          <t>VD 0.3 %</t>
        </is>
      </c>
      <c r="AA4083" s="12">
        <f>N4083*O4083</f>
        <v/>
      </c>
    </row>
    <row r="4084">
      <c r="A4084" s="12" t="inlineStr">
        <is>
          <t>H-P-0065</t>
        </is>
      </c>
      <c r="B4084" s="12" t="inlineStr">
        <is>
          <t>H</t>
        </is>
      </c>
      <c r="C4084" s="12" t="inlineStr">
        <is>
          <t>BESS</t>
        </is>
      </c>
      <c r="D4084" s="12" t="inlineStr">
        <is>
          <t>Motor 3 of 6, 2 kW</t>
        </is>
      </c>
      <c r="E4084" s="12" t="inlineStr"/>
      <c r="F4084" s="12" t="inlineStr">
        <is>
          <t>BESS auxiliary transformer</t>
        </is>
      </c>
      <c r="G4084" s="12" t="inlineStr">
        <is>
          <t>BESS MPT</t>
        </is>
      </c>
      <c r="H4084" s="12" t="inlineStr">
        <is>
          <t>BESS main power transformer 34.5/230 kV (to D4 upper)</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2</v>
      </c>
      <c r="R4084" s="12" t="n">
        <v>2.8</v>
      </c>
      <c r="S4084" s="12" t="inlineStr">
        <is>
          <t>Duct bank</t>
        </is>
      </c>
      <c r="T4084" s="17" t="n">
        <v>180</v>
      </c>
      <c r="U4084" s="17" t="n">
        <v>32</v>
      </c>
      <c r="V4084" s="17">
        <f>ROUNDUP((T4084+U4084+2*'Read Me'!$B$13)*(1+'Read Me'!$B$12),-1)</f>
        <v/>
      </c>
      <c r="W4084" s="17">
        <f>V4084*N4084*O4084</f>
        <v/>
      </c>
      <c r="X4084" s="12">
        <f>IF(LEFT(I4084,2)="MV",2*N4084*IF(L4084="1/C",O4084,1),0)</f>
        <v/>
      </c>
      <c r="Y4084" s="12">
        <f>IF(OR(LEFT(K4084,4)="LVAX",LEFT(K4084,6)="MV15AX",LEFT(K4084,4)="CTAX",LEFT(K4084,2)="W|"),2*N4084*O4084,0)</f>
        <v/>
      </c>
      <c r="Z4084" s="12" t="inlineStr">
        <is>
          <t>VD 0.3 %</t>
        </is>
      </c>
      <c r="AA4084" s="12">
        <f>N4084*O4084</f>
        <v/>
      </c>
    </row>
    <row r="4085">
      <c r="A4085" s="12" t="inlineStr">
        <is>
          <t>H-P-0066</t>
        </is>
      </c>
      <c r="B4085" s="12" t="inlineStr">
        <is>
          <t>H</t>
        </is>
      </c>
      <c r="C4085" s="12" t="inlineStr">
        <is>
          <t>BESS</t>
        </is>
      </c>
      <c r="D4085" s="12" t="inlineStr">
        <is>
          <t>Motor 4 of 6, 2 kW</t>
        </is>
      </c>
      <c r="E4085" s="12" t="inlineStr"/>
      <c r="F4085" s="12" t="inlineStr">
        <is>
          <t>BESS auxiliary transformer</t>
        </is>
      </c>
      <c r="G4085" s="12" t="inlineStr">
        <is>
          <t>BESS MPT</t>
        </is>
      </c>
      <c r="H4085" s="12" t="inlineStr">
        <is>
          <t>BESS main power transformer 34.5/230 kV (to D4 upper)</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2</v>
      </c>
      <c r="R4085" s="12" t="n">
        <v>2.8</v>
      </c>
      <c r="S4085" s="12" t="inlineStr">
        <is>
          <t>Duct bank</t>
        </is>
      </c>
      <c r="T4085" s="17" t="n">
        <v>180</v>
      </c>
      <c r="U4085" s="17" t="n">
        <v>32</v>
      </c>
      <c r="V4085" s="17">
        <f>ROUNDUP((T4085+U4085+2*'Read Me'!$B$13)*(1+'Read Me'!$B$12),-1)</f>
        <v/>
      </c>
      <c r="W4085" s="17">
        <f>V4085*N4085*O4085</f>
        <v/>
      </c>
      <c r="X4085" s="12">
        <f>IF(LEFT(I4085,2)="MV",2*N4085*IF(L4085="1/C",O4085,1),0)</f>
        <v/>
      </c>
      <c r="Y4085" s="12">
        <f>IF(OR(LEFT(K4085,4)="LVAX",LEFT(K4085,6)="MV15AX",LEFT(K4085,4)="CTAX",LEFT(K4085,2)="W|"),2*N4085*O4085,0)</f>
        <v/>
      </c>
      <c r="Z4085" s="12" t="inlineStr">
        <is>
          <t>VD 0.3 %</t>
        </is>
      </c>
      <c r="AA4085" s="12">
        <f>N4085*O4085</f>
        <v/>
      </c>
    </row>
    <row r="4086">
      <c r="A4086" s="12" t="inlineStr">
        <is>
          <t>H-P-0067</t>
        </is>
      </c>
      <c r="B4086" s="12" t="inlineStr">
        <is>
          <t>H</t>
        </is>
      </c>
      <c r="C4086" s="12" t="inlineStr">
        <is>
          <t>BESS</t>
        </is>
      </c>
      <c r="D4086" s="12" t="inlineStr">
        <is>
          <t>Motor 5 of 6, 2 kW</t>
        </is>
      </c>
      <c r="E4086" s="12" t="inlineStr"/>
      <c r="F4086" s="12" t="inlineStr">
        <is>
          <t>BESS auxiliary transformer</t>
        </is>
      </c>
      <c r="G4086" s="12" t="inlineStr">
        <is>
          <t>BESS MPT</t>
        </is>
      </c>
      <c r="H4086" s="12" t="inlineStr">
        <is>
          <t>BESS main power transformer 34.5/230 kV (to D4 upper)</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2</v>
      </c>
      <c r="R4086" s="12" t="n">
        <v>2.8</v>
      </c>
      <c r="S4086" s="12" t="inlineStr">
        <is>
          <t>Duct bank</t>
        </is>
      </c>
      <c r="T4086" s="17" t="n">
        <v>180</v>
      </c>
      <c r="U4086" s="17" t="n">
        <v>32</v>
      </c>
      <c r="V4086" s="17">
        <f>ROUNDUP((T4086+U4086+2*'Read Me'!$B$13)*(1+'Read Me'!$B$12),-1)</f>
        <v/>
      </c>
      <c r="W4086" s="17">
        <f>V4086*N4086*O4086</f>
        <v/>
      </c>
      <c r="X4086" s="12">
        <f>IF(LEFT(I4086,2)="MV",2*N4086*IF(L4086="1/C",O4086,1),0)</f>
        <v/>
      </c>
      <c r="Y4086" s="12">
        <f>IF(OR(LEFT(K4086,4)="LVAX",LEFT(K4086,6)="MV15AX",LEFT(K4086,4)="CTAX",LEFT(K4086,2)="W|"),2*N4086*O4086,0)</f>
        <v/>
      </c>
      <c r="Z4086" s="12" t="inlineStr">
        <is>
          <t>VD 0.3 %</t>
        </is>
      </c>
      <c r="AA4086" s="12">
        <f>N4086*O4086</f>
        <v/>
      </c>
    </row>
    <row r="4087">
      <c r="A4087" s="12" t="inlineStr">
        <is>
          <t>H-P-0068</t>
        </is>
      </c>
      <c r="B4087" s="12" t="inlineStr">
        <is>
          <t>H</t>
        </is>
      </c>
      <c r="C4087" s="12" t="inlineStr">
        <is>
          <t>BESS</t>
        </is>
      </c>
      <c r="D4087" s="12" t="inlineStr">
        <is>
          <t>Motor 6 of 6, 2 kW</t>
        </is>
      </c>
      <c r="E4087" s="12" t="inlineStr"/>
      <c r="F4087" s="12" t="inlineStr">
        <is>
          <t>BESS auxiliary transformer</t>
        </is>
      </c>
      <c r="G4087" s="12" t="inlineStr">
        <is>
          <t>BESS MPT</t>
        </is>
      </c>
      <c r="H4087" s="12" t="inlineStr">
        <is>
          <t>BESS main power transformer 34.5/230 kV (to D4 upper)</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2</v>
      </c>
      <c r="R4087" s="12" t="n">
        <v>2.8</v>
      </c>
      <c r="S4087" s="12" t="inlineStr">
        <is>
          <t>Duct bank</t>
        </is>
      </c>
      <c r="T4087" s="17" t="n">
        <v>180</v>
      </c>
      <c r="U4087" s="17" t="n">
        <v>32</v>
      </c>
      <c r="V4087" s="17">
        <f>ROUNDUP((T4087+U4087+2*'Read Me'!$B$13)*(1+'Read Me'!$B$12),-1)</f>
        <v/>
      </c>
      <c r="W4087" s="17">
        <f>V4087*N4087*O4087</f>
        <v/>
      </c>
      <c r="X4087" s="12">
        <f>IF(LEFT(I4087,2)="MV",2*N4087*IF(L4087="1/C",O4087,1),0)</f>
        <v/>
      </c>
      <c r="Y4087" s="12">
        <f>IF(OR(LEFT(K4087,4)="LVAX",LEFT(K4087,6)="MV15AX",LEFT(K4087,4)="CTAX",LEFT(K4087,2)="W|"),2*N4087*O4087,0)</f>
        <v/>
      </c>
      <c r="Z4087" s="12" t="inlineStr">
        <is>
          <t>VD 0.3 %</t>
        </is>
      </c>
      <c r="AA4087" s="12">
        <f>N4087*O4087</f>
        <v/>
      </c>
    </row>
    <row r="4088">
      <c r="A4088" s="12" t="inlineStr">
        <is>
          <t>H-P-0069</t>
        </is>
      </c>
      <c r="B4088" s="12" t="inlineStr">
        <is>
          <t>H</t>
        </is>
      </c>
      <c r="C4088" s="12" t="inlineStr">
        <is>
          <t>BESS</t>
        </is>
      </c>
      <c r="D4088" s="12" t="inlineStr">
        <is>
          <t>Yard lighting circuit 1 (10 floodlights)</t>
        </is>
      </c>
      <c r="E4088" s="12" t="inlineStr"/>
      <c r="F4088" s="12" t="inlineStr">
        <is>
          <t>BESS auxiliary transformer</t>
        </is>
      </c>
      <c r="G4088" s="12" t="inlineStr"/>
      <c r="H4088" s="12" t="inlineStr">
        <is>
          <t>BESS yard: surfacing, fence, gate, signage, lighting</t>
        </is>
      </c>
      <c r="I4088" s="12" t="inlineStr">
        <is>
          <t>LV 600 V</t>
        </is>
      </c>
      <c r="J4088" s="12" t="inlineStr">
        <is>
          <t>Type TC-ER 600 V 3/C Cu XHHW-2 + ground, PVC jacket</t>
        </is>
      </c>
      <c r="K4088" s="12" t="inlineStr">
        <is>
          <t>LV|3/C+G|8</t>
        </is>
      </c>
      <c r="L4088" s="12" t="inlineStr">
        <is>
          <t>3/C+G</t>
        </is>
      </c>
      <c r="M4088" s="12" t="inlineStr">
        <is>
          <t>8</t>
        </is>
      </c>
      <c r="N4088" s="12" t="n">
        <v>1</v>
      </c>
      <c r="O4088" s="12" t="n">
        <v>1</v>
      </c>
      <c r="P4088" s="12" t="n">
        <v>480</v>
      </c>
      <c r="Q4088" s="12" t="n">
        <v>4</v>
      </c>
      <c r="R4088" s="12" t="n">
        <v>6</v>
      </c>
      <c r="S4088" s="12" t="inlineStr">
        <is>
          <t>Buried</t>
        </is>
      </c>
      <c r="T4088" s="17" t="n">
        <v>900</v>
      </c>
      <c r="U4088" s="17" t="n">
        <v>30</v>
      </c>
      <c r="V4088" s="17">
        <f>ROUNDUP((T4088+U4088+2*'Read Me'!$B$13)*(1+'Read Me'!$B$12),-1)</f>
        <v/>
      </c>
      <c r="W4088" s="17">
        <f>V4088*N4088*O4088</f>
        <v/>
      </c>
      <c r="X4088" s="12">
        <f>IF(LEFT(I4088,2)="MV",2*N4088*IF(L4088="1/C",O4088,1),0)</f>
        <v/>
      </c>
      <c r="Y4088" s="12">
        <f>IF(OR(LEFT(K4088,4)="LVAX",LEFT(K4088,6)="MV15AX",LEFT(K4088,4)="CTAX",LEFT(K4088,2)="W|"),2*N4088*O4088,0)</f>
        <v/>
      </c>
      <c r="Z4088" s="12" t="inlineStr">
        <is>
          <t>pole to pole, buried</t>
        </is>
      </c>
      <c r="AA4088" s="12">
        <f>N4088*O4088</f>
        <v/>
      </c>
    </row>
    <row r="4089">
      <c r="A4089" s="12" t="inlineStr">
        <is>
          <t>H-P-0070</t>
        </is>
      </c>
      <c r="B4089" s="12" t="inlineStr">
        <is>
          <t>H</t>
        </is>
      </c>
      <c r="C4089" s="12" t="inlineStr">
        <is>
          <t>BESS</t>
        </is>
      </c>
      <c r="D4089" s="12" t="inlineStr">
        <is>
          <t>Yard lighting circuit 2 (10 floodlights)</t>
        </is>
      </c>
      <c r="E4089" s="12" t="inlineStr"/>
      <c r="F4089" s="12" t="inlineStr">
        <is>
          <t>BESS auxiliary transformer</t>
        </is>
      </c>
      <c r="G4089" s="12" t="inlineStr"/>
      <c r="H4089" s="12" t="inlineStr">
        <is>
          <t>BESS yard: surfacing, fence, gate, signage, lighting</t>
        </is>
      </c>
      <c r="I4089" s="12" t="inlineStr">
        <is>
          <t>LV 600 V</t>
        </is>
      </c>
      <c r="J4089" s="12" t="inlineStr">
        <is>
          <t>Type TC-ER 600 V 3/C Cu XHHW-2 + ground, PVC jacket</t>
        </is>
      </c>
      <c r="K4089" s="12" t="inlineStr">
        <is>
          <t>LV|3/C+G|8</t>
        </is>
      </c>
      <c r="L4089" s="12" t="inlineStr">
        <is>
          <t>3/C+G</t>
        </is>
      </c>
      <c r="M4089" s="12" t="inlineStr">
        <is>
          <t>8</t>
        </is>
      </c>
      <c r="N4089" s="12" t="n">
        <v>1</v>
      </c>
      <c r="O4089" s="12" t="n">
        <v>1</v>
      </c>
      <c r="P4089" s="12" t="n">
        <v>480</v>
      </c>
      <c r="Q4089" s="12" t="n">
        <v>4</v>
      </c>
      <c r="R4089" s="12" t="n">
        <v>6</v>
      </c>
      <c r="S4089" s="12" t="inlineStr">
        <is>
          <t>Buried</t>
        </is>
      </c>
      <c r="T4089" s="17" t="n">
        <v>900</v>
      </c>
      <c r="U4089" s="17" t="n">
        <v>30</v>
      </c>
      <c r="V4089" s="17">
        <f>ROUNDUP((T4089+U4089+2*'Read Me'!$B$13)*(1+'Read Me'!$B$12),-1)</f>
        <v/>
      </c>
      <c r="W4089" s="17">
        <f>V4089*N4089*O4089</f>
        <v/>
      </c>
      <c r="X4089" s="12">
        <f>IF(LEFT(I4089,2)="MV",2*N4089*IF(L4089="1/C",O4089,1),0)</f>
        <v/>
      </c>
      <c r="Y4089" s="12">
        <f>IF(OR(LEFT(K4089,4)="LVAX",LEFT(K4089,6)="MV15AX",LEFT(K4089,4)="CTAX",LEFT(K4089,2)="W|"),2*N4089*O4089,0)</f>
        <v/>
      </c>
      <c r="Z4089" s="12" t="inlineStr">
        <is>
          <t>pole to pole, buried</t>
        </is>
      </c>
      <c r="AA4089" s="12">
        <f>N4089*O4089</f>
        <v/>
      </c>
    </row>
    <row r="4090">
      <c r="A4090" s="12" t="inlineStr">
        <is>
          <t>H-P-0071</t>
        </is>
      </c>
      <c r="B4090" s="12" t="inlineStr">
        <is>
          <t>H</t>
        </is>
      </c>
      <c r="C4090" s="12" t="inlineStr">
        <is>
          <t>BESS</t>
        </is>
      </c>
      <c r="D4090" s="12" t="inlineStr">
        <is>
          <t>Yard lighting circuit 3 (4 floodlights)</t>
        </is>
      </c>
      <c r="E4090" s="12" t="inlineStr"/>
      <c r="F4090" s="12" t="inlineStr">
        <is>
          <t>BESS auxiliary transformer</t>
        </is>
      </c>
      <c r="G4090" s="12" t="inlineStr"/>
      <c r="H4090" s="12" t="inlineStr">
        <is>
          <t>BESS yard: surfacing, fence, gate, signage, lighting</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4</v>
      </c>
      <c r="R4090" s="12" t="n">
        <v>6</v>
      </c>
      <c r="S4090" s="12" t="inlineStr">
        <is>
          <t>Buried</t>
        </is>
      </c>
      <c r="T4090" s="17" t="n">
        <v>900</v>
      </c>
      <c r="U4090" s="17" t="n">
        <v>30</v>
      </c>
      <c r="V4090" s="17">
        <f>ROUNDUP((T4090+U4090+2*'Read Me'!$B$13)*(1+'Read Me'!$B$12),-1)</f>
        <v/>
      </c>
      <c r="W4090" s="17">
        <f>V4090*N4090*O4090</f>
        <v/>
      </c>
      <c r="X4090" s="12">
        <f>IF(LEFT(I4090,2)="MV",2*N4090*IF(L4090="1/C",O4090,1),0)</f>
        <v/>
      </c>
      <c r="Y4090" s="12">
        <f>IF(OR(LEFT(K4090,4)="LVAX",LEFT(K4090,6)="MV15AX",LEFT(K4090,4)="CTAX",LEFT(K4090,2)="W|"),2*N4090*O4090,0)</f>
        <v/>
      </c>
      <c r="Z4090" s="12" t="inlineStr">
        <is>
          <t>pole to pole, buried</t>
        </is>
      </c>
      <c r="AA4090" s="12">
        <f>N4090*O4090</f>
        <v/>
      </c>
    </row>
    <row r="4091">
      <c r="A4091" s="12" t="inlineStr">
        <is>
          <t>H-MV-0001</t>
        </is>
      </c>
      <c r="B4091" s="12" t="inlineStr">
        <is>
          <t>H</t>
        </is>
      </c>
      <c r="C4091" s="12" t="inlineStr">
        <is>
          <t>BESS</t>
        </is>
      </c>
      <c r="D4091" s="12" t="inlineStr">
        <is>
          <t>34.5 kV collection loop 1</t>
        </is>
      </c>
      <c r="E4091" s="12" t="inlineStr"/>
      <c r="F4091" s="12" t="inlineStr">
        <is>
          <t>BESS PCS / MV skid</t>
        </is>
      </c>
      <c r="G4091" s="12" t="inlineStr"/>
      <c r="H4091" s="12" t="inlineStr">
        <is>
          <t>34.5 kV collector e-house (arc-resistant)</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Duct bank</t>
        </is>
      </c>
      <c r="T4091" s="17" t="n">
        <v>556</v>
      </c>
      <c r="U4091" s="17" t="n">
        <v>37</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H-MV-0002</t>
        </is>
      </c>
      <c r="B4092" s="12" t="inlineStr">
        <is>
          <t>H</t>
        </is>
      </c>
      <c r="C4092" s="12" t="inlineStr">
        <is>
          <t>BESS</t>
        </is>
      </c>
      <c r="D4092" s="12" t="inlineStr">
        <is>
          <t>34.5 kV collection loop 2</t>
        </is>
      </c>
      <c r="E4092" s="12" t="inlineStr"/>
      <c r="F4092" s="12" t="inlineStr">
        <is>
          <t>BESS PCS / MV skid</t>
        </is>
      </c>
      <c r="G4092" s="12" t="inlineStr"/>
      <c r="H4092" s="12" t="inlineStr">
        <is>
          <t>34.5 kV collector e-house (arc-resistant)</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Duct bank</t>
        </is>
      </c>
      <c r="T4092" s="17" t="n">
        <v>436</v>
      </c>
      <c r="U4092" s="17" t="n">
        <v>37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H-MV-0003</t>
        </is>
      </c>
      <c r="B4093" s="12" t="inlineStr">
        <is>
          <t>H</t>
        </is>
      </c>
      <c r="C4093" s="12" t="inlineStr">
        <is>
          <t>BESS</t>
        </is>
      </c>
      <c r="D4093" s="12" t="inlineStr">
        <is>
          <t>34.5 kV collection loop 3</t>
        </is>
      </c>
      <c r="E4093" s="12" t="inlineStr"/>
      <c r="F4093" s="12" t="inlineStr">
        <is>
          <t>BESS PCS / MV skid</t>
        </is>
      </c>
      <c r="G4093" s="12" t="inlineStr"/>
      <c r="H4093" s="12" t="inlineStr">
        <is>
          <t>34.5 kV collector e-house (arc-resistant)</t>
        </is>
      </c>
      <c r="I4093" s="12" t="inlineStr">
        <is>
          <t>MV 35 kV</t>
        </is>
      </c>
      <c r="J4093" s="12" t="inlineStr">
        <is>
          <t>MV-105 35 kV 1/C Al, EPR 133%, 1/3 concentric neutral, LLDPE jacket</t>
        </is>
      </c>
      <c r="K4093" s="12" t="inlineStr">
        <is>
          <t>MV35|1/C|350</t>
        </is>
      </c>
      <c r="L4093" s="12" t="inlineStr">
        <is>
          <t>1/C</t>
        </is>
      </c>
      <c r="M4093" s="12" t="inlineStr">
        <is>
          <t>350 kcmil</t>
        </is>
      </c>
      <c r="N4093" s="12" t="n">
        <v>2</v>
      </c>
      <c r="O4093" s="12" t="n">
        <v>3</v>
      </c>
      <c r="P4093" s="12" t="n">
        <v>34500</v>
      </c>
      <c r="Q4093" s="12" t="n">
        <v>25000</v>
      </c>
      <c r="R4093" s="12" t="n">
        <v>418</v>
      </c>
      <c r="S4093" s="12" t="inlineStr">
        <is>
          <t>Duct bank</t>
        </is>
      </c>
      <c r="T4093" s="17" t="n">
        <v>350</v>
      </c>
      <c r="U4093" s="17" t="n">
        <v>42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H-MV-0004</t>
        </is>
      </c>
      <c r="B4094" s="12" t="inlineStr">
        <is>
          <t>H</t>
        </is>
      </c>
      <c r="C4094" s="12" t="inlineStr">
        <is>
          <t>BESS</t>
        </is>
      </c>
      <c r="D4094" s="12" t="inlineStr">
        <is>
          <t>34.5 kV collection loop 1</t>
        </is>
      </c>
      <c r="E4094" s="12" t="inlineStr"/>
      <c r="F4094" s="12" t="inlineStr">
        <is>
          <t>34.5 kV collector e-house (arc-resistant)</t>
        </is>
      </c>
      <c r="G4094" s="12" t="inlineStr"/>
      <c r="H4094" s="12" t="inlineStr">
        <is>
          <t>BESS PCS / MV skid</t>
        </is>
      </c>
      <c r="I4094" s="12" t="inlineStr">
        <is>
          <t>MV 35 kV</t>
        </is>
      </c>
      <c r="J4094" s="12" t="inlineStr">
        <is>
          <t>MV-105 35 kV 1/C Al, EPR 133%, 1/3 concentric neutral, LLDPE jacket</t>
        </is>
      </c>
      <c r="K4094" s="12" t="inlineStr">
        <is>
          <t>MV35|1/C|350</t>
        </is>
      </c>
      <c r="L4094" s="12" t="inlineStr">
        <is>
          <t>1/C</t>
        </is>
      </c>
      <c r="M4094" s="12" t="inlineStr">
        <is>
          <t>350 kcmil</t>
        </is>
      </c>
      <c r="N4094" s="12" t="n">
        <v>2</v>
      </c>
      <c r="O4094" s="12" t="n">
        <v>3</v>
      </c>
      <c r="P4094" s="12" t="n">
        <v>34500</v>
      </c>
      <c r="Q4094" s="12" t="n">
        <v>25000</v>
      </c>
      <c r="R4094" s="12" t="n">
        <v>418</v>
      </c>
      <c r="S4094" s="12" t="inlineStr">
        <is>
          <t>Duct bank</t>
        </is>
      </c>
      <c r="T4094" s="17" t="n">
        <v>254</v>
      </c>
      <c r="U4094" s="17" t="n">
        <v>103</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H-MV-0005</t>
        </is>
      </c>
      <c r="B4095" s="12" t="inlineStr">
        <is>
          <t>H</t>
        </is>
      </c>
      <c r="C4095" s="12" t="inlineStr">
        <is>
          <t>BESS</t>
        </is>
      </c>
      <c r="D4095" s="12" t="inlineStr">
        <is>
          <t>34.5 kV collection loop 1</t>
        </is>
      </c>
      <c r="E4095" s="12" t="inlineStr"/>
      <c r="F4095" s="12" t="inlineStr">
        <is>
          <t>BESS PCS / MV skid</t>
        </is>
      </c>
      <c r="G4095" s="12" t="inlineStr"/>
      <c r="H4095" s="12" t="inlineStr">
        <is>
          <t>BESS PCS / MV skid</t>
        </is>
      </c>
      <c r="I4095" s="12" t="inlineStr">
        <is>
          <t>MV 35 kV</t>
        </is>
      </c>
      <c r="J4095" s="12" t="inlineStr">
        <is>
          <t>MV-105 35 kV 1/C Al, EPR 133%, 1/3 concentric neutral, LLDPE jacket</t>
        </is>
      </c>
      <c r="K4095" s="12" t="inlineStr">
        <is>
          <t>MV35|1/C|350</t>
        </is>
      </c>
      <c r="L4095" s="12" t="inlineStr">
        <is>
          <t>1/C</t>
        </is>
      </c>
      <c r="M4095" s="12" t="inlineStr">
        <is>
          <t>350 kcmil</t>
        </is>
      </c>
      <c r="N4095" s="12" t="n">
        <v>2</v>
      </c>
      <c r="O4095" s="12" t="n">
        <v>3</v>
      </c>
      <c r="P4095" s="12" t="n">
        <v>34500</v>
      </c>
      <c r="Q4095" s="12" t="n">
        <v>25000</v>
      </c>
      <c r="R4095" s="12" t="n">
        <v>418</v>
      </c>
      <c r="S4095" s="12" t="inlineStr">
        <is>
          <t>Tray</t>
        </is>
      </c>
      <c r="T4095" s="17" t="n">
        <v>0</v>
      </c>
      <c r="U4095" s="17" t="n">
        <v>232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H-MV-0006</t>
        </is>
      </c>
      <c r="B4096" s="12" t="inlineStr">
        <is>
          <t>H</t>
        </is>
      </c>
      <c r="C4096" s="12" t="inlineStr">
        <is>
          <t>BESS</t>
        </is>
      </c>
      <c r="D4096" s="12" t="inlineStr">
        <is>
          <t>34.5 kV collection loop 1</t>
        </is>
      </c>
      <c r="E4096" s="12" t="inlineStr"/>
      <c r="F4096" s="12" t="inlineStr">
        <is>
          <t>BESS PCS / MV skid</t>
        </is>
      </c>
      <c r="G4096" s="12" t="inlineStr"/>
      <c r="H4096" s="12" t="inlineStr">
        <is>
          <t>BESS PCS / MV skid</t>
        </is>
      </c>
      <c r="I4096" s="12" t="inlineStr">
        <is>
          <t>MV 35 kV</t>
        </is>
      </c>
      <c r="J4096" s="12" t="inlineStr">
        <is>
          <t>MV-105 35 kV 1/C Al, EPR 133%, 1/3 concentric neutral, LLDPE jacket</t>
        </is>
      </c>
      <c r="K4096" s="12" t="inlineStr">
        <is>
          <t>MV35|1/C|350</t>
        </is>
      </c>
      <c r="L4096" s="12" t="inlineStr">
        <is>
          <t>1/C</t>
        </is>
      </c>
      <c r="M4096" s="12" t="inlineStr">
        <is>
          <t>350 kcmil</t>
        </is>
      </c>
      <c r="N4096" s="12" t="n">
        <v>2</v>
      </c>
      <c r="O4096" s="12" t="n">
        <v>3</v>
      </c>
      <c r="P4096" s="12" t="n">
        <v>34500</v>
      </c>
      <c r="Q4096" s="12" t="n">
        <v>25000</v>
      </c>
      <c r="R4096" s="12" t="n">
        <v>418</v>
      </c>
      <c r="S4096" s="12" t="inlineStr">
        <is>
          <t>Tray</t>
        </is>
      </c>
      <c r="T4096" s="17" t="n">
        <v>0</v>
      </c>
      <c r="U4096" s="17" t="n">
        <v>348</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H-MV-0007</t>
        </is>
      </c>
      <c r="B4097" s="12" t="inlineStr">
        <is>
          <t>H</t>
        </is>
      </c>
      <c r="C4097" s="12" t="inlineStr">
        <is>
          <t>BESS</t>
        </is>
      </c>
      <c r="D4097" s="12" t="inlineStr">
        <is>
          <t>34.5 kV collection loop 1</t>
        </is>
      </c>
      <c r="E4097" s="12" t="inlineStr"/>
      <c r="F4097" s="12" t="inlineStr">
        <is>
          <t>BESS PCS / MV skid</t>
        </is>
      </c>
      <c r="G4097" s="12" t="inlineStr"/>
      <c r="H4097" s="12" t="inlineStr">
        <is>
          <t>BESS PCS / MV skid</t>
        </is>
      </c>
      <c r="I4097" s="12" t="inlineStr">
        <is>
          <t>MV 35 kV</t>
        </is>
      </c>
      <c r="J4097" s="12" t="inlineStr">
        <is>
          <t>MV-105 35 kV 1/C Al, EPR 133%, 1/3 concentric neutral, LLDPE jacket</t>
        </is>
      </c>
      <c r="K4097" s="12" t="inlineStr">
        <is>
          <t>MV35|1/C|350</t>
        </is>
      </c>
      <c r="L4097" s="12" t="inlineStr">
        <is>
          <t>1/C</t>
        </is>
      </c>
      <c r="M4097" s="12" t="inlineStr">
        <is>
          <t>350 kcmil</t>
        </is>
      </c>
      <c r="N4097" s="12" t="n">
        <v>2</v>
      </c>
      <c r="O4097" s="12" t="n">
        <v>3</v>
      </c>
      <c r="P4097" s="12" t="n">
        <v>34500</v>
      </c>
      <c r="Q4097" s="12" t="n">
        <v>25000</v>
      </c>
      <c r="R4097" s="12" t="n">
        <v>418</v>
      </c>
      <c r="S4097" s="12" t="inlineStr">
        <is>
          <t>Tray</t>
        </is>
      </c>
      <c r="T4097" s="17" t="n">
        <v>0</v>
      </c>
      <c r="U4097" s="17" t="n">
        <v>208</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H-MV-0008</t>
        </is>
      </c>
      <c r="B4098" s="12" t="inlineStr">
        <is>
          <t>H</t>
        </is>
      </c>
      <c r="C4098" s="12" t="inlineStr">
        <is>
          <t>BESS</t>
        </is>
      </c>
      <c r="D4098" s="12" t="inlineStr">
        <is>
          <t>34.5 kV collection loop 1</t>
        </is>
      </c>
      <c r="E4098" s="12" t="inlineStr"/>
      <c r="F4098" s="12" t="inlineStr">
        <is>
          <t>BESS PCS / MV skid</t>
        </is>
      </c>
      <c r="G4098" s="12" t="inlineStr"/>
      <c r="H4098" s="12" t="inlineStr">
        <is>
          <t>BESS PCS / MV skid</t>
        </is>
      </c>
      <c r="I4098" s="12" t="inlineStr">
        <is>
          <t>MV 35 kV</t>
        </is>
      </c>
      <c r="J4098" s="12" t="inlineStr">
        <is>
          <t>MV-105 35 kV 1/C Al, EPR 133%, 1/3 concentric neutral, LLDPE jacket</t>
        </is>
      </c>
      <c r="K4098" s="12" t="inlineStr">
        <is>
          <t>MV35|1/C|350</t>
        </is>
      </c>
      <c r="L4098" s="12" t="inlineStr">
        <is>
          <t>1/C</t>
        </is>
      </c>
      <c r="M4098" s="12" t="inlineStr">
        <is>
          <t>350 kcmil</t>
        </is>
      </c>
      <c r="N4098" s="12" t="n">
        <v>2</v>
      </c>
      <c r="O4098" s="12" t="n">
        <v>3</v>
      </c>
      <c r="P4098" s="12" t="n">
        <v>34500</v>
      </c>
      <c r="Q4098" s="12" t="n">
        <v>25000</v>
      </c>
      <c r="R4098" s="12" t="n">
        <v>418</v>
      </c>
      <c r="S4098" s="12" t="inlineStr">
        <is>
          <t>Tray</t>
        </is>
      </c>
      <c r="T4098" s="17" t="n">
        <v>0</v>
      </c>
      <c r="U4098" s="17" t="n">
        <v>96</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H-MV-0009</t>
        </is>
      </c>
      <c r="B4099" s="12" t="inlineStr">
        <is>
          <t>H</t>
        </is>
      </c>
      <c r="C4099" s="12" t="inlineStr">
        <is>
          <t>BESS</t>
        </is>
      </c>
      <c r="D4099" s="12" t="inlineStr">
        <is>
          <t>34.5 kV collection loop 2</t>
        </is>
      </c>
      <c r="E4099" s="12" t="inlineStr"/>
      <c r="F4099" s="12" t="inlineStr">
        <is>
          <t>34.5 kV collector e-house (arc-resistant)</t>
        </is>
      </c>
      <c r="G4099" s="12" t="inlineStr"/>
      <c r="H4099" s="12" t="inlineStr">
        <is>
          <t>BESS PCS / MV skid</t>
        </is>
      </c>
      <c r="I4099" s="12" t="inlineStr">
        <is>
          <t>MV 35 kV</t>
        </is>
      </c>
      <c r="J4099" s="12" t="inlineStr">
        <is>
          <t>MV-105 35 kV 1/C Al, EPR 133%, 1/3 concentric neutral, LLDPE jacket</t>
        </is>
      </c>
      <c r="K4099" s="12" t="inlineStr">
        <is>
          <t>MV35|1/C|350</t>
        </is>
      </c>
      <c r="L4099" s="12" t="inlineStr">
        <is>
          <t>1/C</t>
        </is>
      </c>
      <c r="M4099" s="12" t="inlineStr">
        <is>
          <t>350 kcmil</t>
        </is>
      </c>
      <c r="N4099" s="12" t="n">
        <v>2</v>
      </c>
      <c r="O4099" s="12" t="n">
        <v>3</v>
      </c>
      <c r="P4099" s="12" t="n">
        <v>34500</v>
      </c>
      <c r="Q4099" s="12" t="n">
        <v>25000</v>
      </c>
      <c r="R4099" s="12" t="n">
        <v>418</v>
      </c>
      <c r="S4099" s="12" t="inlineStr">
        <is>
          <t>Duct bank</t>
        </is>
      </c>
      <c r="T4099" s="17" t="n">
        <v>35</v>
      </c>
      <c r="U4099" s="17" t="n">
        <v>185</v>
      </c>
      <c r="V4099" s="17">
        <f>ROUNDUP((T4099+U4099+2*'Read Me'!$B$13)*(1+'Read Me'!$B$12),-1)</f>
        <v/>
      </c>
      <c r="W4099" s="17">
        <f>V4099*N4099*O4099</f>
        <v/>
      </c>
      <c r="X4099" s="12">
        <f>IF(LEFT(I4099,2)="MV",2*N4099*IF(L4099="1/C",O4099,1),0)</f>
        <v/>
      </c>
      <c r="Y4099" s="12">
        <f>IF(OR(LEFT(K4099,4)="LVAX",LEFT(K4099,6)="MV15AX",LEFT(K4099,4)="CTAX",LEFT(K4099,2)="W|"),2*N4099*O4099,0)</f>
        <v/>
      </c>
      <c r="Z4099" s="12" t="inlineStr"/>
      <c r="AA4099" s="12">
        <f>N4099*O4099</f>
        <v/>
      </c>
    </row>
    <row r="4100">
      <c r="A4100" s="12" t="inlineStr">
        <is>
          <t>H-MV-0010</t>
        </is>
      </c>
      <c r="B4100" s="12" t="inlineStr">
        <is>
          <t>H</t>
        </is>
      </c>
      <c r="C4100" s="12" t="inlineStr">
        <is>
          <t>BESS</t>
        </is>
      </c>
      <c r="D4100" s="12" t="inlineStr">
        <is>
          <t>34.5 kV collection loop 2</t>
        </is>
      </c>
      <c r="E4100" s="12" t="inlineStr"/>
      <c r="F4100" s="12" t="inlineStr">
        <is>
          <t>BESS PCS / MV skid</t>
        </is>
      </c>
      <c r="G4100" s="12" t="inlineStr"/>
      <c r="H4100" s="12" t="inlineStr">
        <is>
          <t>BESS PCS / MV skid</t>
        </is>
      </c>
      <c r="I4100" s="12" t="inlineStr">
        <is>
          <t>MV 35 kV</t>
        </is>
      </c>
      <c r="J4100" s="12" t="inlineStr">
        <is>
          <t>MV-105 35 kV 1/C Al, EPR 133%, 1/3 concentric neutral, LLDPE jacket</t>
        </is>
      </c>
      <c r="K4100" s="12" t="inlineStr">
        <is>
          <t>MV35|1/C|350</t>
        </is>
      </c>
      <c r="L4100" s="12" t="inlineStr">
        <is>
          <t>1/C</t>
        </is>
      </c>
      <c r="M4100" s="12" t="inlineStr">
        <is>
          <t>350 kcmil</t>
        </is>
      </c>
      <c r="N4100" s="12" t="n">
        <v>2</v>
      </c>
      <c r="O4100" s="12" t="n">
        <v>3</v>
      </c>
      <c r="P4100" s="12" t="n">
        <v>34500</v>
      </c>
      <c r="Q4100" s="12" t="n">
        <v>25000</v>
      </c>
      <c r="R4100" s="12" t="n">
        <v>418</v>
      </c>
      <c r="S4100" s="12" t="inlineStr">
        <is>
          <t>Tray</t>
        </is>
      </c>
      <c r="T4100" s="17" t="n">
        <v>0</v>
      </c>
      <c r="U4100" s="17" t="n">
        <v>272</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H-MV-0011</t>
        </is>
      </c>
      <c r="B4101" s="12" t="inlineStr">
        <is>
          <t>H</t>
        </is>
      </c>
      <c r="C4101" s="12" t="inlineStr">
        <is>
          <t>BESS</t>
        </is>
      </c>
      <c r="D4101" s="12" t="inlineStr">
        <is>
          <t>34.5 kV collection loop 2</t>
        </is>
      </c>
      <c r="E4101" s="12" t="inlineStr"/>
      <c r="F4101" s="12" t="inlineStr">
        <is>
          <t>BESS PCS / MV skid</t>
        </is>
      </c>
      <c r="G4101" s="12" t="inlineStr"/>
      <c r="H4101" s="12" t="inlineStr">
        <is>
          <t>BESS PCS / MV skid</t>
        </is>
      </c>
      <c r="I4101" s="12" t="inlineStr">
        <is>
          <t>MV 35 kV</t>
        </is>
      </c>
      <c r="J4101" s="12" t="inlineStr">
        <is>
          <t>MV-105 35 kV 1/C Al, EPR 133%, 1/3 concentric neutral, LLDPE jacket</t>
        </is>
      </c>
      <c r="K4101" s="12" t="inlineStr">
        <is>
          <t>MV35|1/C|350</t>
        </is>
      </c>
      <c r="L4101" s="12" t="inlineStr">
        <is>
          <t>1/C</t>
        </is>
      </c>
      <c r="M4101" s="12" t="inlineStr">
        <is>
          <t>350 kcmil</t>
        </is>
      </c>
      <c r="N4101" s="12" t="n">
        <v>2</v>
      </c>
      <c r="O4101" s="12" t="n">
        <v>3</v>
      </c>
      <c r="P4101" s="12" t="n">
        <v>34500</v>
      </c>
      <c r="Q4101" s="12" t="n">
        <v>25000</v>
      </c>
      <c r="R4101" s="12" t="n">
        <v>418</v>
      </c>
      <c r="S4101" s="12" t="inlineStr">
        <is>
          <t>Tray</t>
        </is>
      </c>
      <c r="T4101" s="17" t="n">
        <v>0</v>
      </c>
      <c r="U4101" s="17" t="n">
        <v>388</v>
      </c>
      <c r="V4101" s="17">
        <f>ROUNDUP((T4101+U4101+2*'Read Me'!$B$13)*(1+'Read Me'!$B$12),-1)</f>
        <v/>
      </c>
      <c r="W4101" s="17">
        <f>V4101*N4101*O4101</f>
        <v/>
      </c>
      <c r="X4101" s="12">
        <f>IF(LEFT(I4101,2)="MV",2*N4101*IF(L4101="1/C",O4101,1),0)</f>
        <v/>
      </c>
      <c r="Y4101" s="12">
        <f>IF(OR(LEFT(K4101,4)="LVAX",LEFT(K4101,6)="MV15AX",LEFT(K4101,4)="CTAX",LEFT(K4101,2)="W|"),2*N4101*O4101,0)</f>
        <v/>
      </c>
      <c r="Z4101" s="12" t="inlineStr"/>
      <c r="AA4101" s="12">
        <f>N4101*O4101</f>
        <v/>
      </c>
    </row>
    <row r="4102">
      <c r="A4102" s="12" t="inlineStr">
        <is>
          <t>H-MV-0012</t>
        </is>
      </c>
      <c r="B4102" s="12" t="inlineStr">
        <is>
          <t>H</t>
        </is>
      </c>
      <c r="C4102" s="12" t="inlineStr">
        <is>
          <t>BESS</t>
        </is>
      </c>
      <c r="D4102" s="12" t="inlineStr">
        <is>
          <t>34.5 kV collection loop 2</t>
        </is>
      </c>
      <c r="E4102" s="12" t="inlineStr"/>
      <c r="F4102" s="12" t="inlineStr">
        <is>
          <t>BESS PCS / MV skid</t>
        </is>
      </c>
      <c r="G4102" s="12" t="inlineStr"/>
      <c r="H4102" s="12" t="inlineStr">
        <is>
          <t>BESS PCS / MV skid</t>
        </is>
      </c>
      <c r="I4102" s="12" t="inlineStr">
        <is>
          <t>MV 35 kV</t>
        </is>
      </c>
      <c r="J4102" s="12" t="inlineStr">
        <is>
          <t>MV-105 35 kV 1/C Al, EPR 133%, 1/3 concentric neutral, LLDPE jacket</t>
        </is>
      </c>
      <c r="K4102" s="12" t="inlineStr">
        <is>
          <t>MV35|1/C|350</t>
        </is>
      </c>
      <c r="L4102" s="12" t="inlineStr">
        <is>
          <t>1/C</t>
        </is>
      </c>
      <c r="M4102" s="12" t="inlineStr">
        <is>
          <t>350 kcmil</t>
        </is>
      </c>
      <c r="N4102" s="12" t="n">
        <v>2</v>
      </c>
      <c r="O4102" s="12" t="n">
        <v>3</v>
      </c>
      <c r="P4102" s="12" t="n">
        <v>34500</v>
      </c>
      <c r="Q4102" s="12" t="n">
        <v>25000</v>
      </c>
      <c r="R4102" s="12" t="n">
        <v>418</v>
      </c>
      <c r="S4102" s="12" t="inlineStr">
        <is>
          <t>Tray</t>
        </is>
      </c>
      <c r="T4102" s="17" t="n">
        <v>0</v>
      </c>
      <c r="U4102" s="17" t="n">
        <v>208</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H-MV-0013</t>
        </is>
      </c>
      <c r="B4103" s="12" t="inlineStr">
        <is>
          <t>H</t>
        </is>
      </c>
      <c r="C4103" s="12" t="inlineStr">
        <is>
          <t>BESS</t>
        </is>
      </c>
      <c r="D4103" s="12" t="inlineStr">
        <is>
          <t>34.5 kV collection loop 2</t>
        </is>
      </c>
      <c r="E4103" s="12" t="inlineStr"/>
      <c r="F4103" s="12" t="inlineStr">
        <is>
          <t>BESS PCS / MV skid</t>
        </is>
      </c>
      <c r="G4103" s="12" t="inlineStr"/>
      <c r="H4103" s="12" t="inlineStr">
        <is>
          <t>BESS PCS / MV skid</t>
        </is>
      </c>
      <c r="I4103" s="12" t="inlineStr">
        <is>
          <t>MV 35 kV</t>
        </is>
      </c>
      <c r="J4103" s="12" t="inlineStr">
        <is>
          <t>MV-105 35 kV 1/C Al, EPR 133%, 1/3 concentric neutral, LLDPE jacket</t>
        </is>
      </c>
      <c r="K4103" s="12" t="inlineStr">
        <is>
          <t>MV35|1/C|350</t>
        </is>
      </c>
      <c r="L4103" s="12" t="inlineStr">
        <is>
          <t>1/C</t>
        </is>
      </c>
      <c r="M4103" s="12" t="inlineStr">
        <is>
          <t>350 kcmil</t>
        </is>
      </c>
      <c r="N4103" s="12" t="n">
        <v>2</v>
      </c>
      <c r="O4103" s="12" t="n">
        <v>3</v>
      </c>
      <c r="P4103" s="12" t="n">
        <v>34500</v>
      </c>
      <c r="Q4103" s="12" t="n">
        <v>25000</v>
      </c>
      <c r="R4103" s="12" t="n">
        <v>418</v>
      </c>
      <c r="S4103" s="12" t="inlineStr">
        <is>
          <t>Tray</t>
        </is>
      </c>
      <c r="T4103" s="17" t="n">
        <v>0</v>
      </c>
      <c r="U4103" s="17" t="n">
        <v>96</v>
      </c>
      <c r="V4103" s="17">
        <f>ROUNDUP((T4103+U4103+2*'Read Me'!$B$13)*(1+'Read Me'!$B$12),-1)</f>
        <v/>
      </c>
      <c r="W4103" s="17">
        <f>V4103*N4103*O4103</f>
        <v/>
      </c>
      <c r="X4103" s="12">
        <f>IF(LEFT(I4103,2)="MV",2*N4103*IF(L4103="1/C",O4103,1),0)</f>
        <v/>
      </c>
      <c r="Y4103" s="12">
        <f>IF(OR(LEFT(K4103,4)="LVAX",LEFT(K4103,6)="MV15AX",LEFT(K4103,4)="CTAX",LEFT(K4103,2)="W|"),2*N4103*O4103,0)</f>
        <v/>
      </c>
      <c r="Z4103" s="12" t="inlineStr"/>
      <c r="AA4103" s="12">
        <f>N4103*O4103</f>
        <v/>
      </c>
    </row>
    <row r="4104">
      <c r="A4104" s="12" t="inlineStr">
        <is>
          <t>H-MV-0014</t>
        </is>
      </c>
      <c r="B4104" s="12" t="inlineStr">
        <is>
          <t>H</t>
        </is>
      </c>
      <c r="C4104" s="12" t="inlineStr">
        <is>
          <t>BESS</t>
        </is>
      </c>
      <c r="D4104" s="12" t="inlineStr">
        <is>
          <t>34.5 kV collection loop 3</t>
        </is>
      </c>
      <c r="E4104" s="12" t="inlineStr"/>
      <c r="F4104" s="12" t="inlineStr">
        <is>
          <t>34.5 kV collector e-house (arc-resistant)</t>
        </is>
      </c>
      <c r="G4104" s="12" t="inlineStr"/>
      <c r="H4104" s="12" t="inlineStr">
        <is>
          <t>BESS PCS / MV skid</t>
        </is>
      </c>
      <c r="I4104" s="12" t="inlineStr">
        <is>
          <t>MV 35 kV</t>
        </is>
      </c>
      <c r="J4104" s="12" t="inlineStr">
        <is>
          <t>MV-105 35 kV 1/C Al, EPR 133%, 1/3 concentric neutral, LLDPE jacket</t>
        </is>
      </c>
      <c r="K4104" s="12" t="inlineStr">
        <is>
          <t>MV35|1/C|350</t>
        </is>
      </c>
      <c r="L4104" s="12" t="inlineStr">
        <is>
          <t>1/C</t>
        </is>
      </c>
      <c r="M4104" s="12" t="inlineStr">
        <is>
          <t>350 kcmil</t>
        </is>
      </c>
      <c r="N4104" s="12" t="n">
        <v>2</v>
      </c>
      <c r="O4104" s="12" t="n">
        <v>3</v>
      </c>
      <c r="P4104" s="12" t="n">
        <v>34500</v>
      </c>
      <c r="Q4104" s="12" t="n">
        <v>25000</v>
      </c>
      <c r="R4104" s="12" t="n">
        <v>418</v>
      </c>
      <c r="S4104" s="12" t="inlineStr">
        <is>
          <t>Duct bank</t>
        </is>
      </c>
      <c r="T4104" s="17" t="n">
        <v>24</v>
      </c>
      <c r="U4104" s="17" t="n">
        <v>123</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H-MV-0015</t>
        </is>
      </c>
      <c r="B4105" s="12" t="inlineStr">
        <is>
          <t>H</t>
        </is>
      </c>
      <c r="C4105" s="12" t="inlineStr">
        <is>
          <t>BESS</t>
        </is>
      </c>
      <c r="D4105" s="12" t="inlineStr">
        <is>
          <t>34.5 kV collection loop 3</t>
        </is>
      </c>
      <c r="E4105" s="12" t="inlineStr"/>
      <c r="F4105" s="12" t="inlineStr">
        <is>
          <t>BESS PCS / MV skid</t>
        </is>
      </c>
      <c r="G4105" s="12" t="inlineStr"/>
      <c r="H4105" s="12" t="inlineStr">
        <is>
          <t>BESS PCS / MV skid</t>
        </is>
      </c>
      <c r="I4105" s="12" t="inlineStr">
        <is>
          <t>MV 35 kV</t>
        </is>
      </c>
      <c r="J4105" s="12" t="inlineStr">
        <is>
          <t>MV-105 35 kV 1/C Al, EPR 133%, 1/3 concentric neutral, LLDPE jacket</t>
        </is>
      </c>
      <c r="K4105" s="12" t="inlineStr">
        <is>
          <t>MV35|1/C|350</t>
        </is>
      </c>
      <c r="L4105" s="12" t="inlineStr">
        <is>
          <t>1/C</t>
        </is>
      </c>
      <c r="M4105" s="12" t="inlineStr">
        <is>
          <t>350 kcmil</t>
        </is>
      </c>
      <c r="N4105" s="12" t="n">
        <v>2</v>
      </c>
      <c r="O4105" s="12" t="n">
        <v>3</v>
      </c>
      <c r="P4105" s="12" t="n">
        <v>34500</v>
      </c>
      <c r="Q4105" s="12" t="n">
        <v>25000</v>
      </c>
      <c r="R4105" s="12" t="n">
        <v>418</v>
      </c>
      <c r="S4105" s="12" t="inlineStr">
        <is>
          <t>Tray</t>
        </is>
      </c>
      <c r="T4105" s="17" t="n">
        <v>0</v>
      </c>
      <c r="U4105" s="17" t="n">
        <v>240</v>
      </c>
      <c r="V4105" s="17">
        <f>ROUNDUP((T4105+U4105+2*'Read Me'!$B$13)*(1+'Read Me'!$B$12),-1)</f>
        <v/>
      </c>
      <c r="W4105" s="17">
        <f>V4105*N4105*O4105</f>
        <v/>
      </c>
      <c r="X4105" s="12">
        <f>IF(LEFT(I4105,2)="MV",2*N4105*IF(L4105="1/C",O4105,1),0)</f>
        <v/>
      </c>
      <c r="Y4105" s="12">
        <f>IF(OR(LEFT(K4105,4)="LVAX",LEFT(K4105,6)="MV15AX",LEFT(K4105,4)="CTAX",LEFT(K4105,2)="W|"),2*N4105*O4105,0)</f>
        <v/>
      </c>
      <c r="Z4105" s="12" t="inlineStr"/>
      <c r="AA4105" s="12">
        <f>N4105*O4105</f>
        <v/>
      </c>
    </row>
    <row r="4106">
      <c r="A4106" s="12" t="inlineStr">
        <is>
          <t>H-MV-0016</t>
        </is>
      </c>
      <c r="B4106" s="12" t="inlineStr">
        <is>
          <t>H</t>
        </is>
      </c>
      <c r="C4106" s="12" t="inlineStr">
        <is>
          <t>BESS</t>
        </is>
      </c>
      <c r="D4106" s="12" t="inlineStr">
        <is>
          <t>34.5 kV collection loop 3</t>
        </is>
      </c>
      <c r="E4106" s="12" t="inlineStr"/>
      <c r="F4106" s="12" t="inlineStr">
        <is>
          <t>BESS PCS / MV skid</t>
        </is>
      </c>
      <c r="G4106" s="12" t="inlineStr"/>
      <c r="H4106" s="12" t="inlineStr">
        <is>
          <t>BESS PCS / MV skid</t>
        </is>
      </c>
      <c r="I4106" s="12" t="inlineStr">
        <is>
          <t>MV 35 kV</t>
        </is>
      </c>
      <c r="J4106" s="12" t="inlineStr">
        <is>
          <t>MV-105 35 kV 1/C Al, EPR 133%, 1/3 concentric neutral, LLDPE jacket</t>
        </is>
      </c>
      <c r="K4106" s="12" t="inlineStr">
        <is>
          <t>MV35|1/C|350</t>
        </is>
      </c>
      <c r="L4106" s="12" t="inlineStr">
        <is>
          <t>1/C</t>
        </is>
      </c>
      <c r="M4106" s="12" t="inlineStr">
        <is>
          <t>350 kcmil</t>
        </is>
      </c>
      <c r="N4106" s="12" t="n">
        <v>2</v>
      </c>
      <c r="O4106" s="12" t="n">
        <v>3</v>
      </c>
      <c r="P4106" s="12" t="n">
        <v>34500</v>
      </c>
      <c r="Q4106" s="12" t="n">
        <v>25000</v>
      </c>
      <c r="R4106" s="12" t="n">
        <v>418</v>
      </c>
      <c r="S4106" s="12" t="inlineStr">
        <is>
          <t>Duct bank</t>
        </is>
      </c>
      <c r="T4106" s="17" t="n">
        <v>306</v>
      </c>
      <c r="U4106" s="17" t="n">
        <v>282</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H-MV-0017</t>
        </is>
      </c>
      <c r="B4107" s="12" t="inlineStr">
        <is>
          <t>H</t>
        </is>
      </c>
      <c r="C4107" s="12" t="inlineStr">
        <is>
          <t>BESS</t>
        </is>
      </c>
      <c r="D4107" s="12" t="inlineStr">
        <is>
          <t>34.5 kV collection loop 3</t>
        </is>
      </c>
      <c r="E4107" s="12" t="inlineStr"/>
      <c r="F4107" s="12" t="inlineStr">
        <is>
          <t>BESS PCS / MV skid</t>
        </is>
      </c>
      <c r="G4107" s="12" t="inlineStr"/>
      <c r="H4107" s="12" t="inlineStr">
        <is>
          <t>BESS PCS / MV skid</t>
        </is>
      </c>
      <c r="I4107" s="12" t="inlineStr">
        <is>
          <t>MV 35 kV</t>
        </is>
      </c>
      <c r="J4107" s="12" t="inlineStr">
        <is>
          <t>MV-105 35 kV 1/C Al, EPR 133%, 1/3 concentric neutral, LLDPE jacket</t>
        </is>
      </c>
      <c r="K4107" s="12" t="inlineStr">
        <is>
          <t>MV35|1/C|350</t>
        </is>
      </c>
      <c r="L4107" s="12" t="inlineStr">
        <is>
          <t>1/C</t>
        </is>
      </c>
      <c r="M4107" s="12" t="inlineStr">
        <is>
          <t>350 kcmil</t>
        </is>
      </c>
      <c r="N4107" s="12" t="n">
        <v>2</v>
      </c>
      <c r="O4107" s="12" t="n">
        <v>3</v>
      </c>
      <c r="P4107" s="12" t="n">
        <v>34500</v>
      </c>
      <c r="Q4107" s="12" t="n">
        <v>25000</v>
      </c>
      <c r="R4107" s="12" t="n">
        <v>418</v>
      </c>
      <c r="S4107" s="12" t="inlineStr">
        <is>
          <t>Tray</t>
        </is>
      </c>
      <c r="T4107" s="17" t="n">
        <v>0</v>
      </c>
      <c r="U4107" s="17" t="n">
        <v>208</v>
      </c>
      <c r="V4107" s="17">
        <f>ROUNDUP((T4107+U4107+2*'Read Me'!$B$13)*(1+'Read Me'!$B$12),-1)</f>
        <v/>
      </c>
      <c r="W4107" s="17">
        <f>V4107*N4107*O4107</f>
        <v/>
      </c>
      <c r="X4107" s="12">
        <f>IF(LEFT(I4107,2)="MV",2*N4107*IF(L4107="1/C",O4107,1),0)</f>
        <v/>
      </c>
      <c r="Y4107" s="12">
        <f>IF(OR(LEFT(K4107,4)="LVAX",LEFT(K4107,6)="MV15AX",LEFT(K4107,4)="CTAX",LEFT(K4107,2)="W|"),2*N4107*O4107,0)</f>
        <v/>
      </c>
      <c r="Z4107" s="12" t="inlineStr"/>
      <c r="AA4107" s="12">
        <f>N4107*O4107</f>
        <v/>
      </c>
    </row>
    <row r="4108">
      <c r="A4108" s="12" t="inlineStr">
        <is>
          <t>H-MV-0018</t>
        </is>
      </c>
      <c r="B4108" s="12" t="inlineStr">
        <is>
          <t>H</t>
        </is>
      </c>
      <c r="C4108" s="12" t="inlineStr">
        <is>
          <t>BESS</t>
        </is>
      </c>
      <c r="D4108" s="12" t="inlineStr">
        <is>
          <t>34.5 kV collection loop 3</t>
        </is>
      </c>
      <c r="E4108" s="12" t="inlineStr"/>
      <c r="F4108" s="12" t="inlineStr">
        <is>
          <t>BESS PCS / MV skid</t>
        </is>
      </c>
      <c r="G4108" s="12" t="inlineStr"/>
      <c r="H4108" s="12" t="inlineStr">
        <is>
          <t>BESS PCS / MV skid</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Tray</t>
        </is>
      </c>
      <c r="T4108" s="17" t="n">
        <v>0</v>
      </c>
      <c r="U4108" s="17" t="n">
        <v>96</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H-MV-0019</t>
        </is>
      </c>
      <c r="B4109" s="12" t="inlineStr">
        <is>
          <t>H</t>
        </is>
      </c>
      <c r="C4109" s="12" t="inlineStr">
        <is>
          <t>BESS</t>
        </is>
      </c>
      <c r="D4109" s="12" t="inlineStr">
        <is>
          <t>BESS MPT 34.5 kV side</t>
        </is>
      </c>
      <c r="E4109" s="12" t="inlineStr"/>
      <c r="F4109" s="12" t="inlineStr">
        <is>
          <t>34.5 kV collector e-house (arc-resistant)</t>
        </is>
      </c>
      <c r="G4109" s="12" t="inlineStr">
        <is>
          <t>BESS MPT</t>
        </is>
      </c>
      <c r="H4109" s="12" t="inlineStr">
        <is>
          <t>BESS main power transformer 34.5/230 kV (to D4 upper)</t>
        </is>
      </c>
      <c r="I4109" s="12" t="inlineStr">
        <is>
          <t>MV 35 kV</t>
        </is>
      </c>
      <c r="J4109" s="12" t="inlineStr">
        <is>
          <t>MV-105 35 kV 1/C Al, EPR 133%, 1/3 concentric neutral, LLDPE jacket</t>
        </is>
      </c>
      <c r="K4109" s="12" t="inlineStr">
        <is>
          <t>MV35|1/C|750</t>
        </is>
      </c>
      <c r="L4109" s="12" t="inlineStr">
        <is>
          <t>1/C</t>
        </is>
      </c>
      <c r="M4109" s="12" t="inlineStr">
        <is>
          <t>750 kcmil</t>
        </is>
      </c>
      <c r="N4109" s="12" t="n">
        <v>5</v>
      </c>
      <c r="O4109" s="12" t="n">
        <v>3</v>
      </c>
      <c r="P4109" s="12" t="n">
        <v>34500</v>
      </c>
      <c r="Q4109" s="12" t="n">
        <v>100000</v>
      </c>
      <c r="R4109" s="12" t="n">
        <v>1674</v>
      </c>
      <c r="S4109" s="12" t="inlineStr">
        <is>
          <t>Duct bank</t>
        </is>
      </c>
      <c r="T4109" s="17" t="n">
        <v>35</v>
      </c>
      <c r="U4109" s="17" t="n">
        <v>32</v>
      </c>
      <c r="V4109" s="17">
        <f>ROUNDUP((T4109+U4109+2*'Read Me'!$B$13)*(1+'Read Me'!$B$12),-1)</f>
        <v/>
      </c>
      <c r="W4109" s="17">
        <f>V4109*N4109*O4109</f>
        <v/>
      </c>
      <c r="X4109" s="12">
        <f>IF(LEFT(I4109,2)="MV",2*N4109*IF(L4109="1/C",O4109,1),0)</f>
        <v/>
      </c>
      <c r="Y4109" s="12">
        <f>IF(OR(LEFT(K4109,4)="LVAX",LEFT(K4109,6)="MV15AX",LEFT(K4109,4)="CTAX",LEFT(K4109,2)="W|"),2*N4109*O4109,0)</f>
        <v/>
      </c>
      <c r="Z4109" s="12" t="inlineStr">
        <is>
          <t>100 MVA (typ.)</t>
        </is>
      </c>
      <c r="AA4109" s="12">
        <f>N4109*O4109</f>
        <v/>
      </c>
    </row>
    <row r="4110">
      <c r="A4110" s="12" t="inlineStr">
        <is>
          <t>H-MV-0020</t>
        </is>
      </c>
      <c r="B4110" s="12" t="inlineStr">
        <is>
          <t>H</t>
        </is>
      </c>
      <c r="C4110" s="12" t="inlineStr">
        <is>
          <t>BESS</t>
        </is>
      </c>
      <c r="D4110" s="12" t="inlineStr">
        <is>
          <t>Grounding transformer connection (34.5 kV)</t>
        </is>
      </c>
      <c r="E4110" s="12" t="inlineStr"/>
      <c r="F4110" s="12" t="inlineStr">
        <is>
          <t>34.5 kV collector e-house (arc-resistant)</t>
        </is>
      </c>
      <c r="G4110" s="12" t="inlineStr"/>
      <c r="H4110" s="12" t="inlineStr">
        <is>
          <t>CONDITIONAL: grounding transformer</t>
        </is>
      </c>
      <c r="I4110" s="12" t="inlineStr">
        <is>
          <t>MV 35 kV</t>
        </is>
      </c>
      <c r="J4110" s="12" t="inlineStr">
        <is>
          <t>MV-105 35 kV 1/C Al, EPR 133%, 1/3 concentric neutral, LLDPE jacket</t>
        </is>
      </c>
      <c r="K4110" s="12" t="inlineStr">
        <is>
          <t>MV35|1/C|2</t>
        </is>
      </c>
      <c r="L4110" s="12" t="inlineStr">
        <is>
          <t>1/C</t>
        </is>
      </c>
      <c r="M4110" s="12" t="inlineStr">
        <is>
          <t>2</t>
        </is>
      </c>
      <c r="N4110" s="12" t="n">
        <v>1</v>
      </c>
      <c r="O4110" s="12" t="n">
        <v>3</v>
      </c>
      <c r="P4110" s="12" t="n">
        <v>34500</v>
      </c>
      <c r="Q4110" s="12" t="n">
        <v>2000</v>
      </c>
      <c r="R4110" s="12" t="n">
        <v>33</v>
      </c>
      <c r="S4110" s="12" t="inlineStr">
        <is>
          <t>Duct bank</t>
        </is>
      </c>
      <c r="T4110" s="17" t="n">
        <v>234</v>
      </c>
      <c r="U4110" s="17" t="n">
        <v>87</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I-L-0001</t>
        </is>
      </c>
      <c r="B4111" s="12" t="inlineStr">
        <is>
          <t>I</t>
        </is>
      </c>
      <c r="C4111" s="12" t="inlineStr">
        <is>
          <t>Modular / portable power</t>
        </is>
      </c>
      <c r="D4111" s="12" t="inlineStr">
        <is>
          <t>Lighting, receptacles and small power branch circuits (allowance)</t>
        </is>
      </c>
      <c r="E4111" s="12" t="inlineStr"/>
      <c r="F4111" s="12" t="inlineStr">
        <is>
          <t>Lube oil / starting air / oily water building</t>
        </is>
      </c>
      <c r="G4111" s="12" t="inlineStr"/>
      <c r="H4111" s="12" t="inlineStr">
        <is>
          <t>Lube oil / starting air / oily water building</t>
        </is>
      </c>
      <c r="I4111" s="12" t="inlineStr">
        <is>
          <t>Building wire</t>
        </is>
      </c>
      <c r="J4111" s="12" t="inlineStr">
        <is>
          <t>SIMpull THHN/THWN-2 600 V 1/C Cu (lighting, receptacles, small power)</t>
        </is>
      </c>
      <c r="K4111" s="12" t="inlineStr">
        <is>
          <t>THHN|1/C|12</t>
        </is>
      </c>
      <c r="L4111" s="12" t="inlineStr">
        <is>
          <t>1/C</t>
        </is>
      </c>
      <c r="M4111" s="12" t="inlineStr">
        <is>
          <t>12</t>
        </is>
      </c>
      <c r="N4111" s="12" t="n">
        <v>1</v>
      </c>
      <c r="O4111" s="12" t="n">
        <v>1</v>
      </c>
      <c r="P4111" s="12" t="n">
        <v>277</v>
      </c>
      <c r="Q4111" s="12" t="n"/>
      <c r="R4111" s="12" t="n"/>
      <c r="S4111" s="12" t="inlineStr">
        <is>
          <t>Conduit</t>
        </is>
      </c>
      <c r="T4111" s="17" t="n">
        <v>10560</v>
      </c>
      <c r="U4111" s="17" t="n">
        <v>0</v>
      </c>
      <c r="V4111" s="17">
        <f>ROUNDUP((T4111+U4111+2*'Read Me'!$B$13)*(1+'Read Me'!$B$12),-1)</f>
        <v/>
      </c>
      <c r="W4111" s="17">
        <f>V4111*N4111*O4111</f>
        <v/>
      </c>
      <c r="X4111" s="12">
        <f>IF(LEFT(I4111,2)="MV",2*N4111*IF(L4111="1/C",O4111,1),0)</f>
        <v/>
      </c>
      <c r="Y4111" s="12">
        <f>IF(OR(LEFT(K4111,4)="LVAX",LEFT(K4111,6)="MV15AX",LEFT(K4111,4)="CTAX",LEFT(K4111,2)="W|"),2*N4111*O4111,0)</f>
        <v/>
      </c>
      <c r="Z4111" s="12" t="inlineStr">
        <is>
          <t>allowance: 1.6 ft of conductor per ft2 of floor</t>
        </is>
      </c>
      <c r="AA4111" s="12">
        <f>N4111*O4111</f>
        <v/>
      </c>
    </row>
    <row r="4112">
      <c r="A4112" s="12" t="inlineStr">
        <is>
          <t>I-L-0002</t>
        </is>
      </c>
      <c r="B4112" s="12" t="inlineStr">
        <is>
          <t>I</t>
        </is>
      </c>
      <c r="C4112" s="12" t="inlineStr">
        <is>
          <t>Modular / portable power</t>
        </is>
      </c>
      <c r="D4112" s="12" t="inlineStr">
        <is>
          <t>Lighting, receptacles and small power branch circuits (allowance)</t>
        </is>
      </c>
      <c r="E4112" s="12" t="inlineStr">
        <is>
          <t>MOD-EH</t>
        </is>
      </c>
      <c r="F4112" s="12" t="inlineStr">
        <is>
          <t>MOD-EH: 13.8 kV modular collector e-house</t>
        </is>
      </c>
      <c r="G4112" s="12" t="inlineStr">
        <is>
          <t>MOD-EH</t>
        </is>
      </c>
      <c r="H4112" s="12" t="inlineStr">
        <is>
          <t>MOD-EH: 13.8 kV modular collector e-house</t>
        </is>
      </c>
      <c r="I4112" s="12" t="inlineStr">
        <is>
          <t>Building wire</t>
        </is>
      </c>
      <c r="J4112" s="12" t="inlineStr">
        <is>
          <t>SIMpull THHN/THWN-2 600 V 1/C Cu (lighting, receptacles, small power)</t>
        </is>
      </c>
      <c r="K4112" s="12" t="inlineStr">
        <is>
          <t>THHN|1/C|12</t>
        </is>
      </c>
      <c r="L4112" s="12" t="inlineStr">
        <is>
          <t>1/C</t>
        </is>
      </c>
      <c r="M4112" s="12" t="inlineStr">
        <is>
          <t>12</t>
        </is>
      </c>
      <c r="N4112" s="12" t="n">
        <v>1</v>
      </c>
      <c r="O4112" s="12" t="n">
        <v>1</v>
      </c>
      <c r="P4112" s="12" t="n">
        <v>277</v>
      </c>
      <c r="Q4112" s="12" t="n"/>
      <c r="R4112" s="12" t="n"/>
      <c r="S4112" s="12" t="inlineStr">
        <is>
          <t>Conduit</t>
        </is>
      </c>
      <c r="T4112" s="17" t="n">
        <v>2560</v>
      </c>
      <c r="U4112" s="17" t="n">
        <v>0</v>
      </c>
      <c r="V4112" s="17">
        <f>ROUNDUP((T4112+U4112+2*'Read Me'!$B$13)*(1+'Read Me'!$B$12),-1)</f>
        <v/>
      </c>
      <c r="W4112" s="17">
        <f>V4112*N4112*O4112</f>
        <v/>
      </c>
      <c r="X4112" s="12">
        <f>IF(LEFT(I4112,2)="MV",2*N4112*IF(L4112="1/C",O4112,1),0)</f>
        <v/>
      </c>
      <c r="Y4112" s="12">
        <f>IF(OR(LEFT(K4112,4)="LVAX",LEFT(K4112,6)="MV15AX",LEFT(K4112,4)="CTAX",LEFT(K4112,2)="W|"),2*N4112*O4112,0)</f>
        <v/>
      </c>
      <c r="Z4112" s="12" t="inlineStr">
        <is>
          <t>allowance: 1.6 ft of conductor per ft2 of floor</t>
        </is>
      </c>
      <c r="AA4112" s="12">
        <f>N4112*O4112</f>
        <v/>
      </c>
    </row>
    <row r="4113">
      <c r="A4113" s="12" t="inlineStr">
        <is>
          <t>I-L-0003</t>
        </is>
      </c>
      <c r="B4113" s="12" t="inlineStr">
        <is>
          <t>I</t>
        </is>
      </c>
      <c r="C4113" s="12" t="inlineStr">
        <is>
          <t>Modular / portable power</t>
        </is>
      </c>
      <c r="D4113" s="12" t="inlineStr">
        <is>
          <t>Lighting, receptacles and small power branch circuits (allowance)</t>
        </is>
      </c>
      <c r="E4113" s="12" t="inlineStr"/>
      <c r="F4113" s="12" t="inlineStr">
        <is>
          <t>PCM: power control module</t>
        </is>
      </c>
      <c r="G4113" s="12" t="inlineStr"/>
      <c r="H4113" s="12" t="inlineStr">
        <is>
          <t>PCM: power control module</t>
        </is>
      </c>
      <c r="I4113" s="12" t="inlineStr">
        <is>
          <t>Building wire</t>
        </is>
      </c>
      <c r="J4113" s="12" t="inlineStr">
        <is>
          <t>SIMpull THHN/THWN-2 600 V 1/C Cu (lighting, receptacles, small power)</t>
        </is>
      </c>
      <c r="K4113" s="12" t="inlineStr">
        <is>
          <t>THHN|1/C|12</t>
        </is>
      </c>
      <c r="L4113" s="12" t="inlineStr">
        <is>
          <t>1/C</t>
        </is>
      </c>
      <c r="M4113" s="12" t="inlineStr">
        <is>
          <t>12</t>
        </is>
      </c>
      <c r="N4113" s="12" t="n">
        <v>1</v>
      </c>
      <c r="O4113" s="12" t="n">
        <v>1</v>
      </c>
      <c r="P4113" s="12" t="n">
        <v>277</v>
      </c>
      <c r="Q4113" s="12" t="n"/>
      <c r="R4113" s="12" t="n"/>
      <c r="S4113" s="12" t="inlineStr">
        <is>
          <t>Conduit</t>
        </is>
      </c>
      <c r="T4113" s="17" t="n">
        <v>5120</v>
      </c>
      <c r="U4113" s="17" t="n">
        <v>0</v>
      </c>
      <c r="V4113" s="17">
        <f>ROUNDUP((T4113+U4113+2*'Read Me'!$B$13)*(1+'Read Me'!$B$12),-1)</f>
        <v/>
      </c>
      <c r="W4113" s="17">
        <f>V4113*N4113*O4113</f>
        <v/>
      </c>
      <c r="X4113" s="12">
        <f>IF(LEFT(I4113,2)="MV",2*N4113*IF(L4113="1/C",O4113,1),0)</f>
        <v/>
      </c>
      <c r="Y4113" s="12">
        <f>IF(OR(LEFT(K4113,4)="LVAX",LEFT(K4113,6)="MV15AX",LEFT(K4113,4)="CTAX",LEFT(K4113,2)="W|"),2*N4113*O4113,0)</f>
        <v/>
      </c>
      <c r="Z4113" s="12" t="inlineStr">
        <is>
          <t>allowance: 1.6 ft of conductor per ft2 of floor</t>
        </is>
      </c>
      <c r="AA4113" s="12">
        <f>N4113*O4113</f>
        <v/>
      </c>
    </row>
    <row r="4114">
      <c r="A4114" s="12" t="inlineStr">
        <is>
          <t>I-L-0004</t>
        </is>
      </c>
      <c r="B4114" s="12" t="inlineStr">
        <is>
          <t>I</t>
        </is>
      </c>
      <c r="C4114" s="12" t="inlineStr">
        <is>
          <t>Modular / portable power</t>
        </is>
      </c>
      <c r="D4114" s="12" t="inlineStr">
        <is>
          <t>Lighting, receptacles and small power branch circuits (allowance)</t>
        </is>
      </c>
      <c r="E4114" s="12" t="inlineStr"/>
      <c r="F4114" s="12" t="inlineStr">
        <is>
          <t>RICE CEMS</t>
        </is>
      </c>
      <c r="G4114" s="12" t="inlineStr"/>
      <c r="H4114" s="12" t="inlineStr">
        <is>
          <t>RICE CEMS</t>
        </is>
      </c>
      <c r="I4114" s="12" t="inlineStr">
        <is>
          <t>Building wire</t>
        </is>
      </c>
      <c r="J4114" s="12" t="inlineStr">
        <is>
          <t>SIMpull THHN/THWN-2 600 V 1/C Cu (lighting, receptacles, small power)</t>
        </is>
      </c>
      <c r="K4114" s="12" t="inlineStr">
        <is>
          <t>THHN|1/C|12</t>
        </is>
      </c>
      <c r="L4114" s="12" t="inlineStr">
        <is>
          <t>1/C</t>
        </is>
      </c>
      <c r="M4114" s="12" t="inlineStr">
        <is>
          <t>12</t>
        </is>
      </c>
      <c r="N4114" s="12" t="n">
        <v>1</v>
      </c>
      <c r="O4114" s="12" t="n">
        <v>1</v>
      </c>
      <c r="P4114" s="12" t="n">
        <v>277</v>
      </c>
      <c r="Q4114" s="12" t="n"/>
      <c r="R4114" s="12" t="n"/>
      <c r="S4114" s="12" t="inlineStr">
        <is>
          <t>Conduit</t>
        </is>
      </c>
      <c r="T4114" s="17" t="n">
        <v>256</v>
      </c>
      <c r="U4114" s="17" t="n">
        <v>0</v>
      </c>
      <c r="V4114" s="17">
        <f>ROUNDUP((T4114+U4114+2*'Read Me'!$B$13)*(1+'Read Me'!$B$12),-1)</f>
        <v/>
      </c>
      <c r="W4114" s="17">
        <f>V4114*N4114*O4114</f>
        <v/>
      </c>
      <c r="X4114" s="12">
        <f>IF(LEFT(I4114,2)="MV",2*N4114*IF(L4114="1/C",O4114,1),0)</f>
        <v/>
      </c>
      <c r="Y4114" s="12">
        <f>IF(OR(LEFT(K4114,4)="LVAX",LEFT(K4114,6)="MV15AX",LEFT(K4114,4)="CTAX",LEFT(K4114,2)="W|"),2*N4114*O4114,0)</f>
        <v/>
      </c>
      <c r="Z4114" s="12" t="inlineStr">
        <is>
          <t>allowance: 1.6 ft of conductor per ft2 of floor</t>
        </is>
      </c>
      <c r="AA4114" s="12">
        <f>N4114*O4114</f>
        <v/>
      </c>
    </row>
    <row r="4115">
      <c r="A4115" s="12" t="inlineStr">
        <is>
          <t>I-C-0001</t>
        </is>
      </c>
      <c r="B4115" s="12" t="inlineStr">
        <is>
          <t>I</t>
        </is>
      </c>
      <c r="C4115" s="12" t="inlineStr">
        <is>
          <t>Modular / portable power</t>
        </is>
      </c>
      <c r="D4115" s="12" t="inlineStr">
        <is>
          <t>Control</t>
        </is>
      </c>
      <c r="E4115" s="12" t="inlineStr"/>
      <c r="F4115" s="12" t="inlineStr">
        <is>
          <t>PCM: power control module</t>
        </is>
      </c>
      <c r="G4115" s="12" t="inlineStr"/>
      <c r="H4115" s="12" t="inlineStr">
        <is>
          <t>BS black-start switchgear</t>
        </is>
      </c>
      <c r="I4115" s="12" t="inlineStr">
        <is>
          <t>Control</t>
        </is>
      </c>
      <c r="J4115" s="12" t="inlineStr">
        <is>
          <t>Control cable 600 V Type TC-ER, Cu #14 AWG, PVC jacket</t>
        </is>
      </c>
      <c r="K4115" s="12" t="inlineStr">
        <is>
          <t>CT|7/C|14</t>
        </is>
      </c>
      <c r="L4115" s="12" t="inlineStr">
        <is>
          <t>7/C</t>
        </is>
      </c>
      <c r="M4115" s="12" t="inlineStr">
        <is>
          <t>14</t>
        </is>
      </c>
      <c r="N4115" s="12" t="n">
        <v>1</v>
      </c>
      <c r="O4115" s="12" t="n">
        <v>1</v>
      </c>
      <c r="P4115" s="12" t="n"/>
      <c r="Q4115" s="12" t="n"/>
      <c r="R4115" s="12" t="n"/>
      <c r="S4115" s="12" t="inlineStr">
        <is>
          <t>Duct bank</t>
        </is>
      </c>
      <c r="T4115" s="17" t="n">
        <v>562</v>
      </c>
      <c r="U4115" s="17" t="n">
        <v>64</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I-C-0002</t>
        </is>
      </c>
      <c r="B4116" s="12" t="inlineStr">
        <is>
          <t>I</t>
        </is>
      </c>
      <c r="C4116" s="12" t="inlineStr">
        <is>
          <t>Modular / portable power</t>
        </is>
      </c>
      <c r="D4116" s="12" t="inlineStr">
        <is>
          <t>Control</t>
        </is>
      </c>
      <c r="E4116" s="12" t="inlineStr"/>
      <c r="F4116" s="12" t="inlineStr">
        <is>
          <t>PCM: power control module</t>
        </is>
      </c>
      <c r="G4116" s="12" t="inlineStr"/>
      <c r="H4116" s="12" t="inlineStr">
        <is>
          <t>CONDITIONAL: BESS black-start alternative</t>
        </is>
      </c>
      <c r="I4116" s="12" t="inlineStr">
        <is>
          <t>Control</t>
        </is>
      </c>
      <c r="J4116" s="12" t="inlineStr">
        <is>
          <t>Control cable 600 V Type TC-ER, Cu #14 AWG, PVC jacket</t>
        </is>
      </c>
      <c r="K4116" s="12" t="inlineStr">
        <is>
          <t>CT|7/C|14</t>
        </is>
      </c>
      <c r="L4116" s="12" t="inlineStr">
        <is>
          <t>7/C</t>
        </is>
      </c>
      <c r="M4116" s="12" t="inlineStr">
        <is>
          <t>14</t>
        </is>
      </c>
      <c r="N4116" s="12" t="n">
        <v>1</v>
      </c>
      <c r="O4116" s="12" t="n">
        <v>1</v>
      </c>
      <c r="P4116" s="12" t="n"/>
      <c r="Q4116" s="12" t="n"/>
      <c r="R4116" s="12" t="n"/>
      <c r="S4116" s="12" t="inlineStr">
        <is>
          <t>Duct bank</t>
        </is>
      </c>
      <c r="T4116" s="17" t="n">
        <v>550</v>
      </c>
      <c r="U4116" s="17" t="n">
        <v>32</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I-C-0003</t>
        </is>
      </c>
      <c r="B4117" s="12" t="inlineStr">
        <is>
          <t>I</t>
        </is>
      </c>
      <c r="C4117" s="12" t="inlineStr">
        <is>
          <t>Modular / portable power</t>
        </is>
      </c>
      <c r="D4117" s="12" t="inlineStr">
        <is>
          <t>Control</t>
        </is>
      </c>
      <c r="E4117" s="12" t="inlineStr"/>
      <c r="F4117" s="12" t="inlineStr">
        <is>
          <t>PCM: power control module</t>
        </is>
      </c>
      <c r="G4117" s="12" t="inlineStr"/>
      <c r="H4117" s="12" t="inlineStr">
        <is>
          <t>CONDITIONAL: SC-1 inlet chiller / evaporative cooler</t>
        </is>
      </c>
      <c r="I4117" s="12" t="inlineStr">
        <is>
          <t>Control</t>
        </is>
      </c>
      <c r="J4117" s="12" t="inlineStr">
        <is>
          <t>Control cable 600 V Type TC-ER, Cu #14 AWG, PVC jacket</t>
        </is>
      </c>
      <c r="K4117" s="12" t="inlineStr">
        <is>
          <t>CT|7/C|14</t>
        </is>
      </c>
      <c r="L4117" s="12" t="inlineStr">
        <is>
          <t>7/C</t>
        </is>
      </c>
      <c r="M4117" s="12" t="inlineStr">
        <is>
          <t>14</t>
        </is>
      </c>
      <c r="N4117" s="12" t="n">
        <v>1</v>
      </c>
      <c r="O4117" s="12" t="n">
        <v>1</v>
      </c>
      <c r="P4117" s="12" t="n"/>
      <c r="Q4117" s="12" t="n"/>
      <c r="R4117" s="12" t="n"/>
      <c r="S4117" s="12" t="inlineStr">
        <is>
          <t>Duct bank</t>
        </is>
      </c>
      <c r="T4117" s="17" t="n">
        <v>40</v>
      </c>
      <c r="U4117" s="17" t="n">
        <v>52</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I-C-0004</t>
        </is>
      </c>
      <c r="B4118" s="12" t="inlineStr">
        <is>
          <t>I</t>
        </is>
      </c>
      <c r="C4118" s="12" t="inlineStr">
        <is>
          <t>Modular / portable power</t>
        </is>
      </c>
      <c r="D4118" s="12" t="inlineStr">
        <is>
          <t>Control</t>
        </is>
      </c>
      <c r="E4118" s="12" t="inlineStr"/>
      <c r="F4118" s="12" t="inlineStr">
        <is>
          <t>PCM: power control module</t>
        </is>
      </c>
      <c r="G4118" s="12" t="inlineStr"/>
      <c r="H4118" s="12" t="inlineStr">
        <is>
          <t>CONDITIONAL: SC-2 inlet chiller / evaporative cooler</t>
        </is>
      </c>
      <c r="I4118" s="12" t="inlineStr">
        <is>
          <t>Control</t>
        </is>
      </c>
      <c r="J4118" s="12" t="inlineStr">
        <is>
          <t>Control cable 600 V Type TC-ER, Cu #14 AWG, PVC jacket</t>
        </is>
      </c>
      <c r="K4118" s="12" t="inlineStr">
        <is>
          <t>CT|7/C|14</t>
        </is>
      </c>
      <c r="L4118" s="12" t="inlineStr">
        <is>
          <t>7/C</t>
        </is>
      </c>
      <c r="M4118" s="12" t="inlineStr">
        <is>
          <t>14</t>
        </is>
      </c>
      <c r="N4118" s="12" t="n">
        <v>1</v>
      </c>
      <c r="O4118" s="12" t="n">
        <v>1</v>
      </c>
      <c r="P4118" s="12" t="n"/>
      <c r="Q4118" s="12" t="n"/>
      <c r="R4118" s="12" t="n"/>
      <c r="S4118" s="12" t="inlineStr">
        <is>
          <t>HV duct bank</t>
        </is>
      </c>
      <c r="T4118" s="17" t="n">
        <v>4486</v>
      </c>
      <c r="U4118" s="17" t="n">
        <v>38</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I-C-0005</t>
        </is>
      </c>
      <c r="B4119" s="12" t="inlineStr">
        <is>
          <t>I</t>
        </is>
      </c>
      <c r="C4119" s="12" t="inlineStr">
        <is>
          <t>Modular / portable power</t>
        </is>
      </c>
      <c r="D4119" s="12" t="inlineStr">
        <is>
          <t>Control</t>
        </is>
      </c>
      <c r="E4119" s="12" t="inlineStr">
        <is>
          <t>PAD-EH</t>
        </is>
      </c>
      <c r="F4119" s="12" t="inlineStr">
        <is>
          <t>PAD-EH 13.8 kV switchgear e-house</t>
        </is>
      </c>
      <c r="G4119" s="12" t="inlineStr"/>
      <c r="H4119" s="12" t="inlineStr">
        <is>
          <t>FC-5..12 inverter / AC cabinet / desulfurizer</t>
        </is>
      </c>
      <c r="I4119" s="12" t="inlineStr">
        <is>
          <t>Control</t>
        </is>
      </c>
      <c r="J4119" s="12" t="inlineStr">
        <is>
          <t>Control cable 600 V Type TC-ER, Cu #14 AWG, PVC jacket</t>
        </is>
      </c>
      <c r="K4119" s="12" t="inlineStr">
        <is>
          <t>CT|7/C|14</t>
        </is>
      </c>
      <c r="L4119" s="12" t="inlineStr">
        <is>
          <t>7/C</t>
        </is>
      </c>
      <c r="M4119" s="12" t="inlineStr">
        <is>
          <t>14</t>
        </is>
      </c>
      <c r="N4119" s="12" t="n">
        <v>1</v>
      </c>
      <c r="O4119" s="12" t="n">
        <v>1</v>
      </c>
      <c r="P4119" s="12" t="n"/>
      <c r="Q4119" s="12" t="n"/>
      <c r="R4119" s="12" t="n"/>
      <c r="S4119" s="12" t="inlineStr">
        <is>
          <t>Surface</t>
        </is>
      </c>
      <c r="T4119" s="17" t="n">
        <v>202</v>
      </c>
      <c r="U4119" s="17" t="n">
        <v>37</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I-C-0006</t>
        </is>
      </c>
      <c r="B4120" s="12" t="inlineStr">
        <is>
          <t>I</t>
        </is>
      </c>
      <c r="C4120" s="12" t="inlineStr">
        <is>
          <t>Modular / portable power</t>
        </is>
      </c>
      <c r="D4120" s="12" t="inlineStr">
        <is>
          <t>Motor 1 of 6: control / local station</t>
        </is>
      </c>
      <c r="E4120" s="12" t="inlineStr"/>
      <c r="F4120" s="12" t="inlineStr">
        <is>
          <t>MOD-LV 480 V board + 480 V : 13.8 kV step-up</t>
        </is>
      </c>
      <c r="G4120" s="12" t="inlineStr"/>
      <c r="H4120" s="12" t="inlineStr">
        <is>
          <t>Fuel-gas compressors 3 x 100% electric</t>
        </is>
      </c>
      <c r="I4120" s="12" t="inlineStr">
        <is>
          <t>Control</t>
        </is>
      </c>
      <c r="J4120" s="12" t="inlineStr">
        <is>
          <t>ARMOR-X MC-HL 600 V control, Cu #14 AWG (Class I Div 2)</t>
        </is>
      </c>
      <c r="K4120" s="12" t="inlineStr">
        <is>
          <t>CTAX|7/C|14</t>
        </is>
      </c>
      <c r="L4120" s="12" t="inlineStr">
        <is>
          <t>7/C</t>
        </is>
      </c>
      <c r="M4120" s="12" t="inlineStr">
        <is>
          <t>14</t>
        </is>
      </c>
      <c r="N4120" s="12" t="n">
        <v>1</v>
      </c>
      <c r="O4120" s="12" t="n">
        <v>1</v>
      </c>
      <c r="P4120" s="12" t="n"/>
      <c r="Q4120" s="12" t="n"/>
      <c r="R4120" s="12" t="n"/>
      <c r="S4120" s="12" t="inlineStr">
        <is>
          <t>HV duct bank</t>
        </is>
      </c>
      <c r="T4120" s="17" t="n">
        <v>4344</v>
      </c>
      <c r="U4120" s="17" t="n">
        <v>114</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I-C-0007</t>
        </is>
      </c>
      <c r="B4121" s="12" t="inlineStr">
        <is>
          <t>I</t>
        </is>
      </c>
      <c r="C4121" s="12" t="inlineStr">
        <is>
          <t>Modular / portable power</t>
        </is>
      </c>
      <c r="D4121" s="12" t="inlineStr">
        <is>
          <t>Motor 2 of 6: control / local station</t>
        </is>
      </c>
      <c r="E4121" s="12" t="inlineStr"/>
      <c r="F4121" s="12" t="inlineStr">
        <is>
          <t>MOD-LV 480 V board + 480 V : 13.8 kV step-up</t>
        </is>
      </c>
      <c r="G4121" s="12" t="inlineStr"/>
      <c r="H4121" s="12" t="inlineStr">
        <is>
          <t>Fuel-gas compressors 3 x 100% electric</t>
        </is>
      </c>
      <c r="I4121" s="12" t="inlineStr">
        <is>
          <t>Control</t>
        </is>
      </c>
      <c r="J4121" s="12" t="inlineStr">
        <is>
          <t>ARMOR-X MC-HL 600 V control, Cu #14 AWG (Class I Div 2)</t>
        </is>
      </c>
      <c r="K4121" s="12" t="inlineStr">
        <is>
          <t>CTAX|7/C|14</t>
        </is>
      </c>
      <c r="L4121" s="12" t="inlineStr">
        <is>
          <t>7/C</t>
        </is>
      </c>
      <c r="M4121" s="12" t="inlineStr">
        <is>
          <t>14</t>
        </is>
      </c>
      <c r="N4121" s="12" t="n">
        <v>1</v>
      </c>
      <c r="O4121" s="12" t="n">
        <v>1</v>
      </c>
      <c r="P4121" s="12" t="n"/>
      <c r="Q4121" s="12" t="n"/>
      <c r="R4121" s="12" t="n"/>
      <c r="S4121" s="12" t="inlineStr">
        <is>
          <t>HV duct bank</t>
        </is>
      </c>
      <c r="T4121" s="17" t="n">
        <v>4344</v>
      </c>
      <c r="U4121" s="17" t="n">
        <v>114</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I-C-0008</t>
        </is>
      </c>
      <c r="B4122" s="12" t="inlineStr">
        <is>
          <t>I</t>
        </is>
      </c>
      <c r="C4122" s="12" t="inlineStr">
        <is>
          <t>Modular / portable power</t>
        </is>
      </c>
      <c r="D4122" s="12" t="inlineStr">
        <is>
          <t>Motor 3 of 6: control / local station</t>
        </is>
      </c>
      <c r="E4122" s="12" t="inlineStr"/>
      <c r="F4122" s="12" t="inlineStr">
        <is>
          <t>MOD-LV 480 V board + 480 V : 13.8 kV step-up</t>
        </is>
      </c>
      <c r="G4122" s="12" t="inlineStr"/>
      <c r="H4122" s="12" t="inlineStr">
        <is>
          <t>Fuel-gas compressors 3 x 100% electric</t>
        </is>
      </c>
      <c r="I4122" s="12" t="inlineStr">
        <is>
          <t>Control</t>
        </is>
      </c>
      <c r="J4122" s="12" t="inlineStr">
        <is>
          <t>ARMOR-X MC-HL 600 V control, Cu #14 AWG (Class I Div 2)</t>
        </is>
      </c>
      <c r="K4122" s="12" t="inlineStr">
        <is>
          <t>CTAX|7/C|14</t>
        </is>
      </c>
      <c r="L4122" s="12" t="inlineStr">
        <is>
          <t>7/C</t>
        </is>
      </c>
      <c r="M4122" s="12" t="inlineStr">
        <is>
          <t>14</t>
        </is>
      </c>
      <c r="N4122" s="12" t="n">
        <v>1</v>
      </c>
      <c r="O4122" s="12" t="n">
        <v>1</v>
      </c>
      <c r="P4122" s="12" t="n"/>
      <c r="Q4122" s="12" t="n"/>
      <c r="R4122" s="12" t="n"/>
      <c r="S4122" s="12" t="inlineStr">
        <is>
          <t>HV duct bank</t>
        </is>
      </c>
      <c r="T4122" s="17" t="n">
        <v>4344</v>
      </c>
      <c r="U4122" s="17" t="n">
        <v>114</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I-C-0009</t>
        </is>
      </c>
      <c r="B4123" s="12" t="inlineStr">
        <is>
          <t>I</t>
        </is>
      </c>
      <c r="C4123" s="12" t="inlineStr">
        <is>
          <t>Modular / portable power</t>
        </is>
      </c>
      <c r="D4123" s="12" t="inlineStr">
        <is>
          <t>Motor 4 of 6: control / local station</t>
        </is>
      </c>
      <c r="E4123" s="12" t="inlineStr"/>
      <c r="F4123" s="12" t="inlineStr">
        <is>
          <t>MOD-LV 480 V board + 480 V : 13.8 kV step-up</t>
        </is>
      </c>
      <c r="G4123" s="12" t="inlineStr"/>
      <c r="H4123" s="12" t="inlineStr">
        <is>
          <t>Fuel-gas compressors 3 x 100% electric</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HV duct bank</t>
        </is>
      </c>
      <c r="T4123" s="17" t="n">
        <v>4344</v>
      </c>
      <c r="U4123" s="17" t="n">
        <v>114</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I-C-0010</t>
        </is>
      </c>
      <c r="B4124" s="12" t="inlineStr">
        <is>
          <t>I</t>
        </is>
      </c>
      <c r="C4124" s="12" t="inlineStr">
        <is>
          <t>Modular / portable power</t>
        </is>
      </c>
      <c r="D4124" s="12" t="inlineStr">
        <is>
          <t>Motor 5 of 6: control / local station</t>
        </is>
      </c>
      <c r="E4124" s="12" t="inlineStr"/>
      <c r="F4124" s="12" t="inlineStr">
        <is>
          <t>MOD-LV 480 V board + 480 V : 13.8 kV step-up</t>
        </is>
      </c>
      <c r="G4124" s="12" t="inlineStr"/>
      <c r="H4124" s="12" t="inlineStr">
        <is>
          <t>Fuel-gas compressors 3 x 100% electric</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HV duct bank</t>
        </is>
      </c>
      <c r="T4124" s="17" t="n">
        <v>4344</v>
      </c>
      <c r="U4124" s="17" t="n">
        <v>114</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I-C-0011</t>
        </is>
      </c>
      <c r="B4125" s="12" t="inlineStr">
        <is>
          <t>I</t>
        </is>
      </c>
      <c r="C4125" s="12" t="inlineStr">
        <is>
          <t>Modular / portable power</t>
        </is>
      </c>
      <c r="D4125" s="12" t="inlineStr">
        <is>
          <t>Motor 6 of 6: control / local station</t>
        </is>
      </c>
      <c r="E4125" s="12" t="inlineStr"/>
      <c r="F4125" s="12" t="inlineStr">
        <is>
          <t>MOD-LV 480 V board + 480 V : 13.8 kV step-up</t>
        </is>
      </c>
      <c r="G4125" s="12" t="inlineStr"/>
      <c r="H4125" s="12" t="inlineStr">
        <is>
          <t>Fuel-gas compressors 3 x 100% electric</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HV duct bank</t>
        </is>
      </c>
      <c r="T4125" s="17" t="n">
        <v>4344</v>
      </c>
      <c r="U4125" s="17" t="n">
        <v>114</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I-C-0012</t>
        </is>
      </c>
      <c r="B4126" s="12" t="inlineStr">
        <is>
          <t>I</t>
        </is>
      </c>
      <c r="C4126" s="12" t="inlineStr">
        <is>
          <t>Modular / portable power</t>
        </is>
      </c>
      <c r="D4126" s="12" t="inlineStr">
        <is>
          <t>Control</t>
        </is>
      </c>
      <c r="E4126" s="12" t="inlineStr">
        <is>
          <t>PAD-EH</t>
        </is>
      </c>
      <c r="F4126" s="12" t="inlineStr">
        <is>
          <t>PAD-EH 13.8 kV switchgear e-house</t>
        </is>
      </c>
      <c r="G4126" s="12" t="inlineStr">
        <is>
          <t>GSP-1</t>
        </is>
      </c>
      <c r="H4126" s="12" t="inlineStr">
        <is>
          <t>GSP-1: generator breaker / protection</t>
        </is>
      </c>
      <c r="I4126" s="12" t="inlineStr">
        <is>
          <t>Control</t>
        </is>
      </c>
      <c r="J4126" s="12" t="inlineStr">
        <is>
          <t>Control cable 600 V Type TC-ER, Cu #14 AWG, PVC jacket</t>
        </is>
      </c>
      <c r="K4126" s="12" t="inlineStr">
        <is>
          <t>CT|12/C|14</t>
        </is>
      </c>
      <c r="L4126" s="12" t="inlineStr">
        <is>
          <t>12/C</t>
        </is>
      </c>
      <c r="M4126" s="12" t="inlineStr">
        <is>
          <t>14</t>
        </is>
      </c>
      <c r="N4126" s="12" t="n">
        <v>1</v>
      </c>
      <c r="O4126" s="12" t="n">
        <v>1</v>
      </c>
      <c r="P4126" s="12" t="n"/>
      <c r="Q4126" s="12" t="n"/>
      <c r="R4126" s="12" t="n"/>
      <c r="S4126" s="12" t="inlineStr">
        <is>
          <t>Surface</t>
        </is>
      </c>
      <c r="T4126" s="17" t="n">
        <v>269</v>
      </c>
      <c r="U4126" s="17" t="n">
        <v>66</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I-C-0013</t>
        </is>
      </c>
      <c r="B4127" s="12" t="inlineStr">
        <is>
          <t>I</t>
        </is>
      </c>
      <c r="C4127" s="12" t="inlineStr">
        <is>
          <t>Modular / portable power</t>
        </is>
      </c>
      <c r="D4127" s="12" t="inlineStr">
        <is>
          <t>Control</t>
        </is>
      </c>
      <c r="E4127" s="12" t="inlineStr">
        <is>
          <t>PAD-EH</t>
        </is>
      </c>
      <c r="F4127" s="12" t="inlineStr">
        <is>
          <t>PAD-EH 13.8 kV switchgear e-house</t>
        </is>
      </c>
      <c r="G4127" s="12" t="inlineStr">
        <is>
          <t>GSP-1</t>
        </is>
      </c>
      <c r="H4127" s="12" t="inlineStr">
        <is>
          <t>GSP-1: generator breaker / protection</t>
        </is>
      </c>
      <c r="I4127" s="12" t="inlineStr">
        <is>
          <t>Control</t>
        </is>
      </c>
      <c r="J4127" s="12" t="inlineStr">
        <is>
          <t>Control cable 600 V Type TC-ER, Cu #14 AWG, PVC jacket</t>
        </is>
      </c>
      <c r="K4127" s="12" t="inlineStr">
        <is>
          <t>CT|12/C|14</t>
        </is>
      </c>
      <c r="L4127" s="12" t="inlineStr">
        <is>
          <t>12/C</t>
        </is>
      </c>
      <c r="M4127" s="12" t="inlineStr">
        <is>
          <t>14</t>
        </is>
      </c>
      <c r="N4127" s="12" t="n">
        <v>1</v>
      </c>
      <c r="O4127" s="12" t="n">
        <v>1</v>
      </c>
      <c r="P4127" s="12" t="n"/>
      <c r="Q4127" s="12" t="n"/>
      <c r="R4127" s="12" t="n"/>
      <c r="S4127" s="12" t="inlineStr">
        <is>
          <t>Surface</t>
        </is>
      </c>
      <c r="T4127" s="17" t="n">
        <v>269</v>
      </c>
      <c r="U4127" s="17" t="n">
        <v>66</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I-C-0014</t>
        </is>
      </c>
      <c r="B4128" s="12" t="inlineStr">
        <is>
          <t>I</t>
        </is>
      </c>
      <c r="C4128" s="12" t="inlineStr">
        <is>
          <t>Modular / portable power</t>
        </is>
      </c>
      <c r="D4128" s="12" t="inlineStr">
        <is>
          <t>Control</t>
        </is>
      </c>
      <c r="E4128" s="12" t="inlineStr">
        <is>
          <t>PAD-EH</t>
        </is>
      </c>
      <c r="F4128" s="12" t="inlineStr">
        <is>
          <t>PAD-EH 13.8 kV switchgear e-house</t>
        </is>
      </c>
      <c r="G4128" s="12" t="inlineStr">
        <is>
          <t>GSP-1</t>
        </is>
      </c>
      <c r="H4128" s="12" t="inlineStr">
        <is>
          <t>GSP-1: generator breaker / protection</t>
        </is>
      </c>
      <c r="I4128" s="12" t="inlineStr">
        <is>
          <t>Control</t>
        </is>
      </c>
      <c r="J4128" s="12" t="inlineStr">
        <is>
          <t>Control cable 600 V Type TC-ER, Cu #14 AWG, PVC jacket</t>
        </is>
      </c>
      <c r="K4128" s="12" t="inlineStr">
        <is>
          <t>CT|12/C|14</t>
        </is>
      </c>
      <c r="L4128" s="12" t="inlineStr">
        <is>
          <t>12/C</t>
        </is>
      </c>
      <c r="M4128" s="12" t="inlineStr">
        <is>
          <t>14</t>
        </is>
      </c>
      <c r="N4128" s="12" t="n">
        <v>1</v>
      </c>
      <c r="O4128" s="12" t="n">
        <v>1</v>
      </c>
      <c r="P4128" s="12" t="n"/>
      <c r="Q4128" s="12" t="n"/>
      <c r="R4128" s="12" t="n"/>
      <c r="S4128" s="12" t="inlineStr">
        <is>
          <t>Surface</t>
        </is>
      </c>
      <c r="T4128" s="17" t="n">
        <v>269</v>
      </c>
      <c r="U4128" s="17" t="n">
        <v>66</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I-C-0015</t>
        </is>
      </c>
      <c r="B4129" s="12" t="inlineStr">
        <is>
          <t>I</t>
        </is>
      </c>
      <c r="C4129" s="12" t="inlineStr">
        <is>
          <t>Modular / portable power</t>
        </is>
      </c>
      <c r="D4129" s="12" t="inlineStr">
        <is>
          <t>CT / VT</t>
        </is>
      </c>
      <c r="E4129" s="12" t="inlineStr">
        <is>
          <t>PAD-EH</t>
        </is>
      </c>
      <c r="F4129" s="12" t="inlineStr">
        <is>
          <t>PAD-EH 13.8 kV switchgear e-house</t>
        </is>
      </c>
      <c r="G4129" s="12" t="inlineStr">
        <is>
          <t>GSP-1</t>
        </is>
      </c>
      <c r="H4129" s="12" t="inlineStr">
        <is>
          <t>GSP-1: generator breaker / protection</t>
        </is>
      </c>
      <c r="I4129" s="12" t="inlineStr">
        <is>
          <t>Control</t>
        </is>
      </c>
      <c r="J4129" s="12" t="inlineStr">
        <is>
          <t>Control cable 600 V Type TC-ER, Cu #10 AWG (CT / VT circuits)</t>
        </is>
      </c>
      <c r="K4129" s="12" t="inlineStr">
        <is>
          <t>CTCT|4/C|10</t>
        </is>
      </c>
      <c r="L4129" s="12" t="inlineStr">
        <is>
          <t>4/C</t>
        </is>
      </c>
      <c r="M4129" s="12" t="inlineStr">
        <is>
          <t>10</t>
        </is>
      </c>
      <c r="N4129" s="12" t="n">
        <v>1</v>
      </c>
      <c r="O4129" s="12" t="n">
        <v>1</v>
      </c>
      <c r="P4129" s="12" t="n"/>
      <c r="Q4129" s="12" t="n"/>
      <c r="R4129" s="12" t="n"/>
      <c r="S4129" s="12" t="inlineStr">
        <is>
          <t>Surface</t>
        </is>
      </c>
      <c r="T4129" s="17" t="n">
        <v>269</v>
      </c>
      <c r="U4129" s="17" t="n">
        <v>66</v>
      </c>
      <c r="V4129" s="17">
        <f>ROUNDUP((T4129+U4129+2*'Read Me'!$B$13)*(1+'Read Me'!$B$12),-1)</f>
        <v/>
      </c>
      <c r="W4129" s="17">
        <f>V4129*N4129*O4129</f>
        <v/>
      </c>
      <c r="X4129" s="12">
        <f>IF(LEFT(I4129,2)="MV",2*N4129*IF(L4129="1/C",O4129,1),0)</f>
        <v/>
      </c>
      <c r="Y4129" s="12">
        <f>IF(OR(LEFT(K4129,4)="LVAX",LEFT(K4129,6)="MV15AX",LEFT(K4129,4)="CTAX",LEFT(K4129,2)="W|"),2*N4129*O4129,0)</f>
        <v/>
      </c>
      <c r="Z4129" s="12" t="inlineStr"/>
      <c r="AA4129" s="12">
        <f>N4129*O4129</f>
        <v/>
      </c>
    </row>
    <row r="4130">
      <c r="A4130" s="12" t="inlineStr">
        <is>
          <t>I-C-0016</t>
        </is>
      </c>
      <c r="B4130" s="12" t="inlineStr">
        <is>
          <t>I</t>
        </is>
      </c>
      <c r="C4130" s="12" t="inlineStr">
        <is>
          <t>Modular / portable power</t>
        </is>
      </c>
      <c r="D4130" s="12" t="inlineStr">
        <is>
          <t>CT / VT</t>
        </is>
      </c>
      <c r="E4130" s="12" t="inlineStr">
        <is>
          <t>PAD-EH</t>
        </is>
      </c>
      <c r="F4130" s="12" t="inlineStr">
        <is>
          <t>PAD-EH 13.8 kV switchgear e-house</t>
        </is>
      </c>
      <c r="G4130" s="12" t="inlineStr">
        <is>
          <t>GSP-1</t>
        </is>
      </c>
      <c r="H4130" s="12" t="inlineStr">
        <is>
          <t>GSP-1: generator breaker / protection</t>
        </is>
      </c>
      <c r="I4130" s="12" t="inlineStr">
        <is>
          <t>Control</t>
        </is>
      </c>
      <c r="J4130" s="12" t="inlineStr">
        <is>
          <t>Control cable 600 V Type TC-ER, Cu #10 AWG (CT / VT circuits)</t>
        </is>
      </c>
      <c r="K4130" s="12" t="inlineStr">
        <is>
          <t>CTCT|4/C|10</t>
        </is>
      </c>
      <c r="L4130" s="12" t="inlineStr">
        <is>
          <t>4/C</t>
        </is>
      </c>
      <c r="M4130" s="12" t="inlineStr">
        <is>
          <t>10</t>
        </is>
      </c>
      <c r="N4130" s="12" t="n">
        <v>1</v>
      </c>
      <c r="O4130" s="12" t="n">
        <v>1</v>
      </c>
      <c r="P4130" s="12" t="n"/>
      <c r="Q4130" s="12" t="n"/>
      <c r="R4130" s="12" t="n"/>
      <c r="S4130" s="12" t="inlineStr">
        <is>
          <t>Surface</t>
        </is>
      </c>
      <c r="T4130" s="17" t="n">
        <v>269</v>
      </c>
      <c r="U4130" s="17" t="n">
        <v>66</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I-C-0017</t>
        </is>
      </c>
      <c r="B4131" s="12" t="inlineStr">
        <is>
          <t>I</t>
        </is>
      </c>
      <c r="C4131" s="12" t="inlineStr">
        <is>
          <t>Modular / portable power</t>
        </is>
      </c>
      <c r="D4131" s="12" t="inlineStr">
        <is>
          <t>CT / VT</t>
        </is>
      </c>
      <c r="E4131" s="12" t="inlineStr">
        <is>
          <t>PAD-EH</t>
        </is>
      </c>
      <c r="F4131" s="12" t="inlineStr">
        <is>
          <t>PAD-EH 13.8 kV switchgear e-house</t>
        </is>
      </c>
      <c r="G4131" s="12" t="inlineStr">
        <is>
          <t>GSP-1</t>
        </is>
      </c>
      <c r="H4131" s="12" t="inlineStr">
        <is>
          <t>GSP-1: generator breaker / protection</t>
        </is>
      </c>
      <c r="I4131" s="12" t="inlineStr">
        <is>
          <t>Control</t>
        </is>
      </c>
      <c r="J4131" s="12" t="inlineStr">
        <is>
          <t>Control cable 600 V Type TC-ER, Cu #10 AWG (CT / VT circuits)</t>
        </is>
      </c>
      <c r="K4131" s="12" t="inlineStr">
        <is>
          <t>CTCT|4/C|10</t>
        </is>
      </c>
      <c r="L4131" s="12" t="inlineStr">
        <is>
          <t>4/C</t>
        </is>
      </c>
      <c r="M4131" s="12" t="inlineStr">
        <is>
          <t>10</t>
        </is>
      </c>
      <c r="N4131" s="12" t="n">
        <v>1</v>
      </c>
      <c r="O4131" s="12" t="n">
        <v>1</v>
      </c>
      <c r="P4131" s="12" t="n"/>
      <c r="Q4131" s="12" t="n"/>
      <c r="R4131" s="12" t="n"/>
      <c r="S4131" s="12" t="inlineStr">
        <is>
          <t>Surface</t>
        </is>
      </c>
      <c r="T4131" s="17" t="n">
        <v>269</v>
      </c>
      <c r="U4131" s="17" t="n">
        <v>66</v>
      </c>
      <c r="V4131" s="17">
        <f>ROUNDUP((T4131+U4131+2*'Read Me'!$B$13)*(1+'Read Me'!$B$12),-1)</f>
        <v/>
      </c>
      <c r="W4131" s="17">
        <f>V4131*N4131*O4131</f>
        <v/>
      </c>
      <c r="X4131" s="12">
        <f>IF(LEFT(I4131,2)="MV",2*N4131*IF(L4131="1/C",O4131,1),0)</f>
        <v/>
      </c>
      <c r="Y4131" s="12">
        <f>IF(OR(LEFT(K4131,4)="LVAX",LEFT(K4131,6)="MV15AX",LEFT(K4131,4)="CTAX",LEFT(K4131,2)="W|"),2*N4131*O4131,0)</f>
        <v/>
      </c>
      <c r="Z4131" s="12" t="inlineStr"/>
      <c r="AA4131" s="12">
        <f>N4131*O4131</f>
        <v/>
      </c>
    </row>
    <row r="4132">
      <c r="A4132" s="12" t="inlineStr">
        <is>
          <t>I-C-0018</t>
        </is>
      </c>
      <c r="B4132" s="12" t="inlineStr">
        <is>
          <t>I</t>
        </is>
      </c>
      <c r="C4132" s="12" t="inlineStr">
        <is>
          <t>Modular / portable power</t>
        </is>
      </c>
      <c r="D4132" s="12" t="inlineStr">
        <is>
          <t>CT / VT</t>
        </is>
      </c>
      <c r="E4132" s="12" t="inlineStr">
        <is>
          <t>PAD-EH</t>
        </is>
      </c>
      <c r="F4132" s="12" t="inlineStr">
        <is>
          <t>PAD-EH 13.8 kV switchgear e-house</t>
        </is>
      </c>
      <c r="G4132" s="12" t="inlineStr">
        <is>
          <t>GSP-1</t>
        </is>
      </c>
      <c r="H4132" s="12" t="inlineStr">
        <is>
          <t>GSP-1: generator breaker / protection</t>
        </is>
      </c>
      <c r="I4132" s="12" t="inlineStr">
        <is>
          <t>Control</t>
        </is>
      </c>
      <c r="J4132" s="12" t="inlineStr">
        <is>
          <t>Control cable 600 V Type TC-ER, Cu #10 AWG (CT / VT circuits)</t>
        </is>
      </c>
      <c r="K4132" s="12" t="inlineStr">
        <is>
          <t>CTCT|4/C|10</t>
        </is>
      </c>
      <c r="L4132" s="12" t="inlineStr">
        <is>
          <t>4/C</t>
        </is>
      </c>
      <c r="M4132" s="12" t="inlineStr">
        <is>
          <t>10</t>
        </is>
      </c>
      <c r="N4132" s="12" t="n">
        <v>1</v>
      </c>
      <c r="O4132" s="12" t="n">
        <v>1</v>
      </c>
      <c r="P4132" s="12" t="n"/>
      <c r="Q4132" s="12" t="n"/>
      <c r="R4132" s="12" t="n"/>
      <c r="S4132" s="12" t="inlineStr">
        <is>
          <t>Surface</t>
        </is>
      </c>
      <c r="T4132" s="17" t="n">
        <v>269</v>
      </c>
      <c r="U4132" s="17" t="n">
        <v>66</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I-C-0019</t>
        </is>
      </c>
      <c r="B4133" s="12" t="inlineStr">
        <is>
          <t>I</t>
        </is>
      </c>
      <c r="C4133" s="12" t="inlineStr">
        <is>
          <t>Modular / portable power</t>
        </is>
      </c>
      <c r="D4133" s="12" t="inlineStr">
        <is>
          <t>Control</t>
        </is>
      </c>
      <c r="E4133" s="12" t="inlineStr">
        <is>
          <t>PAD-EH</t>
        </is>
      </c>
      <c r="F4133" s="12" t="inlineStr">
        <is>
          <t>PAD-EH 13.8 kV switchgear e-house</t>
        </is>
      </c>
      <c r="G4133" s="12" t="inlineStr">
        <is>
          <t>GSP-2</t>
        </is>
      </c>
      <c r="H4133" s="12" t="inlineStr">
        <is>
          <t>GSP-2: generator breaker / protection</t>
        </is>
      </c>
      <c r="I4133" s="12" t="inlineStr">
        <is>
          <t>Control</t>
        </is>
      </c>
      <c r="J4133" s="12" t="inlineStr">
        <is>
          <t>Control cable 600 V Type TC-ER, Cu #14 AWG, PVC jacket</t>
        </is>
      </c>
      <c r="K4133" s="12" t="inlineStr">
        <is>
          <t>CT|12/C|14</t>
        </is>
      </c>
      <c r="L4133" s="12" t="inlineStr">
        <is>
          <t>12/C</t>
        </is>
      </c>
      <c r="M4133" s="12" t="inlineStr">
        <is>
          <t>14</t>
        </is>
      </c>
      <c r="N4133" s="12" t="n">
        <v>1</v>
      </c>
      <c r="O4133" s="12" t="n">
        <v>1</v>
      </c>
      <c r="P4133" s="12" t="n"/>
      <c r="Q4133" s="12" t="n"/>
      <c r="R4133" s="12" t="n"/>
      <c r="S4133" s="12" t="inlineStr">
        <is>
          <t>Surface</t>
        </is>
      </c>
      <c r="T4133" s="17" t="n">
        <v>269</v>
      </c>
      <c r="U4133" s="17" t="n">
        <v>37</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I-C-0020</t>
        </is>
      </c>
      <c r="B4134" s="12" t="inlineStr">
        <is>
          <t>I</t>
        </is>
      </c>
      <c r="C4134" s="12" t="inlineStr">
        <is>
          <t>Modular / portable power</t>
        </is>
      </c>
      <c r="D4134" s="12" t="inlineStr">
        <is>
          <t>Control</t>
        </is>
      </c>
      <c r="E4134" s="12" t="inlineStr">
        <is>
          <t>PAD-EH</t>
        </is>
      </c>
      <c r="F4134" s="12" t="inlineStr">
        <is>
          <t>PAD-EH 13.8 kV switchgear e-house</t>
        </is>
      </c>
      <c r="G4134" s="12" t="inlineStr">
        <is>
          <t>GSP-2</t>
        </is>
      </c>
      <c r="H4134" s="12" t="inlineStr">
        <is>
          <t>GSP-2: generator breaker / protection</t>
        </is>
      </c>
      <c r="I4134" s="12" t="inlineStr">
        <is>
          <t>Control</t>
        </is>
      </c>
      <c r="J4134" s="12" t="inlineStr">
        <is>
          <t>Control cable 600 V Type TC-ER, Cu #14 AWG, PVC jacket</t>
        </is>
      </c>
      <c r="K4134" s="12" t="inlineStr">
        <is>
          <t>CT|12/C|14</t>
        </is>
      </c>
      <c r="L4134" s="12" t="inlineStr">
        <is>
          <t>12/C</t>
        </is>
      </c>
      <c r="M4134" s="12" t="inlineStr">
        <is>
          <t>14</t>
        </is>
      </c>
      <c r="N4134" s="12" t="n">
        <v>1</v>
      </c>
      <c r="O4134" s="12" t="n">
        <v>1</v>
      </c>
      <c r="P4134" s="12" t="n"/>
      <c r="Q4134" s="12" t="n"/>
      <c r="R4134" s="12" t="n"/>
      <c r="S4134" s="12" t="inlineStr">
        <is>
          <t>Surface</t>
        </is>
      </c>
      <c r="T4134" s="17" t="n">
        <v>269</v>
      </c>
      <c r="U4134" s="17" t="n">
        <v>37</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I-C-0021</t>
        </is>
      </c>
      <c r="B4135" s="12" t="inlineStr">
        <is>
          <t>I</t>
        </is>
      </c>
      <c r="C4135" s="12" t="inlineStr">
        <is>
          <t>Modular / portable power</t>
        </is>
      </c>
      <c r="D4135" s="12" t="inlineStr">
        <is>
          <t>Control</t>
        </is>
      </c>
      <c r="E4135" s="12" t="inlineStr">
        <is>
          <t>PAD-EH</t>
        </is>
      </c>
      <c r="F4135" s="12" t="inlineStr">
        <is>
          <t>PAD-EH 13.8 kV switchgear e-house</t>
        </is>
      </c>
      <c r="G4135" s="12" t="inlineStr">
        <is>
          <t>GSP-2</t>
        </is>
      </c>
      <c r="H4135" s="12" t="inlineStr">
        <is>
          <t>GSP-2: generator breaker / protection</t>
        </is>
      </c>
      <c r="I4135" s="12" t="inlineStr">
        <is>
          <t>Control</t>
        </is>
      </c>
      <c r="J4135" s="12" t="inlineStr">
        <is>
          <t>Control cable 600 V Type TC-ER, Cu #14 AWG, PVC jacket</t>
        </is>
      </c>
      <c r="K4135" s="12" t="inlineStr">
        <is>
          <t>CT|12/C|14</t>
        </is>
      </c>
      <c r="L4135" s="12" t="inlineStr">
        <is>
          <t>12/C</t>
        </is>
      </c>
      <c r="M4135" s="12" t="inlineStr">
        <is>
          <t>14</t>
        </is>
      </c>
      <c r="N4135" s="12" t="n">
        <v>1</v>
      </c>
      <c r="O4135" s="12" t="n">
        <v>1</v>
      </c>
      <c r="P4135" s="12" t="n"/>
      <c r="Q4135" s="12" t="n"/>
      <c r="R4135" s="12" t="n"/>
      <c r="S4135" s="12" t="inlineStr">
        <is>
          <t>Surface</t>
        </is>
      </c>
      <c r="T4135" s="17" t="n">
        <v>269</v>
      </c>
      <c r="U4135" s="17" t="n">
        <v>37</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I-C-0022</t>
        </is>
      </c>
      <c r="B4136" s="12" t="inlineStr">
        <is>
          <t>I</t>
        </is>
      </c>
      <c r="C4136" s="12" t="inlineStr">
        <is>
          <t>Modular / portable power</t>
        </is>
      </c>
      <c r="D4136" s="12" t="inlineStr">
        <is>
          <t>CT / VT</t>
        </is>
      </c>
      <c r="E4136" s="12" t="inlineStr">
        <is>
          <t>PAD-EH</t>
        </is>
      </c>
      <c r="F4136" s="12" t="inlineStr">
        <is>
          <t>PAD-EH 13.8 kV switchgear e-house</t>
        </is>
      </c>
      <c r="G4136" s="12" t="inlineStr">
        <is>
          <t>GSP-2</t>
        </is>
      </c>
      <c r="H4136" s="12" t="inlineStr">
        <is>
          <t>GSP-2: generator breaker / protection</t>
        </is>
      </c>
      <c r="I4136" s="12" t="inlineStr">
        <is>
          <t>Control</t>
        </is>
      </c>
      <c r="J4136" s="12" t="inlineStr">
        <is>
          <t>Control cable 600 V Type TC-ER, Cu #10 AWG (CT / VT circuits)</t>
        </is>
      </c>
      <c r="K4136" s="12" t="inlineStr">
        <is>
          <t>CTCT|4/C|10</t>
        </is>
      </c>
      <c r="L4136" s="12" t="inlineStr">
        <is>
          <t>4/C</t>
        </is>
      </c>
      <c r="M4136" s="12" t="inlineStr">
        <is>
          <t>10</t>
        </is>
      </c>
      <c r="N4136" s="12" t="n">
        <v>1</v>
      </c>
      <c r="O4136" s="12" t="n">
        <v>1</v>
      </c>
      <c r="P4136" s="12" t="n"/>
      <c r="Q4136" s="12" t="n"/>
      <c r="R4136" s="12" t="n"/>
      <c r="S4136" s="12" t="inlineStr">
        <is>
          <t>Surface</t>
        </is>
      </c>
      <c r="T4136" s="17" t="n">
        <v>269</v>
      </c>
      <c r="U4136" s="17" t="n">
        <v>37</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I-C-0023</t>
        </is>
      </c>
      <c r="B4137" s="12" t="inlineStr">
        <is>
          <t>I</t>
        </is>
      </c>
      <c r="C4137" s="12" t="inlineStr">
        <is>
          <t>Modular / portable power</t>
        </is>
      </c>
      <c r="D4137" s="12" t="inlineStr">
        <is>
          <t>CT / VT</t>
        </is>
      </c>
      <c r="E4137" s="12" t="inlineStr">
        <is>
          <t>PAD-EH</t>
        </is>
      </c>
      <c r="F4137" s="12" t="inlineStr">
        <is>
          <t>PAD-EH 13.8 kV switchgear e-house</t>
        </is>
      </c>
      <c r="G4137" s="12" t="inlineStr">
        <is>
          <t>GSP-2</t>
        </is>
      </c>
      <c r="H4137" s="12" t="inlineStr">
        <is>
          <t>GSP-2: generator breaker / protection</t>
        </is>
      </c>
      <c r="I4137" s="12" t="inlineStr">
        <is>
          <t>Control</t>
        </is>
      </c>
      <c r="J4137" s="12" t="inlineStr">
        <is>
          <t>Control cable 600 V Type TC-ER, Cu #10 AWG (CT / VT circuits)</t>
        </is>
      </c>
      <c r="K4137" s="12" t="inlineStr">
        <is>
          <t>CTCT|4/C|10</t>
        </is>
      </c>
      <c r="L4137" s="12" t="inlineStr">
        <is>
          <t>4/C</t>
        </is>
      </c>
      <c r="M4137" s="12" t="inlineStr">
        <is>
          <t>10</t>
        </is>
      </c>
      <c r="N4137" s="12" t="n">
        <v>1</v>
      </c>
      <c r="O4137" s="12" t="n">
        <v>1</v>
      </c>
      <c r="P4137" s="12" t="n"/>
      <c r="Q4137" s="12" t="n"/>
      <c r="R4137" s="12" t="n"/>
      <c r="S4137" s="12" t="inlineStr">
        <is>
          <t>Surface</t>
        </is>
      </c>
      <c r="T4137" s="17" t="n">
        <v>269</v>
      </c>
      <c r="U4137" s="17" t="n">
        <v>37</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I-C-0024</t>
        </is>
      </c>
      <c r="B4138" s="12" t="inlineStr">
        <is>
          <t>I</t>
        </is>
      </c>
      <c r="C4138" s="12" t="inlineStr">
        <is>
          <t>Modular / portable power</t>
        </is>
      </c>
      <c r="D4138" s="12" t="inlineStr">
        <is>
          <t>CT / VT</t>
        </is>
      </c>
      <c r="E4138" s="12" t="inlineStr">
        <is>
          <t>PAD-EH</t>
        </is>
      </c>
      <c r="F4138" s="12" t="inlineStr">
        <is>
          <t>PAD-EH 13.8 kV switchgear e-house</t>
        </is>
      </c>
      <c r="G4138" s="12" t="inlineStr">
        <is>
          <t>GSP-2</t>
        </is>
      </c>
      <c r="H4138" s="12" t="inlineStr">
        <is>
          <t>GSP-2: generator breaker / protection</t>
        </is>
      </c>
      <c r="I4138" s="12" t="inlineStr">
        <is>
          <t>Control</t>
        </is>
      </c>
      <c r="J4138" s="12" t="inlineStr">
        <is>
          <t>Control cable 600 V Type TC-ER, Cu #10 AWG (CT / VT circuits)</t>
        </is>
      </c>
      <c r="K4138" s="12" t="inlineStr">
        <is>
          <t>CTCT|4/C|10</t>
        </is>
      </c>
      <c r="L4138" s="12" t="inlineStr">
        <is>
          <t>4/C</t>
        </is>
      </c>
      <c r="M4138" s="12" t="inlineStr">
        <is>
          <t>10</t>
        </is>
      </c>
      <c r="N4138" s="12" t="n">
        <v>1</v>
      </c>
      <c r="O4138" s="12" t="n">
        <v>1</v>
      </c>
      <c r="P4138" s="12" t="n"/>
      <c r="Q4138" s="12" t="n"/>
      <c r="R4138" s="12" t="n"/>
      <c r="S4138" s="12" t="inlineStr">
        <is>
          <t>Surface</t>
        </is>
      </c>
      <c r="T4138" s="17" t="n">
        <v>269</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I-C-0025</t>
        </is>
      </c>
      <c r="B4139" s="12" t="inlineStr">
        <is>
          <t>I</t>
        </is>
      </c>
      <c r="C4139" s="12" t="inlineStr">
        <is>
          <t>Modular / portable power</t>
        </is>
      </c>
      <c r="D4139" s="12" t="inlineStr">
        <is>
          <t>CT / VT</t>
        </is>
      </c>
      <c r="E4139" s="12" t="inlineStr">
        <is>
          <t>PAD-EH</t>
        </is>
      </c>
      <c r="F4139" s="12" t="inlineStr">
        <is>
          <t>PAD-EH 13.8 kV switchgear e-house</t>
        </is>
      </c>
      <c r="G4139" s="12" t="inlineStr">
        <is>
          <t>GSP-2</t>
        </is>
      </c>
      <c r="H4139" s="12" t="inlineStr">
        <is>
          <t>GSP-2: generator breaker / protection</t>
        </is>
      </c>
      <c r="I4139" s="12" t="inlineStr">
        <is>
          <t>Control</t>
        </is>
      </c>
      <c r="J4139" s="12" t="inlineStr">
        <is>
          <t>Control cable 600 V Type TC-ER, Cu #10 AWG (CT / VT circuits)</t>
        </is>
      </c>
      <c r="K4139" s="12" t="inlineStr">
        <is>
          <t>CTCT|4/C|10</t>
        </is>
      </c>
      <c r="L4139" s="12" t="inlineStr">
        <is>
          <t>4/C</t>
        </is>
      </c>
      <c r="M4139" s="12" t="inlineStr">
        <is>
          <t>10</t>
        </is>
      </c>
      <c r="N4139" s="12" t="n">
        <v>1</v>
      </c>
      <c r="O4139" s="12" t="n">
        <v>1</v>
      </c>
      <c r="P4139" s="12" t="n"/>
      <c r="Q4139" s="12" t="n"/>
      <c r="R4139" s="12" t="n"/>
      <c r="S4139" s="12" t="inlineStr">
        <is>
          <t>Surface</t>
        </is>
      </c>
      <c r="T4139" s="17" t="n">
        <v>269</v>
      </c>
      <c r="U4139" s="17" t="n">
        <v>37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I-C-0026</t>
        </is>
      </c>
      <c r="B4140" s="12" t="inlineStr">
        <is>
          <t>I</t>
        </is>
      </c>
      <c r="C4140" s="12" t="inlineStr">
        <is>
          <t>Modular / portable power</t>
        </is>
      </c>
      <c r="D4140" s="12" t="inlineStr">
        <is>
          <t>Control</t>
        </is>
      </c>
      <c r="E4140" s="12" t="inlineStr"/>
      <c r="F4140" s="12" t="inlineStr">
        <is>
          <t>PCM: power control module</t>
        </is>
      </c>
      <c r="G4140" s="12" t="inlineStr"/>
      <c r="H4140" s="12" t="inlineStr">
        <is>
          <t>Gas conditioning skid</t>
        </is>
      </c>
      <c r="I4140" s="12" t="inlineStr">
        <is>
          <t>Control</t>
        </is>
      </c>
      <c r="J4140" s="12" t="inlineStr">
        <is>
          <t>ARMOR-X MC-HL 600 V control, Cu #14 AWG (Class I Div 2)</t>
        </is>
      </c>
      <c r="K4140" s="12" t="inlineStr">
        <is>
          <t>CTAX|7/C|14</t>
        </is>
      </c>
      <c r="L4140" s="12" t="inlineStr">
        <is>
          <t>7/C</t>
        </is>
      </c>
      <c r="M4140" s="12" t="inlineStr">
        <is>
          <t>14</t>
        </is>
      </c>
      <c r="N4140" s="12" t="n">
        <v>1</v>
      </c>
      <c r="O4140" s="12" t="n">
        <v>1</v>
      </c>
      <c r="P4140" s="12" t="n"/>
      <c r="Q4140" s="12" t="n"/>
      <c r="R4140" s="12" t="n"/>
      <c r="S4140" s="12" t="inlineStr">
        <is>
          <t>Tray</t>
        </is>
      </c>
      <c r="T4140" s="17" t="n">
        <v>40</v>
      </c>
      <c r="U4140" s="17" t="n">
        <v>94</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I-C-0027</t>
        </is>
      </c>
      <c r="B4141" s="12" t="inlineStr">
        <is>
          <t>I</t>
        </is>
      </c>
      <c r="C4141" s="12" t="inlineStr">
        <is>
          <t>Modular / portable power</t>
        </is>
      </c>
      <c r="D4141" s="12" t="inlineStr">
        <is>
          <t>Control</t>
        </is>
      </c>
      <c r="E4141" s="12" t="inlineStr">
        <is>
          <t>PAD-EH</t>
        </is>
      </c>
      <c r="F4141" s="12" t="inlineStr">
        <is>
          <t>PAD-EH 13.8 kV switchgear e-house</t>
        </is>
      </c>
      <c r="G4141" s="12" t="inlineStr">
        <is>
          <t>LB</t>
        </is>
      </c>
      <c r="H4141" s="12" t="inlineStr">
        <is>
          <t>LB: commissioning load bank (trailer)</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Surface</t>
        </is>
      </c>
      <c r="T4141" s="17" t="n">
        <v>169</v>
      </c>
      <c r="U4141" s="17" t="n">
        <v>73</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I-C-0028</t>
        </is>
      </c>
      <c r="B4142" s="12" t="inlineStr">
        <is>
          <t>I</t>
        </is>
      </c>
      <c r="C4142" s="12" t="inlineStr">
        <is>
          <t>Modular / portable power</t>
        </is>
      </c>
      <c r="D4142" s="12" t="inlineStr">
        <is>
          <t>Control</t>
        </is>
      </c>
      <c r="E4142" s="12" t="inlineStr"/>
      <c r="F4142" s="12" t="inlineStr">
        <is>
          <t>PCM: power control module</t>
        </is>
      </c>
      <c r="G4142" s="12" t="inlineStr"/>
      <c r="H4142" s="12" t="inlineStr">
        <is>
          <t>Lube oil / starting air / oily water building</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7" t="n">
        <v>40</v>
      </c>
      <c r="U4142" s="17" t="n">
        <v>164</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I-C-0029</t>
        </is>
      </c>
      <c r="B4143" s="12" t="inlineStr">
        <is>
          <t>I</t>
        </is>
      </c>
      <c r="C4143" s="12" t="inlineStr">
        <is>
          <t>Modular / portable power</t>
        </is>
      </c>
      <c r="D4143" s="12" t="inlineStr">
        <is>
          <t>Control</t>
        </is>
      </c>
      <c r="E4143" s="12" t="inlineStr"/>
      <c r="F4143" s="12" t="inlineStr">
        <is>
          <t>PCM: power control module</t>
        </is>
      </c>
      <c r="G4143" s="12" t="inlineStr">
        <is>
          <t>MOD-EH</t>
        </is>
      </c>
      <c r="H4143" s="12" t="inlineStr">
        <is>
          <t>MOD-EH: 13.8 kV modular collector e-house</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Duct bank</t>
        </is>
      </c>
      <c r="T4143" s="17" t="n">
        <v>355</v>
      </c>
      <c r="U4143" s="17" t="n">
        <v>32</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I-C-0030</t>
        </is>
      </c>
      <c r="B4144" s="12" t="inlineStr">
        <is>
          <t>I</t>
        </is>
      </c>
      <c r="C4144" s="12" t="inlineStr">
        <is>
          <t>Modular / portable power</t>
        </is>
      </c>
      <c r="D4144" s="12" t="inlineStr">
        <is>
          <t>Control</t>
        </is>
      </c>
      <c r="E4144" s="12" t="inlineStr"/>
      <c r="F4144" s="12" t="inlineStr">
        <is>
          <t>PCM: power control module</t>
        </is>
      </c>
      <c r="G4144" s="12" t="inlineStr"/>
      <c r="H4144" s="12" t="inlineStr">
        <is>
          <t>MOD-LV 480 V board + 480 V : 13.8 kV step-up</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Duct bank</t>
        </is>
      </c>
      <c r="T4144" s="17" t="n">
        <v>757</v>
      </c>
      <c r="U4144" s="17" t="n">
        <v>32</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I-C-0031</t>
        </is>
      </c>
      <c r="B4145" s="12" t="inlineStr">
        <is>
          <t>I</t>
        </is>
      </c>
      <c r="C4145" s="12" t="inlineStr">
        <is>
          <t>Modular / portable power</t>
        </is>
      </c>
      <c r="D4145" s="12" t="inlineStr">
        <is>
          <t>Control</t>
        </is>
      </c>
      <c r="E4145" s="12" t="inlineStr"/>
      <c r="F4145" s="12" t="inlineStr">
        <is>
          <t>PCM: power control module</t>
        </is>
      </c>
      <c r="G4145" s="12" t="inlineStr"/>
      <c r="H4145" s="12" t="inlineStr">
        <is>
          <t>PCM: power control module</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7" t="n">
        <v>0</v>
      </c>
      <c r="U4145" s="17" t="n">
        <v>32</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I-C-0032</t>
        </is>
      </c>
      <c r="B4146" s="12" t="inlineStr">
        <is>
          <t>I</t>
        </is>
      </c>
      <c r="C4146" s="12" t="inlineStr">
        <is>
          <t>Modular / portable power</t>
        </is>
      </c>
      <c r="D4146" s="12" t="inlineStr">
        <is>
          <t>Motor 1 of 1: control / local station</t>
        </is>
      </c>
      <c r="E4146" s="12" t="inlineStr"/>
      <c r="F4146" s="12" t="inlineStr">
        <is>
          <t>PCM: power control module</t>
        </is>
      </c>
      <c r="G4146" s="12" t="inlineStr"/>
      <c r="H4146" s="12" t="inlineStr">
        <is>
          <t>RICE 1 SCR + oxidation catalyst and stack</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Duct bank</t>
        </is>
      </c>
      <c r="T4146" s="17" t="n">
        <v>470</v>
      </c>
      <c r="U4146" s="17" t="n">
        <v>160</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I-C-0033</t>
        </is>
      </c>
      <c r="B4147" s="12" t="inlineStr">
        <is>
          <t>I</t>
        </is>
      </c>
      <c r="C4147" s="12" t="inlineStr">
        <is>
          <t>Modular / portable power</t>
        </is>
      </c>
      <c r="D4147" s="12" t="inlineStr">
        <is>
          <t>Motor 1 of 5: control / local station</t>
        </is>
      </c>
      <c r="E4147" s="12" t="inlineStr"/>
      <c r="F4147" s="12" t="inlineStr">
        <is>
          <t>PCM: power control module</t>
        </is>
      </c>
      <c r="G4147" s="12" t="inlineStr"/>
      <c r="H4147" s="12" t="inlineStr">
        <is>
          <t>RICE 1 radiators (5)</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7" t="n">
        <v>745</v>
      </c>
      <c r="U4147" s="17" t="n">
        <v>139</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I-C-0034</t>
        </is>
      </c>
      <c r="B4148" s="12" t="inlineStr">
        <is>
          <t>I</t>
        </is>
      </c>
      <c r="C4148" s="12" t="inlineStr">
        <is>
          <t>Modular / portable power</t>
        </is>
      </c>
      <c r="D4148" s="12" t="inlineStr">
        <is>
          <t>Motor 2 of 5: control / local station</t>
        </is>
      </c>
      <c r="E4148" s="12" t="inlineStr"/>
      <c r="F4148" s="12" t="inlineStr">
        <is>
          <t>PCM: power control module</t>
        </is>
      </c>
      <c r="G4148" s="12" t="inlineStr"/>
      <c r="H4148" s="12" t="inlineStr">
        <is>
          <t>RICE 1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7" t="n">
        <v>745</v>
      </c>
      <c r="U4148" s="17" t="n">
        <v>139</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I-C-0035</t>
        </is>
      </c>
      <c r="B4149" s="12" t="inlineStr">
        <is>
          <t>I</t>
        </is>
      </c>
      <c r="C4149" s="12" t="inlineStr">
        <is>
          <t>Modular / portable power</t>
        </is>
      </c>
      <c r="D4149" s="12" t="inlineStr">
        <is>
          <t>Motor 3 of 5: control / local station</t>
        </is>
      </c>
      <c r="E4149" s="12" t="inlineStr"/>
      <c r="F4149" s="12" t="inlineStr">
        <is>
          <t>PCM: power control module</t>
        </is>
      </c>
      <c r="G4149" s="12" t="inlineStr"/>
      <c r="H4149" s="12" t="inlineStr">
        <is>
          <t>RICE 1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7" t="n">
        <v>745</v>
      </c>
      <c r="U4149" s="17" t="n">
        <v>139</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I-C-0036</t>
        </is>
      </c>
      <c r="B4150" s="12" t="inlineStr">
        <is>
          <t>I</t>
        </is>
      </c>
      <c r="C4150" s="12" t="inlineStr">
        <is>
          <t>Modular / portable power</t>
        </is>
      </c>
      <c r="D4150" s="12" t="inlineStr">
        <is>
          <t>Motor 4 of 5: control / local station</t>
        </is>
      </c>
      <c r="E4150" s="12" t="inlineStr"/>
      <c r="F4150" s="12" t="inlineStr">
        <is>
          <t>PCM: power control module</t>
        </is>
      </c>
      <c r="G4150" s="12" t="inlineStr"/>
      <c r="H4150" s="12" t="inlineStr">
        <is>
          <t>RICE 1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Duct bank</t>
        </is>
      </c>
      <c r="T4150" s="17" t="n">
        <v>745</v>
      </c>
      <c r="U4150" s="17" t="n">
        <v>139</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I-C-0037</t>
        </is>
      </c>
      <c r="B4151" s="12" t="inlineStr">
        <is>
          <t>I</t>
        </is>
      </c>
      <c r="C4151" s="12" t="inlineStr">
        <is>
          <t>Modular / portable power</t>
        </is>
      </c>
      <c r="D4151" s="12" t="inlineStr">
        <is>
          <t>Motor 5 of 5: control / local station</t>
        </is>
      </c>
      <c r="E4151" s="12" t="inlineStr"/>
      <c r="F4151" s="12" t="inlineStr">
        <is>
          <t>PCM: power control module</t>
        </is>
      </c>
      <c r="G4151" s="12" t="inlineStr"/>
      <c r="H4151" s="12" t="inlineStr">
        <is>
          <t>RICE 1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7" t="n">
        <v>745</v>
      </c>
      <c r="U4151" s="17" t="n">
        <v>139</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I-C-0038</t>
        </is>
      </c>
      <c r="B4152" s="12" t="inlineStr">
        <is>
          <t>I</t>
        </is>
      </c>
      <c r="C4152" s="12" t="inlineStr">
        <is>
          <t>Modular / portable power</t>
        </is>
      </c>
      <c r="D4152" s="12" t="inlineStr">
        <is>
          <t>Motor 1 of 1: control / local station</t>
        </is>
      </c>
      <c r="E4152" s="12" t="inlineStr"/>
      <c r="F4152" s="12" t="inlineStr">
        <is>
          <t>PCM: power control module</t>
        </is>
      </c>
      <c r="G4152" s="12" t="inlineStr"/>
      <c r="H4152" s="12" t="inlineStr">
        <is>
          <t>RICE 2 SCR + oxidation catalyst and stack</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Duct bank</t>
        </is>
      </c>
      <c r="T4152" s="17" t="n">
        <v>470</v>
      </c>
      <c r="U4152" s="17" t="n">
        <v>132</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I-C-0039</t>
        </is>
      </c>
      <c r="B4153" s="12" t="inlineStr">
        <is>
          <t>I</t>
        </is>
      </c>
      <c r="C4153" s="12" t="inlineStr">
        <is>
          <t>Modular / portable power</t>
        </is>
      </c>
      <c r="D4153" s="12" t="inlineStr">
        <is>
          <t>Motor 1 of 5: control / local station</t>
        </is>
      </c>
      <c r="E4153" s="12" t="inlineStr"/>
      <c r="F4153" s="12" t="inlineStr">
        <is>
          <t>PCM: power control module</t>
        </is>
      </c>
      <c r="G4153" s="12" t="inlineStr"/>
      <c r="H4153" s="12" t="inlineStr">
        <is>
          <t>RICE 2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7" t="n">
        <v>550</v>
      </c>
      <c r="U4153" s="17" t="n">
        <v>192</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I-C-0040</t>
        </is>
      </c>
      <c r="B4154" s="12" t="inlineStr">
        <is>
          <t>I</t>
        </is>
      </c>
      <c r="C4154" s="12" t="inlineStr">
        <is>
          <t>Modular / portable power</t>
        </is>
      </c>
      <c r="D4154" s="12" t="inlineStr">
        <is>
          <t>Motor 2 of 5: control / local station</t>
        </is>
      </c>
      <c r="E4154" s="12" t="inlineStr"/>
      <c r="F4154" s="12" t="inlineStr">
        <is>
          <t>PCM: power control module</t>
        </is>
      </c>
      <c r="G4154" s="12" t="inlineStr"/>
      <c r="H4154" s="12" t="inlineStr">
        <is>
          <t>RICE 2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7" t="n">
        <v>550</v>
      </c>
      <c r="U4154" s="17" t="n">
        <v>192</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I-C-0041</t>
        </is>
      </c>
      <c r="B4155" s="12" t="inlineStr">
        <is>
          <t>I</t>
        </is>
      </c>
      <c r="C4155" s="12" t="inlineStr">
        <is>
          <t>Modular / portable power</t>
        </is>
      </c>
      <c r="D4155" s="12" t="inlineStr">
        <is>
          <t>Motor 3 of 5: control / local station</t>
        </is>
      </c>
      <c r="E4155" s="12" t="inlineStr"/>
      <c r="F4155" s="12" t="inlineStr">
        <is>
          <t>PCM: power control module</t>
        </is>
      </c>
      <c r="G4155" s="12" t="inlineStr"/>
      <c r="H4155" s="12" t="inlineStr">
        <is>
          <t>RICE 2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7" t="n">
        <v>550</v>
      </c>
      <c r="U4155" s="17" t="n">
        <v>192</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I-C-0042</t>
        </is>
      </c>
      <c r="B4156" s="12" t="inlineStr">
        <is>
          <t>I</t>
        </is>
      </c>
      <c r="C4156" s="12" t="inlineStr">
        <is>
          <t>Modular / portable power</t>
        </is>
      </c>
      <c r="D4156" s="12" t="inlineStr">
        <is>
          <t>Motor 4 of 5: control / local station</t>
        </is>
      </c>
      <c r="E4156" s="12" t="inlineStr"/>
      <c r="F4156" s="12" t="inlineStr">
        <is>
          <t>PCM: power control module</t>
        </is>
      </c>
      <c r="G4156" s="12" t="inlineStr"/>
      <c r="H4156" s="12" t="inlineStr">
        <is>
          <t>RICE 2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Duct bank</t>
        </is>
      </c>
      <c r="T4156" s="17" t="n">
        <v>550</v>
      </c>
      <c r="U4156" s="17" t="n">
        <v>192</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I-C-0043</t>
        </is>
      </c>
      <c r="B4157" s="12" t="inlineStr">
        <is>
          <t>I</t>
        </is>
      </c>
      <c r="C4157" s="12" t="inlineStr">
        <is>
          <t>Modular / portable power</t>
        </is>
      </c>
      <c r="D4157" s="12" t="inlineStr">
        <is>
          <t>Motor 5 of 5: control / local station</t>
        </is>
      </c>
      <c r="E4157" s="12" t="inlineStr"/>
      <c r="F4157" s="12" t="inlineStr">
        <is>
          <t>PCM: power control module</t>
        </is>
      </c>
      <c r="G4157" s="12" t="inlineStr"/>
      <c r="H4157" s="12" t="inlineStr">
        <is>
          <t>RICE 2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7" t="n">
        <v>550</v>
      </c>
      <c r="U4157" s="17" t="n">
        <v>192</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I-C-0044</t>
        </is>
      </c>
      <c r="B4158" s="12" t="inlineStr">
        <is>
          <t>I</t>
        </is>
      </c>
      <c r="C4158" s="12" t="inlineStr">
        <is>
          <t>Modular / portable power</t>
        </is>
      </c>
      <c r="D4158" s="12" t="inlineStr">
        <is>
          <t>Motor 1 of 1: control / local station</t>
        </is>
      </c>
      <c r="E4158" s="12" t="inlineStr"/>
      <c r="F4158" s="12" t="inlineStr">
        <is>
          <t>PCM: power control module</t>
        </is>
      </c>
      <c r="G4158" s="12" t="inlineStr"/>
      <c r="H4158" s="12" t="inlineStr">
        <is>
          <t>RICE 3 SCR + oxidation catalyst and stack</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Duct bank</t>
        </is>
      </c>
      <c r="T4158" s="17" t="n">
        <v>470</v>
      </c>
      <c r="U4158" s="17" t="n">
        <v>104</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I-C-0045</t>
        </is>
      </c>
      <c r="B4159" s="12" t="inlineStr">
        <is>
          <t>I</t>
        </is>
      </c>
      <c r="C4159" s="12" t="inlineStr">
        <is>
          <t>Modular / portable power</t>
        </is>
      </c>
      <c r="D4159" s="12" t="inlineStr">
        <is>
          <t>Motor 1 of 5: control / local station</t>
        </is>
      </c>
      <c r="E4159" s="12" t="inlineStr"/>
      <c r="F4159" s="12" t="inlineStr">
        <is>
          <t>PCM: power control module</t>
        </is>
      </c>
      <c r="G4159" s="12" t="inlineStr"/>
      <c r="H4159" s="12" t="inlineStr">
        <is>
          <t>RICE 3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Tray</t>
        </is>
      </c>
      <c r="T4159" s="17" t="n">
        <v>40</v>
      </c>
      <c r="U4159" s="17" t="n">
        <v>240</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I-C-0046</t>
        </is>
      </c>
      <c r="B4160" s="12" t="inlineStr">
        <is>
          <t>I</t>
        </is>
      </c>
      <c r="C4160" s="12" t="inlineStr">
        <is>
          <t>Modular / portable power</t>
        </is>
      </c>
      <c r="D4160" s="12" t="inlineStr">
        <is>
          <t>Motor 2 of 5: control / local station</t>
        </is>
      </c>
      <c r="E4160" s="12" t="inlineStr"/>
      <c r="F4160" s="12" t="inlineStr">
        <is>
          <t>PCM: power control module</t>
        </is>
      </c>
      <c r="G4160" s="12" t="inlineStr"/>
      <c r="H4160" s="12" t="inlineStr">
        <is>
          <t>RICE 3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7" t="n">
        <v>40</v>
      </c>
      <c r="U4160" s="17" t="n">
        <v>240</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I-C-0047</t>
        </is>
      </c>
      <c r="B4161" s="12" t="inlineStr">
        <is>
          <t>I</t>
        </is>
      </c>
      <c r="C4161" s="12" t="inlineStr">
        <is>
          <t>Modular / portable power</t>
        </is>
      </c>
      <c r="D4161" s="12" t="inlineStr">
        <is>
          <t>Motor 3 of 5: control / local station</t>
        </is>
      </c>
      <c r="E4161" s="12" t="inlineStr"/>
      <c r="F4161" s="12" t="inlineStr">
        <is>
          <t>PCM: power control module</t>
        </is>
      </c>
      <c r="G4161" s="12" t="inlineStr"/>
      <c r="H4161" s="12" t="inlineStr">
        <is>
          <t>RICE 3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240</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I-C-0048</t>
        </is>
      </c>
      <c r="B4162" s="12" t="inlineStr">
        <is>
          <t>I</t>
        </is>
      </c>
      <c r="C4162" s="12" t="inlineStr">
        <is>
          <t>Modular / portable power</t>
        </is>
      </c>
      <c r="D4162" s="12" t="inlineStr">
        <is>
          <t>Motor 4 of 5: control / local station</t>
        </is>
      </c>
      <c r="E4162" s="12" t="inlineStr"/>
      <c r="F4162" s="12" t="inlineStr">
        <is>
          <t>PCM: power control module</t>
        </is>
      </c>
      <c r="G4162" s="12" t="inlineStr"/>
      <c r="H4162" s="12" t="inlineStr">
        <is>
          <t>RICE 3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7" t="n">
        <v>40</v>
      </c>
      <c r="U4162" s="17" t="n">
        <v>240</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I-C-0049</t>
        </is>
      </c>
      <c r="B4163" s="12" t="inlineStr">
        <is>
          <t>I</t>
        </is>
      </c>
      <c r="C4163" s="12" t="inlineStr">
        <is>
          <t>Modular / portable power</t>
        </is>
      </c>
      <c r="D4163" s="12" t="inlineStr">
        <is>
          <t>Motor 5 of 5: control / local station</t>
        </is>
      </c>
      <c r="E4163" s="12" t="inlineStr"/>
      <c r="F4163" s="12" t="inlineStr">
        <is>
          <t>PCM: power control module</t>
        </is>
      </c>
      <c r="G4163" s="12" t="inlineStr"/>
      <c r="H4163" s="12" t="inlineStr">
        <is>
          <t>RICE 3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7" t="n">
        <v>40</v>
      </c>
      <c r="U4163" s="17" t="n">
        <v>240</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I-C-0050</t>
        </is>
      </c>
      <c r="B4164" s="12" t="inlineStr">
        <is>
          <t>I</t>
        </is>
      </c>
      <c r="C4164" s="12" t="inlineStr">
        <is>
          <t>Modular / portable power</t>
        </is>
      </c>
      <c r="D4164" s="12" t="inlineStr">
        <is>
          <t>Motor 1 of 1: control / local station</t>
        </is>
      </c>
      <c r="E4164" s="12" t="inlineStr"/>
      <c r="F4164" s="12" t="inlineStr">
        <is>
          <t>PCM: power control module</t>
        </is>
      </c>
      <c r="G4164" s="12" t="inlineStr"/>
      <c r="H4164" s="12" t="inlineStr">
        <is>
          <t>RICE 4 SCR + oxidation catalyst and stack</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Duct bank</t>
        </is>
      </c>
      <c r="T4164" s="17" t="n">
        <v>470</v>
      </c>
      <c r="U4164" s="17" t="n">
        <v>76</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I-C-0051</t>
        </is>
      </c>
      <c r="B4165" s="12" t="inlineStr">
        <is>
          <t>I</t>
        </is>
      </c>
      <c r="C4165" s="12" t="inlineStr">
        <is>
          <t>Modular / portable power</t>
        </is>
      </c>
      <c r="D4165" s="12" t="inlineStr">
        <is>
          <t>Motor 1 of 5: control / local station</t>
        </is>
      </c>
      <c r="E4165" s="12" t="inlineStr"/>
      <c r="F4165" s="12" t="inlineStr">
        <is>
          <t>PCM: power control module</t>
        </is>
      </c>
      <c r="G4165" s="12" t="inlineStr"/>
      <c r="H4165" s="12" t="inlineStr">
        <is>
          <t>RICE 4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7" t="n">
        <v>0</v>
      </c>
      <c r="U4165" s="17" t="n">
        <v>206</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I-C-0052</t>
        </is>
      </c>
      <c r="B4166" s="12" t="inlineStr">
        <is>
          <t>I</t>
        </is>
      </c>
      <c r="C4166" s="12" t="inlineStr">
        <is>
          <t>Modular / portable power</t>
        </is>
      </c>
      <c r="D4166" s="12" t="inlineStr">
        <is>
          <t>Motor 2 of 5: control / local station</t>
        </is>
      </c>
      <c r="E4166" s="12" t="inlineStr"/>
      <c r="F4166" s="12" t="inlineStr">
        <is>
          <t>PCM: power control module</t>
        </is>
      </c>
      <c r="G4166" s="12" t="inlineStr"/>
      <c r="H4166" s="12" t="inlineStr">
        <is>
          <t>RICE 4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7" t="n">
        <v>0</v>
      </c>
      <c r="U4166" s="17" t="n">
        <v>206</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I-C-0053</t>
        </is>
      </c>
      <c r="B4167" s="12" t="inlineStr">
        <is>
          <t>I</t>
        </is>
      </c>
      <c r="C4167" s="12" t="inlineStr">
        <is>
          <t>Modular / portable power</t>
        </is>
      </c>
      <c r="D4167" s="12" t="inlineStr">
        <is>
          <t>Motor 3 of 5: control / local station</t>
        </is>
      </c>
      <c r="E4167" s="12" t="inlineStr"/>
      <c r="F4167" s="12" t="inlineStr">
        <is>
          <t>PCM: power control module</t>
        </is>
      </c>
      <c r="G4167" s="12" t="inlineStr"/>
      <c r="H4167" s="12" t="inlineStr">
        <is>
          <t>RICE 4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7" t="n">
        <v>0</v>
      </c>
      <c r="U4167" s="17" t="n">
        <v>206</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I-C-0054</t>
        </is>
      </c>
      <c r="B4168" s="12" t="inlineStr">
        <is>
          <t>I</t>
        </is>
      </c>
      <c r="C4168" s="12" t="inlineStr">
        <is>
          <t>Modular / portable power</t>
        </is>
      </c>
      <c r="D4168" s="12" t="inlineStr">
        <is>
          <t>Motor 4 of 5: control / local station</t>
        </is>
      </c>
      <c r="E4168" s="12" t="inlineStr"/>
      <c r="F4168" s="12" t="inlineStr">
        <is>
          <t>PCM: power control module</t>
        </is>
      </c>
      <c r="G4168" s="12" t="inlineStr"/>
      <c r="H4168" s="12" t="inlineStr">
        <is>
          <t>RICE 4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7" t="n">
        <v>0</v>
      </c>
      <c r="U4168" s="17" t="n">
        <v>206</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I-C-0055</t>
        </is>
      </c>
      <c r="B4169" s="12" t="inlineStr">
        <is>
          <t>I</t>
        </is>
      </c>
      <c r="C4169" s="12" t="inlineStr">
        <is>
          <t>Modular / portable power</t>
        </is>
      </c>
      <c r="D4169" s="12" t="inlineStr">
        <is>
          <t>Motor 5 of 5: control / local station</t>
        </is>
      </c>
      <c r="E4169" s="12" t="inlineStr"/>
      <c r="F4169" s="12" t="inlineStr">
        <is>
          <t>PCM: power control module</t>
        </is>
      </c>
      <c r="G4169" s="12" t="inlineStr"/>
      <c r="H4169" s="12" t="inlineStr">
        <is>
          <t>RICE 4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7" t="n">
        <v>0</v>
      </c>
      <c r="U4169" s="17" t="n">
        <v>206</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I-C-0056</t>
        </is>
      </c>
      <c r="B4170" s="12" t="inlineStr">
        <is>
          <t>I</t>
        </is>
      </c>
      <c r="C4170" s="12" t="inlineStr">
        <is>
          <t>Modular / portable power</t>
        </is>
      </c>
      <c r="D4170" s="12" t="inlineStr">
        <is>
          <t>Motor 1 of 1: control / local station</t>
        </is>
      </c>
      <c r="E4170" s="12" t="inlineStr"/>
      <c r="F4170" s="12" t="inlineStr">
        <is>
          <t>PCM: power control module</t>
        </is>
      </c>
      <c r="G4170" s="12" t="inlineStr"/>
      <c r="H4170" s="12" t="inlineStr">
        <is>
          <t>RICE 5 SCR + oxidation catalyst and stack</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Duct bank</t>
        </is>
      </c>
      <c r="T4170" s="17" t="n">
        <v>322</v>
      </c>
      <c r="U4170" s="17" t="n">
        <v>196</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I-C-0057</t>
        </is>
      </c>
      <c r="B4171" s="12" t="inlineStr">
        <is>
          <t>I</t>
        </is>
      </c>
      <c r="C4171" s="12" t="inlineStr">
        <is>
          <t>Modular / portable power</t>
        </is>
      </c>
      <c r="D4171" s="12" t="inlineStr">
        <is>
          <t>Motor 1 of 5: control / local station</t>
        </is>
      </c>
      <c r="E4171" s="12" t="inlineStr"/>
      <c r="F4171" s="12" t="inlineStr">
        <is>
          <t>PCM: power control module</t>
        </is>
      </c>
      <c r="G4171" s="12" t="inlineStr"/>
      <c r="H4171" s="12" t="inlineStr">
        <is>
          <t>RICE 5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7" t="n">
        <v>0</v>
      </c>
      <c r="U4171" s="17" t="n">
        <v>178</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I-C-0058</t>
        </is>
      </c>
      <c r="B4172" s="12" t="inlineStr">
        <is>
          <t>I</t>
        </is>
      </c>
      <c r="C4172" s="12" t="inlineStr">
        <is>
          <t>Modular / portable power</t>
        </is>
      </c>
      <c r="D4172" s="12" t="inlineStr">
        <is>
          <t>Motor 2 of 5: control / local station</t>
        </is>
      </c>
      <c r="E4172" s="12" t="inlineStr"/>
      <c r="F4172" s="12" t="inlineStr">
        <is>
          <t>PCM: power control module</t>
        </is>
      </c>
      <c r="G4172" s="12" t="inlineStr"/>
      <c r="H4172" s="12" t="inlineStr">
        <is>
          <t>RICE 5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7" t="n">
        <v>0</v>
      </c>
      <c r="U4172" s="17" t="n">
        <v>178</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I-C-0059</t>
        </is>
      </c>
      <c r="B4173" s="12" t="inlineStr">
        <is>
          <t>I</t>
        </is>
      </c>
      <c r="C4173" s="12" t="inlineStr">
        <is>
          <t>Modular / portable power</t>
        </is>
      </c>
      <c r="D4173" s="12" t="inlineStr">
        <is>
          <t>Motor 3 of 5: control / local station</t>
        </is>
      </c>
      <c r="E4173" s="12" t="inlineStr"/>
      <c r="F4173" s="12" t="inlineStr">
        <is>
          <t>PCM: power control module</t>
        </is>
      </c>
      <c r="G4173" s="12" t="inlineStr"/>
      <c r="H4173" s="12" t="inlineStr">
        <is>
          <t>RICE 5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7" t="n">
        <v>0</v>
      </c>
      <c r="U4173" s="17" t="n">
        <v>178</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I-C-0060</t>
        </is>
      </c>
      <c r="B4174" s="12" t="inlineStr">
        <is>
          <t>I</t>
        </is>
      </c>
      <c r="C4174" s="12" t="inlineStr">
        <is>
          <t>Modular / portable power</t>
        </is>
      </c>
      <c r="D4174" s="12" t="inlineStr">
        <is>
          <t>Motor 4 of 5: control / local station</t>
        </is>
      </c>
      <c r="E4174" s="12" t="inlineStr"/>
      <c r="F4174" s="12" t="inlineStr">
        <is>
          <t>PCM: power control module</t>
        </is>
      </c>
      <c r="G4174" s="12" t="inlineStr"/>
      <c r="H4174" s="12" t="inlineStr">
        <is>
          <t>RICE 5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7" t="n">
        <v>0</v>
      </c>
      <c r="U4174" s="17" t="n">
        <v>178</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I-C-0061</t>
        </is>
      </c>
      <c r="B4175" s="12" t="inlineStr">
        <is>
          <t>I</t>
        </is>
      </c>
      <c r="C4175" s="12" t="inlineStr">
        <is>
          <t>Modular / portable power</t>
        </is>
      </c>
      <c r="D4175" s="12" t="inlineStr">
        <is>
          <t>Motor 5 of 5: control / local station</t>
        </is>
      </c>
      <c r="E4175" s="12" t="inlineStr"/>
      <c r="F4175" s="12" t="inlineStr">
        <is>
          <t>PCM: power control module</t>
        </is>
      </c>
      <c r="G4175" s="12" t="inlineStr"/>
      <c r="H4175" s="12" t="inlineStr">
        <is>
          <t>RICE 5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7" t="n">
        <v>0</v>
      </c>
      <c r="U4175" s="17" t="n">
        <v>178</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I-C-0062</t>
        </is>
      </c>
      <c r="B4176" s="12" t="inlineStr">
        <is>
          <t>I</t>
        </is>
      </c>
      <c r="C4176" s="12" t="inlineStr">
        <is>
          <t>Modular / portable power</t>
        </is>
      </c>
      <c r="D4176" s="12" t="inlineStr">
        <is>
          <t>Motor 1 of 1: control / local station</t>
        </is>
      </c>
      <c r="E4176" s="12" t="inlineStr"/>
      <c r="F4176" s="12" t="inlineStr">
        <is>
          <t>PCM: power control module</t>
        </is>
      </c>
      <c r="G4176" s="12" t="inlineStr"/>
      <c r="H4176" s="12" t="inlineStr">
        <is>
          <t>RICE 6 SCR + oxidation catalyst and stack</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Duct bank</t>
        </is>
      </c>
      <c r="T4176" s="17" t="n">
        <v>322</v>
      </c>
      <c r="U4176" s="17" t="n">
        <v>168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I-C-0063</t>
        </is>
      </c>
      <c r="B4177" s="12" t="inlineStr">
        <is>
          <t>I</t>
        </is>
      </c>
      <c r="C4177" s="12" t="inlineStr">
        <is>
          <t>Modular / portable power</t>
        </is>
      </c>
      <c r="D4177" s="12" t="inlineStr">
        <is>
          <t>Motor 1 of 5: control / local station</t>
        </is>
      </c>
      <c r="E4177" s="12" t="inlineStr"/>
      <c r="F4177" s="12" t="inlineStr">
        <is>
          <t>PCM: power control module</t>
        </is>
      </c>
      <c r="G4177" s="12" t="inlineStr"/>
      <c r="H4177" s="12" t="inlineStr">
        <is>
          <t>RICE 6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7" t="n">
        <v>0</v>
      </c>
      <c r="U4177" s="17" t="n">
        <v>150</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I-C-0064</t>
        </is>
      </c>
      <c r="B4178" s="12" t="inlineStr">
        <is>
          <t>I</t>
        </is>
      </c>
      <c r="C4178" s="12" t="inlineStr">
        <is>
          <t>Modular / portable power</t>
        </is>
      </c>
      <c r="D4178" s="12" t="inlineStr">
        <is>
          <t>Motor 2 of 5: control / local station</t>
        </is>
      </c>
      <c r="E4178" s="12" t="inlineStr"/>
      <c r="F4178" s="12" t="inlineStr">
        <is>
          <t>PCM: power control module</t>
        </is>
      </c>
      <c r="G4178" s="12" t="inlineStr"/>
      <c r="H4178" s="12" t="inlineStr">
        <is>
          <t>RICE 6 radiators (5)</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Tray</t>
        </is>
      </c>
      <c r="T4178" s="17" t="n">
        <v>0</v>
      </c>
      <c r="U4178" s="17" t="n">
        <v>150</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I-C-0065</t>
        </is>
      </c>
      <c r="B4179" s="12" t="inlineStr">
        <is>
          <t>I</t>
        </is>
      </c>
      <c r="C4179" s="12" t="inlineStr">
        <is>
          <t>Modular / portable power</t>
        </is>
      </c>
      <c r="D4179" s="12" t="inlineStr">
        <is>
          <t>Motor 3 of 5: control / local station</t>
        </is>
      </c>
      <c r="E4179" s="12" t="inlineStr"/>
      <c r="F4179" s="12" t="inlineStr">
        <is>
          <t>PCM: power control module</t>
        </is>
      </c>
      <c r="G4179" s="12" t="inlineStr"/>
      <c r="H4179" s="12" t="inlineStr">
        <is>
          <t>RICE 6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0</v>
      </c>
      <c r="U4179" s="17" t="n">
        <v>150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I-C-0066</t>
        </is>
      </c>
      <c r="B4180" s="12" t="inlineStr">
        <is>
          <t>I</t>
        </is>
      </c>
      <c r="C4180" s="12" t="inlineStr">
        <is>
          <t>Modular / portable power</t>
        </is>
      </c>
      <c r="D4180" s="12" t="inlineStr">
        <is>
          <t>Motor 4 of 5: control / local station</t>
        </is>
      </c>
      <c r="E4180" s="12" t="inlineStr"/>
      <c r="F4180" s="12" t="inlineStr">
        <is>
          <t>PCM: power control module</t>
        </is>
      </c>
      <c r="G4180" s="12" t="inlineStr"/>
      <c r="H4180" s="12" t="inlineStr">
        <is>
          <t>RICE 6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0</v>
      </c>
      <c r="U4180" s="17" t="n">
        <v>150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I-C-0067</t>
        </is>
      </c>
      <c r="B4181" s="12" t="inlineStr">
        <is>
          <t>I</t>
        </is>
      </c>
      <c r="C4181" s="12" t="inlineStr">
        <is>
          <t>Modular / portable power</t>
        </is>
      </c>
      <c r="D4181" s="12" t="inlineStr">
        <is>
          <t>Motor 5 of 5: control / local station</t>
        </is>
      </c>
      <c r="E4181" s="12" t="inlineStr"/>
      <c r="F4181" s="12" t="inlineStr">
        <is>
          <t>PCM: power control module</t>
        </is>
      </c>
      <c r="G4181" s="12" t="inlineStr"/>
      <c r="H4181" s="12" t="inlineStr">
        <is>
          <t>RICE 6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0</v>
      </c>
      <c r="U4181" s="17" t="n">
        <v>150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I-C-0068</t>
        </is>
      </c>
      <c r="B4182" s="12" t="inlineStr">
        <is>
          <t>I</t>
        </is>
      </c>
      <c r="C4182" s="12" t="inlineStr">
        <is>
          <t>Modular / portable power</t>
        </is>
      </c>
      <c r="D4182" s="12" t="inlineStr">
        <is>
          <t>Motor 1 of 1: control / local station</t>
        </is>
      </c>
      <c r="E4182" s="12" t="inlineStr"/>
      <c r="F4182" s="12" t="inlineStr">
        <is>
          <t>PCM: power control module</t>
        </is>
      </c>
      <c r="G4182" s="12" t="inlineStr"/>
      <c r="H4182" s="12" t="inlineStr">
        <is>
          <t>RICE 7 SCR + oxidation catalyst and stack</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Duct bank</t>
        </is>
      </c>
      <c r="T4182" s="17" t="n">
        <v>322</v>
      </c>
      <c r="U4182" s="17" t="n">
        <v>140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I-C-0069</t>
        </is>
      </c>
      <c r="B4183" s="12" t="inlineStr">
        <is>
          <t>I</t>
        </is>
      </c>
      <c r="C4183" s="12" t="inlineStr">
        <is>
          <t>Modular / portable power</t>
        </is>
      </c>
      <c r="D4183" s="12" t="inlineStr">
        <is>
          <t>Motor 1 of 5: control / local station</t>
        </is>
      </c>
      <c r="E4183" s="12" t="inlineStr"/>
      <c r="F4183" s="12" t="inlineStr">
        <is>
          <t>PCM: power control module</t>
        </is>
      </c>
      <c r="G4183" s="12" t="inlineStr"/>
      <c r="H4183" s="12" t="inlineStr">
        <is>
          <t>RICE 7 radiators (5)</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Tray</t>
        </is>
      </c>
      <c r="T4183" s="17" t="n">
        <v>0</v>
      </c>
      <c r="U4183" s="17" t="n">
        <v>122</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I-C-0070</t>
        </is>
      </c>
      <c r="B4184" s="12" t="inlineStr">
        <is>
          <t>I</t>
        </is>
      </c>
      <c r="C4184" s="12" t="inlineStr">
        <is>
          <t>Modular / portable power</t>
        </is>
      </c>
      <c r="D4184" s="12" t="inlineStr">
        <is>
          <t>Motor 2 of 5: control / local station</t>
        </is>
      </c>
      <c r="E4184" s="12" t="inlineStr"/>
      <c r="F4184" s="12" t="inlineStr">
        <is>
          <t>PCM: power control module</t>
        </is>
      </c>
      <c r="G4184" s="12" t="inlineStr"/>
      <c r="H4184" s="12" t="inlineStr">
        <is>
          <t>RICE 7 radiators (5)</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Tray</t>
        </is>
      </c>
      <c r="T4184" s="17" t="n">
        <v>0</v>
      </c>
      <c r="U4184" s="17" t="n">
        <v>122</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I-C-0071</t>
        </is>
      </c>
      <c r="B4185" s="12" t="inlineStr">
        <is>
          <t>I</t>
        </is>
      </c>
      <c r="C4185" s="12" t="inlineStr">
        <is>
          <t>Modular / portable power</t>
        </is>
      </c>
      <c r="D4185" s="12" t="inlineStr">
        <is>
          <t>Motor 3 of 5: control / local station</t>
        </is>
      </c>
      <c r="E4185" s="12" t="inlineStr"/>
      <c r="F4185" s="12" t="inlineStr">
        <is>
          <t>PCM: power control module</t>
        </is>
      </c>
      <c r="G4185" s="12" t="inlineStr"/>
      <c r="H4185" s="12" t="inlineStr">
        <is>
          <t>RICE 7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122</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I-C-0072</t>
        </is>
      </c>
      <c r="B4186" s="12" t="inlineStr">
        <is>
          <t>I</t>
        </is>
      </c>
      <c r="C4186" s="12" t="inlineStr">
        <is>
          <t>Modular / portable power</t>
        </is>
      </c>
      <c r="D4186" s="12" t="inlineStr">
        <is>
          <t>Motor 4 of 5: control / local station</t>
        </is>
      </c>
      <c r="E4186" s="12" t="inlineStr"/>
      <c r="F4186" s="12" t="inlineStr">
        <is>
          <t>PCM: power control module</t>
        </is>
      </c>
      <c r="G4186" s="12" t="inlineStr"/>
      <c r="H4186" s="12" t="inlineStr">
        <is>
          <t>RICE 7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122</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I-C-0073</t>
        </is>
      </c>
      <c r="B4187" s="12" t="inlineStr">
        <is>
          <t>I</t>
        </is>
      </c>
      <c r="C4187" s="12" t="inlineStr">
        <is>
          <t>Modular / portable power</t>
        </is>
      </c>
      <c r="D4187" s="12" t="inlineStr">
        <is>
          <t>Motor 5 of 5: control / local station</t>
        </is>
      </c>
      <c r="E4187" s="12" t="inlineStr"/>
      <c r="F4187" s="12" t="inlineStr">
        <is>
          <t>PCM: power control module</t>
        </is>
      </c>
      <c r="G4187" s="12" t="inlineStr"/>
      <c r="H4187" s="12" t="inlineStr">
        <is>
          <t>RICE 7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122</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I-C-0074</t>
        </is>
      </c>
      <c r="B4188" s="12" t="inlineStr">
        <is>
          <t>I</t>
        </is>
      </c>
      <c r="C4188" s="12" t="inlineStr">
        <is>
          <t>Modular / portable power</t>
        </is>
      </c>
      <c r="D4188" s="12" t="inlineStr">
        <is>
          <t>Motor 1 of 1: control / local station</t>
        </is>
      </c>
      <c r="E4188" s="12" t="inlineStr"/>
      <c r="F4188" s="12" t="inlineStr">
        <is>
          <t>PCM: power control module</t>
        </is>
      </c>
      <c r="G4188" s="12" t="inlineStr"/>
      <c r="H4188" s="12" t="inlineStr">
        <is>
          <t>RICE 8 SCR + oxidation catalyst and stack</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7" t="n">
        <v>322</v>
      </c>
      <c r="U4188" s="17" t="n">
        <v>112</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I-C-0075</t>
        </is>
      </c>
      <c r="B4189" s="12" t="inlineStr">
        <is>
          <t>I</t>
        </is>
      </c>
      <c r="C4189" s="12" t="inlineStr">
        <is>
          <t>Modular / portable power</t>
        </is>
      </c>
      <c r="D4189" s="12" t="inlineStr">
        <is>
          <t>Motor 1 of 5: control / local station</t>
        </is>
      </c>
      <c r="E4189" s="12" t="inlineStr"/>
      <c r="F4189" s="12" t="inlineStr">
        <is>
          <t>PCM: power control module</t>
        </is>
      </c>
      <c r="G4189" s="12" t="inlineStr"/>
      <c r="H4189" s="12" t="inlineStr">
        <is>
          <t>RICE 8 radiators (5)</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Tray</t>
        </is>
      </c>
      <c r="T4189" s="17" t="n">
        <v>0</v>
      </c>
      <c r="U4189" s="17" t="n">
        <v>94</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I-C-0076</t>
        </is>
      </c>
      <c r="B4190" s="12" t="inlineStr">
        <is>
          <t>I</t>
        </is>
      </c>
      <c r="C4190" s="12" t="inlineStr">
        <is>
          <t>Modular / portable power</t>
        </is>
      </c>
      <c r="D4190" s="12" t="inlineStr">
        <is>
          <t>Motor 2 of 5: control / local station</t>
        </is>
      </c>
      <c r="E4190" s="12" t="inlineStr"/>
      <c r="F4190" s="12" t="inlineStr">
        <is>
          <t>PCM: power control module</t>
        </is>
      </c>
      <c r="G4190" s="12" t="inlineStr"/>
      <c r="H4190" s="12" t="inlineStr">
        <is>
          <t>RICE 8 radiators (5)</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Tray</t>
        </is>
      </c>
      <c r="T4190" s="17" t="n">
        <v>0</v>
      </c>
      <c r="U4190" s="17" t="n">
        <v>94</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I-C-0077</t>
        </is>
      </c>
      <c r="B4191" s="12" t="inlineStr">
        <is>
          <t>I</t>
        </is>
      </c>
      <c r="C4191" s="12" t="inlineStr">
        <is>
          <t>Modular / portable power</t>
        </is>
      </c>
      <c r="D4191" s="12" t="inlineStr">
        <is>
          <t>Motor 3 of 5: control / local station</t>
        </is>
      </c>
      <c r="E4191" s="12" t="inlineStr"/>
      <c r="F4191" s="12" t="inlineStr">
        <is>
          <t>PCM: power control module</t>
        </is>
      </c>
      <c r="G4191" s="12" t="inlineStr"/>
      <c r="H4191" s="12" t="inlineStr">
        <is>
          <t>RICE 8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94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I-C-0078</t>
        </is>
      </c>
      <c r="B4192" s="12" t="inlineStr">
        <is>
          <t>I</t>
        </is>
      </c>
      <c r="C4192" s="12" t="inlineStr">
        <is>
          <t>Modular / portable power</t>
        </is>
      </c>
      <c r="D4192" s="12" t="inlineStr">
        <is>
          <t>Motor 4 of 5: control / local station</t>
        </is>
      </c>
      <c r="E4192" s="12" t="inlineStr"/>
      <c r="F4192" s="12" t="inlineStr">
        <is>
          <t>PCM: power control module</t>
        </is>
      </c>
      <c r="G4192" s="12" t="inlineStr"/>
      <c r="H4192" s="12" t="inlineStr">
        <is>
          <t>RICE 8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94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I-C-0079</t>
        </is>
      </c>
      <c r="B4193" s="12" t="inlineStr">
        <is>
          <t>I</t>
        </is>
      </c>
      <c r="C4193" s="12" t="inlineStr">
        <is>
          <t>Modular / portable power</t>
        </is>
      </c>
      <c r="D4193" s="12" t="inlineStr">
        <is>
          <t>Motor 5 of 5: control / local station</t>
        </is>
      </c>
      <c r="E4193" s="12" t="inlineStr"/>
      <c r="F4193" s="12" t="inlineStr">
        <is>
          <t>PCM: power control module</t>
        </is>
      </c>
      <c r="G4193" s="12" t="inlineStr"/>
      <c r="H4193" s="12" t="inlineStr">
        <is>
          <t>RICE 8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94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I-C-0080</t>
        </is>
      </c>
      <c r="B4194" s="12" t="inlineStr">
        <is>
          <t>I</t>
        </is>
      </c>
      <c r="C4194" s="12" t="inlineStr">
        <is>
          <t>Modular / portable power</t>
        </is>
      </c>
      <c r="D4194" s="12" t="inlineStr">
        <is>
          <t>Control</t>
        </is>
      </c>
      <c r="E4194" s="12" t="inlineStr"/>
      <c r="F4194" s="12" t="inlineStr">
        <is>
          <t>PCM: power control module</t>
        </is>
      </c>
      <c r="G4194" s="12" t="inlineStr"/>
      <c r="H4194" s="12" t="inlineStr">
        <is>
          <t>RICE CEMS</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7" t="n">
        <v>260</v>
      </c>
      <c r="U4194" s="17" t="n">
        <v>131</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I-C-0081</t>
        </is>
      </c>
      <c r="B4195" s="12" t="inlineStr">
        <is>
          <t>I</t>
        </is>
      </c>
      <c r="C4195" s="12" t="inlineStr">
        <is>
          <t>Modular / portable power</t>
        </is>
      </c>
      <c r="D4195" s="12" t="inlineStr">
        <is>
          <t>Control</t>
        </is>
      </c>
      <c r="E4195" s="12" t="inlineStr"/>
      <c r="F4195" s="12" t="inlineStr">
        <is>
          <t>PCM: power control module</t>
        </is>
      </c>
      <c r="G4195" s="12" t="inlineStr">
        <is>
          <t>RICE</t>
        </is>
      </c>
      <c r="H4195" s="12" t="inlineStr">
        <is>
          <t>RICE engine hall (8 engines)</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7" t="n">
        <v>367</v>
      </c>
      <c r="U4195" s="17" t="n">
        <v>95</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I-C-0082</t>
        </is>
      </c>
      <c r="B4196" s="12" t="inlineStr">
        <is>
          <t>I</t>
        </is>
      </c>
      <c r="C4196" s="12" t="inlineStr">
        <is>
          <t>Modular / portable power</t>
        </is>
      </c>
      <c r="D4196" s="12" t="inlineStr">
        <is>
          <t>Control</t>
        </is>
      </c>
      <c r="E4196" s="12" t="inlineStr"/>
      <c r="F4196" s="12" t="inlineStr">
        <is>
          <t>PCM: power control module</t>
        </is>
      </c>
      <c r="G4196" s="12" t="inlineStr">
        <is>
          <t>RICE</t>
        </is>
      </c>
      <c r="H4196" s="12" t="inlineStr">
        <is>
          <t>RICE engine hall (8 engines)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7" t="n">
        <v>367</v>
      </c>
      <c r="U4196" s="17" t="n">
        <v>95</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I-C-0083</t>
        </is>
      </c>
      <c r="B4197" s="12" t="inlineStr">
        <is>
          <t>I</t>
        </is>
      </c>
      <c r="C4197" s="12" t="inlineStr">
        <is>
          <t>Modular / portable power</t>
        </is>
      </c>
      <c r="D4197" s="12" t="inlineStr">
        <is>
          <t>Control</t>
        </is>
      </c>
      <c r="E4197" s="12" t="inlineStr"/>
      <c r="F4197" s="12" t="inlineStr">
        <is>
          <t>PCM: power control module</t>
        </is>
      </c>
      <c r="G4197" s="12" t="inlineStr">
        <is>
          <t>RICE</t>
        </is>
      </c>
      <c r="H4197" s="12" t="inlineStr">
        <is>
          <t>RICE engine hall (8 engines)</t>
        </is>
      </c>
      <c r="I4197" s="12" t="inlineStr">
        <is>
          <t>Control</t>
        </is>
      </c>
      <c r="J4197" s="12" t="inlineStr">
        <is>
          <t>Control cable 600 V Type TC-ER, Cu #14 AWG, PVC jacket</t>
        </is>
      </c>
      <c r="K4197" s="12" t="inlineStr">
        <is>
          <t>CT|12/C|14</t>
        </is>
      </c>
      <c r="L4197" s="12" t="inlineStr">
        <is>
          <t>12/C</t>
        </is>
      </c>
      <c r="M4197" s="12" t="inlineStr">
        <is>
          <t>14</t>
        </is>
      </c>
      <c r="N4197" s="12" t="n">
        <v>1</v>
      </c>
      <c r="O4197" s="12" t="n">
        <v>1</v>
      </c>
      <c r="P4197" s="12" t="n"/>
      <c r="Q4197" s="12" t="n"/>
      <c r="R4197" s="12" t="n"/>
      <c r="S4197" s="12" t="inlineStr">
        <is>
          <t>Duct bank</t>
        </is>
      </c>
      <c r="T4197" s="17" t="n">
        <v>367</v>
      </c>
      <c r="U4197" s="17" t="n">
        <v>95</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I-C-0084</t>
        </is>
      </c>
      <c r="B4198" s="12" t="inlineStr">
        <is>
          <t>I</t>
        </is>
      </c>
      <c r="C4198" s="12" t="inlineStr">
        <is>
          <t>Modular / portable power</t>
        </is>
      </c>
      <c r="D4198" s="12" t="inlineStr">
        <is>
          <t>Control</t>
        </is>
      </c>
      <c r="E4198" s="12" t="inlineStr"/>
      <c r="F4198" s="12" t="inlineStr">
        <is>
          <t>PCM: power control module</t>
        </is>
      </c>
      <c r="G4198" s="12" t="inlineStr">
        <is>
          <t>RICE</t>
        </is>
      </c>
      <c r="H4198" s="12" t="inlineStr">
        <is>
          <t>RICE engine hall (8 engines)</t>
        </is>
      </c>
      <c r="I4198" s="12" t="inlineStr">
        <is>
          <t>Control</t>
        </is>
      </c>
      <c r="J4198" s="12" t="inlineStr">
        <is>
          <t>Control cable 600 V Type TC-ER, Cu #14 AWG, PVC jacket</t>
        </is>
      </c>
      <c r="K4198" s="12" t="inlineStr">
        <is>
          <t>CT|12/C|14</t>
        </is>
      </c>
      <c r="L4198" s="12" t="inlineStr">
        <is>
          <t>12/C</t>
        </is>
      </c>
      <c r="M4198" s="12" t="inlineStr">
        <is>
          <t>14</t>
        </is>
      </c>
      <c r="N4198" s="12" t="n">
        <v>1</v>
      </c>
      <c r="O4198" s="12" t="n">
        <v>1</v>
      </c>
      <c r="P4198" s="12" t="n"/>
      <c r="Q4198" s="12" t="n"/>
      <c r="R4198" s="12" t="n"/>
      <c r="S4198" s="12" t="inlineStr">
        <is>
          <t>Duct bank</t>
        </is>
      </c>
      <c r="T4198" s="17" t="n">
        <v>367</v>
      </c>
      <c r="U4198" s="17" t="n">
        <v>95</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I-C-0085</t>
        </is>
      </c>
      <c r="B4199" s="12" t="inlineStr">
        <is>
          <t>I</t>
        </is>
      </c>
      <c r="C4199" s="12" t="inlineStr">
        <is>
          <t>Modular / portable power</t>
        </is>
      </c>
      <c r="D4199" s="12" t="inlineStr">
        <is>
          <t>Control</t>
        </is>
      </c>
      <c r="E4199" s="12" t="inlineStr"/>
      <c r="F4199" s="12" t="inlineStr">
        <is>
          <t>PCM: power control module</t>
        </is>
      </c>
      <c r="G4199" s="12" t="inlineStr">
        <is>
          <t>RICE</t>
        </is>
      </c>
      <c r="H4199" s="12" t="inlineStr">
        <is>
          <t>RICE engine hall (8 engines)</t>
        </is>
      </c>
      <c r="I4199" s="12" t="inlineStr">
        <is>
          <t>Control</t>
        </is>
      </c>
      <c r="J4199" s="12" t="inlineStr">
        <is>
          <t>Control cable 600 V Type TC-ER, Cu #14 AWG, PVC jacket</t>
        </is>
      </c>
      <c r="K4199" s="12" t="inlineStr">
        <is>
          <t>CT|12/C|14</t>
        </is>
      </c>
      <c r="L4199" s="12" t="inlineStr">
        <is>
          <t>12/C</t>
        </is>
      </c>
      <c r="M4199" s="12" t="inlineStr">
        <is>
          <t>14</t>
        </is>
      </c>
      <c r="N4199" s="12" t="n">
        <v>1</v>
      </c>
      <c r="O4199" s="12" t="n">
        <v>1</v>
      </c>
      <c r="P4199" s="12" t="n"/>
      <c r="Q4199" s="12" t="n"/>
      <c r="R4199" s="12" t="n"/>
      <c r="S4199" s="12" t="inlineStr">
        <is>
          <t>Duct bank</t>
        </is>
      </c>
      <c r="T4199" s="17" t="n">
        <v>367</v>
      </c>
      <c r="U4199" s="17" t="n">
        <v>95</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I-C-0086</t>
        </is>
      </c>
      <c r="B4200" s="12" t="inlineStr">
        <is>
          <t>I</t>
        </is>
      </c>
      <c r="C4200" s="12" t="inlineStr">
        <is>
          <t>Modular / portable power</t>
        </is>
      </c>
      <c r="D4200" s="12" t="inlineStr">
        <is>
          <t>Control</t>
        </is>
      </c>
      <c r="E4200" s="12" t="inlineStr"/>
      <c r="F4200" s="12" t="inlineStr">
        <is>
          <t>PCM: power control module</t>
        </is>
      </c>
      <c r="G4200" s="12" t="inlineStr">
        <is>
          <t>RICE</t>
        </is>
      </c>
      <c r="H4200" s="12" t="inlineStr">
        <is>
          <t>RICE engine hall (8 engines)</t>
        </is>
      </c>
      <c r="I4200" s="12" t="inlineStr">
        <is>
          <t>Control</t>
        </is>
      </c>
      <c r="J4200" s="12" t="inlineStr">
        <is>
          <t>Control cable 600 V Type TC-ER, Cu #14 AWG, PVC jacket</t>
        </is>
      </c>
      <c r="K4200" s="12" t="inlineStr">
        <is>
          <t>CT|12/C|14</t>
        </is>
      </c>
      <c r="L4200" s="12" t="inlineStr">
        <is>
          <t>12/C</t>
        </is>
      </c>
      <c r="M4200" s="12" t="inlineStr">
        <is>
          <t>14</t>
        </is>
      </c>
      <c r="N4200" s="12" t="n">
        <v>1</v>
      </c>
      <c r="O4200" s="12" t="n">
        <v>1</v>
      </c>
      <c r="P4200" s="12" t="n"/>
      <c r="Q4200" s="12" t="n"/>
      <c r="R4200" s="12" t="n"/>
      <c r="S4200" s="12" t="inlineStr">
        <is>
          <t>Duct bank</t>
        </is>
      </c>
      <c r="T4200" s="17" t="n">
        <v>367</v>
      </c>
      <c r="U4200" s="17" t="n">
        <v>95</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I-C-0087</t>
        </is>
      </c>
      <c r="B4201" s="12" t="inlineStr">
        <is>
          <t>I</t>
        </is>
      </c>
      <c r="C4201" s="12" t="inlineStr">
        <is>
          <t>Modular / portable power</t>
        </is>
      </c>
      <c r="D4201" s="12" t="inlineStr">
        <is>
          <t>Control</t>
        </is>
      </c>
      <c r="E4201" s="12" t="inlineStr"/>
      <c r="F4201" s="12" t="inlineStr">
        <is>
          <t>PCM: power control module</t>
        </is>
      </c>
      <c r="G4201" s="12" t="inlineStr">
        <is>
          <t>RICE</t>
        </is>
      </c>
      <c r="H4201" s="12" t="inlineStr">
        <is>
          <t>RICE engine hall (8 engines)</t>
        </is>
      </c>
      <c r="I4201" s="12" t="inlineStr">
        <is>
          <t>Control</t>
        </is>
      </c>
      <c r="J4201" s="12" t="inlineStr">
        <is>
          <t>Control cable 600 V Type TC-ER, Cu #14 AWG, PVC jacket</t>
        </is>
      </c>
      <c r="K4201" s="12" t="inlineStr">
        <is>
          <t>CT|12/C|14</t>
        </is>
      </c>
      <c r="L4201" s="12" t="inlineStr">
        <is>
          <t>12/C</t>
        </is>
      </c>
      <c r="M4201" s="12" t="inlineStr">
        <is>
          <t>14</t>
        </is>
      </c>
      <c r="N4201" s="12" t="n">
        <v>1</v>
      </c>
      <c r="O4201" s="12" t="n">
        <v>1</v>
      </c>
      <c r="P4201" s="12" t="n"/>
      <c r="Q4201" s="12" t="n"/>
      <c r="R4201" s="12" t="n"/>
      <c r="S4201" s="12" t="inlineStr">
        <is>
          <t>Duct bank</t>
        </is>
      </c>
      <c r="T4201" s="17" t="n">
        <v>367</v>
      </c>
      <c r="U4201" s="17" t="n">
        <v>95</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I-C-0088</t>
        </is>
      </c>
      <c r="B4202" s="12" t="inlineStr">
        <is>
          <t>I</t>
        </is>
      </c>
      <c r="C4202" s="12" t="inlineStr">
        <is>
          <t>Modular / portable power</t>
        </is>
      </c>
      <c r="D4202" s="12" t="inlineStr">
        <is>
          <t>Control</t>
        </is>
      </c>
      <c r="E4202" s="12" t="inlineStr"/>
      <c r="F4202" s="12" t="inlineStr">
        <is>
          <t>PCM: power control module</t>
        </is>
      </c>
      <c r="G4202" s="12" t="inlineStr">
        <is>
          <t>RICE</t>
        </is>
      </c>
      <c r="H4202" s="12" t="inlineStr">
        <is>
          <t>RICE engine hall (8 engines)</t>
        </is>
      </c>
      <c r="I4202" s="12" t="inlineStr">
        <is>
          <t>Control</t>
        </is>
      </c>
      <c r="J4202" s="12" t="inlineStr">
        <is>
          <t>Control cable 600 V Type TC-ER, Cu #14 AWG, PVC jacket</t>
        </is>
      </c>
      <c r="K4202" s="12" t="inlineStr">
        <is>
          <t>CT|12/C|14</t>
        </is>
      </c>
      <c r="L4202" s="12" t="inlineStr">
        <is>
          <t>12/C</t>
        </is>
      </c>
      <c r="M4202" s="12" t="inlineStr">
        <is>
          <t>14</t>
        </is>
      </c>
      <c r="N4202" s="12" t="n">
        <v>1</v>
      </c>
      <c r="O4202" s="12" t="n">
        <v>1</v>
      </c>
      <c r="P4202" s="12" t="n"/>
      <c r="Q4202" s="12" t="n"/>
      <c r="R4202" s="12" t="n"/>
      <c r="S4202" s="12" t="inlineStr">
        <is>
          <t>Duct bank</t>
        </is>
      </c>
      <c r="T4202" s="17" t="n">
        <v>367</v>
      </c>
      <c r="U4202" s="17" t="n">
        <v>95</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I-C-0089</t>
        </is>
      </c>
      <c r="B4203" s="12" t="inlineStr">
        <is>
          <t>I</t>
        </is>
      </c>
      <c r="C4203" s="12" t="inlineStr">
        <is>
          <t>Modular / portable power</t>
        </is>
      </c>
      <c r="D4203" s="12" t="inlineStr">
        <is>
          <t>Motor 1 of 6: control / local station</t>
        </is>
      </c>
      <c r="E4203" s="12" t="inlineStr"/>
      <c r="F4203" s="12" t="inlineStr">
        <is>
          <t>PCM: power control module</t>
        </is>
      </c>
      <c r="G4203" s="12" t="inlineStr">
        <is>
          <t>RICE-1</t>
        </is>
      </c>
      <c r="H4203" s="12" t="inlineStr">
        <is>
          <t>RICE engine-generator 1</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7" t="n">
        <v>550</v>
      </c>
      <c r="U4203" s="17" t="n">
        <v>137</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I-C-0090</t>
        </is>
      </c>
      <c r="B4204" s="12" t="inlineStr">
        <is>
          <t>I</t>
        </is>
      </c>
      <c r="C4204" s="12" t="inlineStr">
        <is>
          <t>Modular / portable power</t>
        </is>
      </c>
      <c r="D4204" s="12" t="inlineStr">
        <is>
          <t>Motor 2 of 6: control / local station</t>
        </is>
      </c>
      <c r="E4204" s="12" t="inlineStr"/>
      <c r="F4204" s="12" t="inlineStr">
        <is>
          <t>PCM: power control module</t>
        </is>
      </c>
      <c r="G4204" s="12" t="inlineStr">
        <is>
          <t>RICE-1</t>
        </is>
      </c>
      <c r="H4204" s="12" t="inlineStr">
        <is>
          <t>RICE engine-generator 1</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7" t="n">
        <v>550</v>
      </c>
      <c r="U4204" s="17" t="n">
        <v>137</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I-C-0091</t>
        </is>
      </c>
      <c r="B4205" s="12" t="inlineStr">
        <is>
          <t>I</t>
        </is>
      </c>
      <c r="C4205" s="12" t="inlineStr">
        <is>
          <t>Modular / portable power</t>
        </is>
      </c>
      <c r="D4205" s="12" t="inlineStr">
        <is>
          <t>Motor 3 of 6: control / local station</t>
        </is>
      </c>
      <c r="E4205" s="12" t="inlineStr"/>
      <c r="F4205" s="12" t="inlineStr">
        <is>
          <t>PCM: power control module</t>
        </is>
      </c>
      <c r="G4205" s="12" t="inlineStr">
        <is>
          <t>RICE-1</t>
        </is>
      </c>
      <c r="H4205" s="12" t="inlineStr">
        <is>
          <t>RICE engine-generator 1</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7" t="n">
        <v>550</v>
      </c>
      <c r="U4205" s="17" t="n">
        <v>137</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I-C-0092</t>
        </is>
      </c>
      <c r="B4206" s="12" t="inlineStr">
        <is>
          <t>I</t>
        </is>
      </c>
      <c r="C4206" s="12" t="inlineStr">
        <is>
          <t>Modular / portable power</t>
        </is>
      </c>
      <c r="D4206" s="12" t="inlineStr">
        <is>
          <t>Motor 4 of 6: control / local station</t>
        </is>
      </c>
      <c r="E4206" s="12" t="inlineStr"/>
      <c r="F4206" s="12" t="inlineStr">
        <is>
          <t>PCM: power control module</t>
        </is>
      </c>
      <c r="G4206" s="12" t="inlineStr">
        <is>
          <t>RICE-1</t>
        </is>
      </c>
      <c r="H4206" s="12" t="inlineStr">
        <is>
          <t>RICE engine-generator 1</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7" t="n">
        <v>550</v>
      </c>
      <c r="U4206" s="17" t="n">
        <v>137</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I-C-0093</t>
        </is>
      </c>
      <c r="B4207" s="12" t="inlineStr">
        <is>
          <t>I</t>
        </is>
      </c>
      <c r="C4207" s="12" t="inlineStr">
        <is>
          <t>Modular / portable power</t>
        </is>
      </c>
      <c r="D4207" s="12" t="inlineStr">
        <is>
          <t>Motor 5 of 6: control / local station</t>
        </is>
      </c>
      <c r="E4207" s="12" t="inlineStr"/>
      <c r="F4207" s="12" t="inlineStr">
        <is>
          <t>PCM: power control module</t>
        </is>
      </c>
      <c r="G4207" s="12" t="inlineStr">
        <is>
          <t>RICE-1</t>
        </is>
      </c>
      <c r="H4207" s="12" t="inlineStr">
        <is>
          <t>RICE engine-generator 1</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550</v>
      </c>
      <c r="U4207" s="17" t="n">
        <v>137</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I-C-0094</t>
        </is>
      </c>
      <c r="B4208" s="12" t="inlineStr">
        <is>
          <t>I</t>
        </is>
      </c>
      <c r="C4208" s="12" t="inlineStr">
        <is>
          <t>Modular / portable power</t>
        </is>
      </c>
      <c r="D4208" s="12" t="inlineStr">
        <is>
          <t>Motor 6 of 6: control / local station</t>
        </is>
      </c>
      <c r="E4208" s="12" t="inlineStr"/>
      <c r="F4208" s="12" t="inlineStr">
        <is>
          <t>PCM: power control module</t>
        </is>
      </c>
      <c r="G4208" s="12" t="inlineStr">
        <is>
          <t>RICE-1</t>
        </is>
      </c>
      <c r="H4208" s="12" t="inlineStr">
        <is>
          <t>RICE engine-generator 1</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7" t="n">
        <v>550</v>
      </c>
      <c r="U4208" s="17" t="n">
        <v>137</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I-C-0095</t>
        </is>
      </c>
      <c r="B4209" s="12" t="inlineStr">
        <is>
          <t>I</t>
        </is>
      </c>
      <c r="C4209" s="12" t="inlineStr">
        <is>
          <t>Modular / portable power</t>
        </is>
      </c>
      <c r="D4209" s="12" t="inlineStr">
        <is>
          <t>Motor 1 of 6: control / local station</t>
        </is>
      </c>
      <c r="E4209" s="12" t="inlineStr"/>
      <c r="F4209" s="12" t="inlineStr">
        <is>
          <t>PCM: power control module</t>
        </is>
      </c>
      <c r="G4209" s="12" t="inlineStr">
        <is>
          <t>RICE-2</t>
        </is>
      </c>
      <c r="H4209" s="12" t="inlineStr">
        <is>
          <t>RICE engine-generator 2</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7" t="n">
        <v>550</v>
      </c>
      <c r="U4209" s="17" t="n">
        <v>109</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I-C-0096</t>
        </is>
      </c>
      <c r="B4210" s="12" t="inlineStr">
        <is>
          <t>I</t>
        </is>
      </c>
      <c r="C4210" s="12" t="inlineStr">
        <is>
          <t>Modular / portable power</t>
        </is>
      </c>
      <c r="D4210" s="12" t="inlineStr">
        <is>
          <t>Motor 2 of 6: control / local station</t>
        </is>
      </c>
      <c r="E4210" s="12" t="inlineStr"/>
      <c r="F4210" s="12" t="inlineStr">
        <is>
          <t>PCM: power control module</t>
        </is>
      </c>
      <c r="G4210" s="12" t="inlineStr">
        <is>
          <t>RICE-2</t>
        </is>
      </c>
      <c r="H4210" s="12" t="inlineStr">
        <is>
          <t>RICE engine-generator 2</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7" t="n">
        <v>550</v>
      </c>
      <c r="U4210" s="17" t="n">
        <v>109</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I-C-0097</t>
        </is>
      </c>
      <c r="B4211" s="12" t="inlineStr">
        <is>
          <t>I</t>
        </is>
      </c>
      <c r="C4211" s="12" t="inlineStr">
        <is>
          <t>Modular / portable power</t>
        </is>
      </c>
      <c r="D4211" s="12" t="inlineStr">
        <is>
          <t>Motor 3 of 6: control / local station</t>
        </is>
      </c>
      <c r="E4211" s="12" t="inlineStr"/>
      <c r="F4211" s="12" t="inlineStr">
        <is>
          <t>PCM: power control module</t>
        </is>
      </c>
      <c r="G4211" s="12" t="inlineStr">
        <is>
          <t>RICE-2</t>
        </is>
      </c>
      <c r="H4211" s="12" t="inlineStr">
        <is>
          <t>RICE engine-generator 2</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7" t="n">
        <v>550</v>
      </c>
      <c r="U4211" s="17" t="n">
        <v>109</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I-C-0098</t>
        </is>
      </c>
      <c r="B4212" s="12" t="inlineStr">
        <is>
          <t>I</t>
        </is>
      </c>
      <c r="C4212" s="12" t="inlineStr">
        <is>
          <t>Modular / portable power</t>
        </is>
      </c>
      <c r="D4212" s="12" t="inlineStr">
        <is>
          <t>Motor 4 of 6: control / local station</t>
        </is>
      </c>
      <c r="E4212" s="12" t="inlineStr"/>
      <c r="F4212" s="12" t="inlineStr">
        <is>
          <t>PCM: power control module</t>
        </is>
      </c>
      <c r="G4212" s="12" t="inlineStr">
        <is>
          <t>RICE-2</t>
        </is>
      </c>
      <c r="H4212" s="12" t="inlineStr">
        <is>
          <t>RICE engine-generator 2</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7" t="n">
        <v>550</v>
      </c>
      <c r="U4212" s="17" t="n">
        <v>109</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I-C-0099</t>
        </is>
      </c>
      <c r="B4213" s="12" t="inlineStr">
        <is>
          <t>I</t>
        </is>
      </c>
      <c r="C4213" s="12" t="inlineStr">
        <is>
          <t>Modular / portable power</t>
        </is>
      </c>
      <c r="D4213" s="12" t="inlineStr">
        <is>
          <t>Motor 5 of 6: control / local station</t>
        </is>
      </c>
      <c r="E4213" s="12" t="inlineStr"/>
      <c r="F4213" s="12" t="inlineStr">
        <is>
          <t>PCM: power control module</t>
        </is>
      </c>
      <c r="G4213" s="12" t="inlineStr">
        <is>
          <t>RICE-2</t>
        </is>
      </c>
      <c r="H4213" s="12" t="inlineStr">
        <is>
          <t>RICE engine-generator 2</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550</v>
      </c>
      <c r="U4213" s="17" t="n">
        <v>109</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I-C-0100</t>
        </is>
      </c>
      <c r="B4214" s="12" t="inlineStr">
        <is>
          <t>I</t>
        </is>
      </c>
      <c r="C4214" s="12" t="inlineStr">
        <is>
          <t>Modular / portable power</t>
        </is>
      </c>
      <c r="D4214" s="12" t="inlineStr">
        <is>
          <t>Motor 6 of 6: control / local station</t>
        </is>
      </c>
      <c r="E4214" s="12" t="inlineStr"/>
      <c r="F4214" s="12" t="inlineStr">
        <is>
          <t>PCM: power control module</t>
        </is>
      </c>
      <c r="G4214" s="12" t="inlineStr">
        <is>
          <t>RICE-2</t>
        </is>
      </c>
      <c r="H4214" s="12" t="inlineStr">
        <is>
          <t>RICE engine-generator 2</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550</v>
      </c>
      <c r="U4214" s="17" t="n">
        <v>109</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I-C-0101</t>
        </is>
      </c>
      <c r="B4215" s="12" t="inlineStr">
        <is>
          <t>I</t>
        </is>
      </c>
      <c r="C4215" s="12" t="inlineStr">
        <is>
          <t>Modular / portable power</t>
        </is>
      </c>
      <c r="D4215" s="12" t="inlineStr">
        <is>
          <t>Motor 1 of 6: control / local station</t>
        </is>
      </c>
      <c r="E4215" s="12" t="inlineStr"/>
      <c r="F4215" s="12" t="inlineStr">
        <is>
          <t>PCM: power control module</t>
        </is>
      </c>
      <c r="G4215" s="12" t="inlineStr">
        <is>
          <t>RICE-3</t>
        </is>
      </c>
      <c r="H4215" s="12" t="inlineStr">
        <is>
          <t>RICE engine-generator 3</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550</v>
      </c>
      <c r="U4215" s="17" t="n">
        <v>81</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I-C-0102</t>
        </is>
      </c>
      <c r="B4216" s="12" t="inlineStr">
        <is>
          <t>I</t>
        </is>
      </c>
      <c r="C4216" s="12" t="inlineStr">
        <is>
          <t>Modular / portable power</t>
        </is>
      </c>
      <c r="D4216" s="12" t="inlineStr">
        <is>
          <t>Motor 2 of 6: control / local station</t>
        </is>
      </c>
      <c r="E4216" s="12" t="inlineStr"/>
      <c r="F4216" s="12" t="inlineStr">
        <is>
          <t>PCM: power control module</t>
        </is>
      </c>
      <c r="G4216" s="12" t="inlineStr">
        <is>
          <t>RICE-3</t>
        </is>
      </c>
      <c r="H4216" s="12" t="inlineStr">
        <is>
          <t>RICE engine-generator 3</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7" t="n">
        <v>550</v>
      </c>
      <c r="U4216" s="17" t="n">
        <v>81</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I-C-0103</t>
        </is>
      </c>
      <c r="B4217" s="12" t="inlineStr">
        <is>
          <t>I</t>
        </is>
      </c>
      <c r="C4217" s="12" t="inlineStr">
        <is>
          <t>Modular / portable power</t>
        </is>
      </c>
      <c r="D4217" s="12" t="inlineStr">
        <is>
          <t>Motor 3 of 6: control / local station</t>
        </is>
      </c>
      <c r="E4217" s="12" t="inlineStr"/>
      <c r="F4217" s="12" t="inlineStr">
        <is>
          <t>PCM: power control module</t>
        </is>
      </c>
      <c r="G4217" s="12" t="inlineStr">
        <is>
          <t>RICE-3</t>
        </is>
      </c>
      <c r="H4217" s="12" t="inlineStr">
        <is>
          <t>RICE engine-generator 3</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7" t="n">
        <v>550</v>
      </c>
      <c r="U4217" s="17" t="n">
        <v>81</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I-C-0104</t>
        </is>
      </c>
      <c r="B4218" s="12" t="inlineStr">
        <is>
          <t>I</t>
        </is>
      </c>
      <c r="C4218" s="12" t="inlineStr">
        <is>
          <t>Modular / portable power</t>
        </is>
      </c>
      <c r="D4218" s="12" t="inlineStr">
        <is>
          <t>Motor 4 of 6: control / local station</t>
        </is>
      </c>
      <c r="E4218" s="12" t="inlineStr"/>
      <c r="F4218" s="12" t="inlineStr">
        <is>
          <t>PCM: power control module</t>
        </is>
      </c>
      <c r="G4218" s="12" t="inlineStr">
        <is>
          <t>RICE-3</t>
        </is>
      </c>
      <c r="H4218" s="12" t="inlineStr">
        <is>
          <t>RICE engine-generator 3</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7" t="n">
        <v>550</v>
      </c>
      <c r="U4218" s="17" t="n">
        <v>81</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I-C-0105</t>
        </is>
      </c>
      <c r="B4219" s="12" t="inlineStr">
        <is>
          <t>I</t>
        </is>
      </c>
      <c r="C4219" s="12" t="inlineStr">
        <is>
          <t>Modular / portable power</t>
        </is>
      </c>
      <c r="D4219" s="12" t="inlineStr">
        <is>
          <t>Motor 5 of 6: control / local station</t>
        </is>
      </c>
      <c r="E4219" s="12" t="inlineStr"/>
      <c r="F4219" s="12" t="inlineStr">
        <is>
          <t>PCM: power control module</t>
        </is>
      </c>
      <c r="G4219" s="12" t="inlineStr">
        <is>
          <t>RICE-3</t>
        </is>
      </c>
      <c r="H4219" s="12" t="inlineStr">
        <is>
          <t>RICE engine-generator 3</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7" t="n">
        <v>550</v>
      </c>
      <c r="U4219" s="17" t="n">
        <v>81</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I-C-0106</t>
        </is>
      </c>
      <c r="B4220" s="12" t="inlineStr">
        <is>
          <t>I</t>
        </is>
      </c>
      <c r="C4220" s="12" t="inlineStr">
        <is>
          <t>Modular / portable power</t>
        </is>
      </c>
      <c r="D4220" s="12" t="inlineStr">
        <is>
          <t>Motor 6 of 6: control / local station</t>
        </is>
      </c>
      <c r="E4220" s="12" t="inlineStr"/>
      <c r="F4220" s="12" t="inlineStr">
        <is>
          <t>PCM: power control module</t>
        </is>
      </c>
      <c r="G4220" s="12" t="inlineStr">
        <is>
          <t>RICE-3</t>
        </is>
      </c>
      <c r="H4220" s="12" t="inlineStr">
        <is>
          <t>RICE engine-generator 3</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7" t="n">
        <v>550</v>
      </c>
      <c r="U4220" s="17" t="n">
        <v>81</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I-C-0107</t>
        </is>
      </c>
      <c r="B4221" s="12" t="inlineStr">
        <is>
          <t>I</t>
        </is>
      </c>
      <c r="C4221" s="12" t="inlineStr">
        <is>
          <t>Modular / portable power</t>
        </is>
      </c>
      <c r="D4221" s="12" t="inlineStr">
        <is>
          <t>Motor 1 of 6: control / local station</t>
        </is>
      </c>
      <c r="E4221" s="12" t="inlineStr"/>
      <c r="F4221" s="12" t="inlineStr">
        <is>
          <t>PCM: power control module</t>
        </is>
      </c>
      <c r="G4221" s="12" t="inlineStr">
        <is>
          <t>RICE-4</t>
        </is>
      </c>
      <c r="H4221" s="12" t="inlineStr">
        <is>
          <t>RICE engine-generator 4</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7" t="n">
        <v>550</v>
      </c>
      <c r="U4221" s="17" t="n">
        <v>53</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I-C-0108</t>
        </is>
      </c>
      <c r="B4222" s="12" t="inlineStr">
        <is>
          <t>I</t>
        </is>
      </c>
      <c r="C4222" s="12" t="inlineStr">
        <is>
          <t>Modular / portable power</t>
        </is>
      </c>
      <c r="D4222" s="12" t="inlineStr">
        <is>
          <t>Motor 2 of 6: control / local station</t>
        </is>
      </c>
      <c r="E4222" s="12" t="inlineStr"/>
      <c r="F4222" s="12" t="inlineStr">
        <is>
          <t>PCM: power control module</t>
        </is>
      </c>
      <c r="G4222" s="12" t="inlineStr">
        <is>
          <t>RICE-4</t>
        </is>
      </c>
      <c r="H4222" s="12" t="inlineStr">
        <is>
          <t>RICE engine-generator 4</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53</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I-C-0109</t>
        </is>
      </c>
      <c r="B4223" s="12" t="inlineStr">
        <is>
          <t>I</t>
        </is>
      </c>
      <c r="C4223" s="12" t="inlineStr">
        <is>
          <t>Modular / portable power</t>
        </is>
      </c>
      <c r="D4223" s="12" t="inlineStr">
        <is>
          <t>Motor 3 of 6: control / local station</t>
        </is>
      </c>
      <c r="E4223" s="12" t="inlineStr"/>
      <c r="F4223" s="12" t="inlineStr">
        <is>
          <t>PCM: power control module</t>
        </is>
      </c>
      <c r="G4223" s="12" t="inlineStr">
        <is>
          <t>RICE-4</t>
        </is>
      </c>
      <c r="H4223" s="12" t="inlineStr">
        <is>
          <t>RICE engine-generator 4</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53</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I-C-0110</t>
        </is>
      </c>
      <c r="B4224" s="12" t="inlineStr">
        <is>
          <t>I</t>
        </is>
      </c>
      <c r="C4224" s="12" t="inlineStr">
        <is>
          <t>Modular / portable power</t>
        </is>
      </c>
      <c r="D4224" s="12" t="inlineStr">
        <is>
          <t>Motor 4 of 6: control / local station</t>
        </is>
      </c>
      <c r="E4224" s="12" t="inlineStr"/>
      <c r="F4224" s="12" t="inlineStr">
        <is>
          <t>PCM: power control module</t>
        </is>
      </c>
      <c r="G4224" s="12" t="inlineStr">
        <is>
          <t>RICE-4</t>
        </is>
      </c>
      <c r="H4224" s="12" t="inlineStr">
        <is>
          <t>RICE engine-generator 4</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53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I-C-0111</t>
        </is>
      </c>
      <c r="B4225" s="12" t="inlineStr">
        <is>
          <t>I</t>
        </is>
      </c>
      <c r="C4225" s="12" t="inlineStr">
        <is>
          <t>Modular / portable power</t>
        </is>
      </c>
      <c r="D4225" s="12" t="inlineStr">
        <is>
          <t>Motor 5 of 6: control / local station</t>
        </is>
      </c>
      <c r="E4225" s="12" t="inlineStr"/>
      <c r="F4225" s="12" t="inlineStr">
        <is>
          <t>PCM: power control module</t>
        </is>
      </c>
      <c r="G4225" s="12" t="inlineStr">
        <is>
          <t>RICE-4</t>
        </is>
      </c>
      <c r="H4225" s="12" t="inlineStr">
        <is>
          <t>RICE engine-generator 4</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53</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I-C-0112</t>
        </is>
      </c>
      <c r="B4226" s="12" t="inlineStr">
        <is>
          <t>I</t>
        </is>
      </c>
      <c r="C4226" s="12" t="inlineStr">
        <is>
          <t>Modular / portable power</t>
        </is>
      </c>
      <c r="D4226" s="12" t="inlineStr">
        <is>
          <t>Motor 6 of 6: control / local station</t>
        </is>
      </c>
      <c r="E4226" s="12" t="inlineStr"/>
      <c r="F4226" s="12" t="inlineStr">
        <is>
          <t>PCM: power control module</t>
        </is>
      </c>
      <c r="G4226" s="12" t="inlineStr">
        <is>
          <t>RICE-4</t>
        </is>
      </c>
      <c r="H4226" s="12" t="inlineStr">
        <is>
          <t>RICE engine-generator 4</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53</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I-C-0113</t>
        </is>
      </c>
      <c r="B4227" s="12" t="inlineStr">
        <is>
          <t>I</t>
        </is>
      </c>
      <c r="C4227" s="12" t="inlineStr">
        <is>
          <t>Modular / portable power</t>
        </is>
      </c>
      <c r="D4227" s="12" t="inlineStr">
        <is>
          <t>Motor 1 of 6: control / local station</t>
        </is>
      </c>
      <c r="E4227" s="12" t="inlineStr"/>
      <c r="F4227" s="12" t="inlineStr">
        <is>
          <t>PCM: power control module</t>
        </is>
      </c>
      <c r="G4227" s="12" t="inlineStr">
        <is>
          <t>RICE-5</t>
        </is>
      </c>
      <c r="H4227" s="12" t="inlineStr">
        <is>
          <t>RICE engine-generator 5</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367</v>
      </c>
      <c r="U4227" s="17" t="n">
        <v>208</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I-C-0114</t>
        </is>
      </c>
      <c r="B4228" s="12" t="inlineStr">
        <is>
          <t>I</t>
        </is>
      </c>
      <c r="C4228" s="12" t="inlineStr">
        <is>
          <t>Modular / portable power</t>
        </is>
      </c>
      <c r="D4228" s="12" t="inlineStr">
        <is>
          <t>Motor 2 of 6: control / local station</t>
        </is>
      </c>
      <c r="E4228" s="12" t="inlineStr"/>
      <c r="F4228" s="12" t="inlineStr">
        <is>
          <t>PCM: power control module</t>
        </is>
      </c>
      <c r="G4228" s="12" t="inlineStr">
        <is>
          <t>RICE-5</t>
        </is>
      </c>
      <c r="H4228" s="12" t="inlineStr">
        <is>
          <t>RICE engine-generator 5</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367</v>
      </c>
      <c r="U4228" s="17" t="n">
        <v>208</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I-C-0115</t>
        </is>
      </c>
      <c r="B4229" s="12" t="inlineStr">
        <is>
          <t>I</t>
        </is>
      </c>
      <c r="C4229" s="12" t="inlineStr">
        <is>
          <t>Modular / portable power</t>
        </is>
      </c>
      <c r="D4229" s="12" t="inlineStr">
        <is>
          <t>Motor 3 of 6: control / local station</t>
        </is>
      </c>
      <c r="E4229" s="12" t="inlineStr"/>
      <c r="F4229" s="12" t="inlineStr">
        <is>
          <t>PCM: power control module</t>
        </is>
      </c>
      <c r="G4229" s="12" t="inlineStr">
        <is>
          <t>RICE-5</t>
        </is>
      </c>
      <c r="H4229" s="12" t="inlineStr">
        <is>
          <t>RICE engine-generator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367</v>
      </c>
      <c r="U4229" s="17" t="n">
        <v>208</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I-C-0116</t>
        </is>
      </c>
      <c r="B4230" s="12" t="inlineStr">
        <is>
          <t>I</t>
        </is>
      </c>
      <c r="C4230" s="12" t="inlineStr">
        <is>
          <t>Modular / portable power</t>
        </is>
      </c>
      <c r="D4230" s="12" t="inlineStr">
        <is>
          <t>Motor 4 of 6: control / local station</t>
        </is>
      </c>
      <c r="E4230" s="12" t="inlineStr"/>
      <c r="F4230" s="12" t="inlineStr">
        <is>
          <t>PCM: power control module</t>
        </is>
      </c>
      <c r="G4230" s="12" t="inlineStr">
        <is>
          <t>RICE-5</t>
        </is>
      </c>
      <c r="H4230" s="12" t="inlineStr">
        <is>
          <t>RICE engine-generator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367</v>
      </c>
      <c r="U4230" s="17" t="n">
        <v>208</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I-C-0117</t>
        </is>
      </c>
      <c r="B4231" s="12" t="inlineStr">
        <is>
          <t>I</t>
        </is>
      </c>
      <c r="C4231" s="12" t="inlineStr">
        <is>
          <t>Modular / portable power</t>
        </is>
      </c>
      <c r="D4231" s="12" t="inlineStr">
        <is>
          <t>Motor 5 of 6: control / local station</t>
        </is>
      </c>
      <c r="E4231" s="12" t="inlineStr"/>
      <c r="F4231" s="12" t="inlineStr">
        <is>
          <t>PCM: power control module</t>
        </is>
      </c>
      <c r="G4231" s="12" t="inlineStr">
        <is>
          <t>RICE-5</t>
        </is>
      </c>
      <c r="H4231" s="12" t="inlineStr">
        <is>
          <t>RICE engine-generator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367</v>
      </c>
      <c r="U4231" s="17" t="n">
        <v>208</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I-C-0118</t>
        </is>
      </c>
      <c r="B4232" s="12" t="inlineStr">
        <is>
          <t>I</t>
        </is>
      </c>
      <c r="C4232" s="12" t="inlineStr">
        <is>
          <t>Modular / portable power</t>
        </is>
      </c>
      <c r="D4232" s="12" t="inlineStr">
        <is>
          <t>Motor 6 of 6: control / local station</t>
        </is>
      </c>
      <c r="E4232" s="12" t="inlineStr"/>
      <c r="F4232" s="12" t="inlineStr">
        <is>
          <t>PCM: power control module</t>
        </is>
      </c>
      <c r="G4232" s="12" t="inlineStr">
        <is>
          <t>RICE-5</t>
        </is>
      </c>
      <c r="H4232" s="12" t="inlineStr">
        <is>
          <t>RICE engine-generator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367</v>
      </c>
      <c r="U4232" s="17" t="n">
        <v>208</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I-C-0119</t>
        </is>
      </c>
      <c r="B4233" s="12" t="inlineStr">
        <is>
          <t>I</t>
        </is>
      </c>
      <c r="C4233" s="12" t="inlineStr">
        <is>
          <t>Modular / portable power</t>
        </is>
      </c>
      <c r="D4233" s="12" t="inlineStr">
        <is>
          <t>Motor 1 of 6: control / local station</t>
        </is>
      </c>
      <c r="E4233" s="12" t="inlineStr"/>
      <c r="F4233" s="12" t="inlineStr">
        <is>
          <t>PCM: power control module</t>
        </is>
      </c>
      <c r="G4233" s="12" t="inlineStr">
        <is>
          <t>RICE-6</t>
        </is>
      </c>
      <c r="H4233" s="12" t="inlineStr">
        <is>
          <t>RICE engine-generator 6</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367</v>
      </c>
      <c r="U4233" s="17" t="n">
        <v>180</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I-C-0120</t>
        </is>
      </c>
      <c r="B4234" s="12" t="inlineStr">
        <is>
          <t>I</t>
        </is>
      </c>
      <c r="C4234" s="12" t="inlineStr">
        <is>
          <t>Modular / portable power</t>
        </is>
      </c>
      <c r="D4234" s="12" t="inlineStr">
        <is>
          <t>Motor 2 of 6: control / local station</t>
        </is>
      </c>
      <c r="E4234" s="12" t="inlineStr"/>
      <c r="F4234" s="12" t="inlineStr">
        <is>
          <t>PCM: power control module</t>
        </is>
      </c>
      <c r="G4234" s="12" t="inlineStr">
        <is>
          <t>RICE-6</t>
        </is>
      </c>
      <c r="H4234" s="12" t="inlineStr">
        <is>
          <t>RICE engine-generator 6</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367</v>
      </c>
      <c r="U4234" s="17" t="n">
        <v>180</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I-C-0121</t>
        </is>
      </c>
      <c r="B4235" s="12" t="inlineStr">
        <is>
          <t>I</t>
        </is>
      </c>
      <c r="C4235" s="12" t="inlineStr">
        <is>
          <t>Modular / portable power</t>
        </is>
      </c>
      <c r="D4235" s="12" t="inlineStr">
        <is>
          <t>Motor 3 of 6: control / local station</t>
        </is>
      </c>
      <c r="E4235" s="12" t="inlineStr"/>
      <c r="F4235" s="12" t="inlineStr">
        <is>
          <t>PCM: power control module</t>
        </is>
      </c>
      <c r="G4235" s="12" t="inlineStr">
        <is>
          <t>RICE-6</t>
        </is>
      </c>
      <c r="H4235" s="12" t="inlineStr">
        <is>
          <t>RICE engine-generator 6</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367</v>
      </c>
      <c r="U4235" s="17" t="n">
        <v>180</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I-C-0122</t>
        </is>
      </c>
      <c r="B4236" s="12" t="inlineStr">
        <is>
          <t>I</t>
        </is>
      </c>
      <c r="C4236" s="12" t="inlineStr">
        <is>
          <t>Modular / portable power</t>
        </is>
      </c>
      <c r="D4236" s="12" t="inlineStr">
        <is>
          <t>Motor 4 of 6: control / local station</t>
        </is>
      </c>
      <c r="E4236" s="12" t="inlineStr"/>
      <c r="F4236" s="12" t="inlineStr">
        <is>
          <t>PCM: power control module</t>
        </is>
      </c>
      <c r="G4236" s="12" t="inlineStr">
        <is>
          <t>RICE-6</t>
        </is>
      </c>
      <c r="H4236" s="12" t="inlineStr">
        <is>
          <t>RICE engine-generator 6</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367</v>
      </c>
      <c r="U4236" s="17" t="n">
        <v>180</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I-C-0123</t>
        </is>
      </c>
      <c r="B4237" s="12" t="inlineStr">
        <is>
          <t>I</t>
        </is>
      </c>
      <c r="C4237" s="12" t="inlineStr">
        <is>
          <t>Modular / portable power</t>
        </is>
      </c>
      <c r="D4237" s="12" t="inlineStr">
        <is>
          <t>Motor 5 of 6: control / local station</t>
        </is>
      </c>
      <c r="E4237" s="12" t="inlineStr"/>
      <c r="F4237" s="12" t="inlineStr">
        <is>
          <t>PCM: power control module</t>
        </is>
      </c>
      <c r="G4237" s="12" t="inlineStr">
        <is>
          <t>RICE-6</t>
        </is>
      </c>
      <c r="H4237" s="12" t="inlineStr">
        <is>
          <t>RICE engine-generator 6</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367</v>
      </c>
      <c r="U4237" s="17" t="n">
        <v>180</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I-C-0124</t>
        </is>
      </c>
      <c r="B4238" s="12" t="inlineStr">
        <is>
          <t>I</t>
        </is>
      </c>
      <c r="C4238" s="12" t="inlineStr">
        <is>
          <t>Modular / portable power</t>
        </is>
      </c>
      <c r="D4238" s="12" t="inlineStr">
        <is>
          <t>Motor 6 of 6: control / local station</t>
        </is>
      </c>
      <c r="E4238" s="12" t="inlineStr"/>
      <c r="F4238" s="12" t="inlineStr">
        <is>
          <t>PCM: power control module</t>
        </is>
      </c>
      <c r="G4238" s="12" t="inlineStr">
        <is>
          <t>RICE-6</t>
        </is>
      </c>
      <c r="H4238" s="12" t="inlineStr">
        <is>
          <t>RICE engine-generator 6</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367</v>
      </c>
      <c r="U4238" s="17" t="n">
        <v>180</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I-C-0125</t>
        </is>
      </c>
      <c r="B4239" s="12" t="inlineStr">
        <is>
          <t>I</t>
        </is>
      </c>
      <c r="C4239" s="12" t="inlineStr">
        <is>
          <t>Modular / portable power</t>
        </is>
      </c>
      <c r="D4239" s="12" t="inlineStr">
        <is>
          <t>Motor 1 of 6: control / local station</t>
        </is>
      </c>
      <c r="E4239" s="12" t="inlineStr"/>
      <c r="F4239" s="12" t="inlineStr">
        <is>
          <t>PCM: power control module</t>
        </is>
      </c>
      <c r="G4239" s="12" t="inlineStr">
        <is>
          <t>RICE-7</t>
        </is>
      </c>
      <c r="H4239" s="12" t="inlineStr">
        <is>
          <t>RICE engine-generator 7</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7" t="n">
        <v>0</v>
      </c>
      <c r="U4239" s="17" t="n">
        <v>189</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I-C-0126</t>
        </is>
      </c>
      <c r="B4240" s="12" t="inlineStr">
        <is>
          <t>I</t>
        </is>
      </c>
      <c r="C4240" s="12" t="inlineStr">
        <is>
          <t>Modular / portable power</t>
        </is>
      </c>
      <c r="D4240" s="12" t="inlineStr">
        <is>
          <t>Motor 2 of 6: control / local station</t>
        </is>
      </c>
      <c r="E4240" s="12" t="inlineStr"/>
      <c r="F4240" s="12" t="inlineStr">
        <is>
          <t>PCM: power control module</t>
        </is>
      </c>
      <c r="G4240" s="12" t="inlineStr">
        <is>
          <t>RICE-7</t>
        </is>
      </c>
      <c r="H4240" s="12" t="inlineStr">
        <is>
          <t>RICE engine-generator 7</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Tray</t>
        </is>
      </c>
      <c r="T4240" s="17" t="n">
        <v>0</v>
      </c>
      <c r="U4240" s="17" t="n">
        <v>189</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I-C-0127</t>
        </is>
      </c>
      <c r="B4241" s="12" t="inlineStr">
        <is>
          <t>I</t>
        </is>
      </c>
      <c r="C4241" s="12" t="inlineStr">
        <is>
          <t>Modular / portable power</t>
        </is>
      </c>
      <c r="D4241" s="12" t="inlineStr">
        <is>
          <t>Motor 3 of 6: control / local station</t>
        </is>
      </c>
      <c r="E4241" s="12" t="inlineStr"/>
      <c r="F4241" s="12" t="inlineStr">
        <is>
          <t>PCM: power control module</t>
        </is>
      </c>
      <c r="G4241" s="12" t="inlineStr">
        <is>
          <t>RICE-7</t>
        </is>
      </c>
      <c r="H4241" s="12" t="inlineStr">
        <is>
          <t>RICE engine-generator 7</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7" t="n">
        <v>0</v>
      </c>
      <c r="U4241" s="17" t="n">
        <v>189</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I-C-0128</t>
        </is>
      </c>
      <c r="B4242" s="12" t="inlineStr">
        <is>
          <t>I</t>
        </is>
      </c>
      <c r="C4242" s="12" t="inlineStr">
        <is>
          <t>Modular / portable power</t>
        </is>
      </c>
      <c r="D4242" s="12" t="inlineStr">
        <is>
          <t>Motor 4 of 6: control / local station</t>
        </is>
      </c>
      <c r="E4242" s="12" t="inlineStr"/>
      <c r="F4242" s="12" t="inlineStr">
        <is>
          <t>PCM: power control module</t>
        </is>
      </c>
      <c r="G4242" s="12" t="inlineStr">
        <is>
          <t>RICE-7</t>
        </is>
      </c>
      <c r="H4242" s="12" t="inlineStr">
        <is>
          <t>RICE engine-generator 7</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7" t="n">
        <v>0</v>
      </c>
      <c r="U4242" s="17" t="n">
        <v>189</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I-C-0129</t>
        </is>
      </c>
      <c r="B4243" s="12" t="inlineStr">
        <is>
          <t>I</t>
        </is>
      </c>
      <c r="C4243" s="12" t="inlineStr">
        <is>
          <t>Modular / portable power</t>
        </is>
      </c>
      <c r="D4243" s="12" t="inlineStr">
        <is>
          <t>Motor 5 of 6: control / local station</t>
        </is>
      </c>
      <c r="E4243" s="12" t="inlineStr"/>
      <c r="F4243" s="12" t="inlineStr">
        <is>
          <t>PCM: power control module</t>
        </is>
      </c>
      <c r="G4243" s="12" t="inlineStr">
        <is>
          <t>RICE-7</t>
        </is>
      </c>
      <c r="H4243" s="12" t="inlineStr">
        <is>
          <t>RICE engine-generator 7</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189</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I-C-0130</t>
        </is>
      </c>
      <c r="B4244" s="12" t="inlineStr">
        <is>
          <t>I</t>
        </is>
      </c>
      <c r="C4244" s="12" t="inlineStr">
        <is>
          <t>Modular / portable power</t>
        </is>
      </c>
      <c r="D4244" s="12" t="inlineStr">
        <is>
          <t>Motor 6 of 6: control / local station</t>
        </is>
      </c>
      <c r="E4244" s="12" t="inlineStr"/>
      <c r="F4244" s="12" t="inlineStr">
        <is>
          <t>PCM: power control module</t>
        </is>
      </c>
      <c r="G4244" s="12" t="inlineStr">
        <is>
          <t>RICE-7</t>
        </is>
      </c>
      <c r="H4244" s="12" t="inlineStr">
        <is>
          <t>RICE engine-generator 7</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189</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I-C-0131</t>
        </is>
      </c>
      <c r="B4245" s="12" t="inlineStr">
        <is>
          <t>I</t>
        </is>
      </c>
      <c r="C4245" s="12" t="inlineStr">
        <is>
          <t>Modular / portable power</t>
        </is>
      </c>
      <c r="D4245" s="12" t="inlineStr">
        <is>
          <t>Motor 1 of 6: control / local station</t>
        </is>
      </c>
      <c r="E4245" s="12" t="inlineStr"/>
      <c r="F4245" s="12" t="inlineStr">
        <is>
          <t>PCM: power control module</t>
        </is>
      </c>
      <c r="G4245" s="12" t="inlineStr">
        <is>
          <t>RICE-8</t>
        </is>
      </c>
      <c r="H4245" s="12" t="inlineStr">
        <is>
          <t>RICE engine-generator 8</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7" t="n">
        <v>0</v>
      </c>
      <c r="U4245" s="17" t="n">
        <v>161</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I-C-0132</t>
        </is>
      </c>
      <c r="B4246" s="12" t="inlineStr">
        <is>
          <t>I</t>
        </is>
      </c>
      <c r="C4246" s="12" t="inlineStr">
        <is>
          <t>Modular / portable power</t>
        </is>
      </c>
      <c r="D4246" s="12" t="inlineStr">
        <is>
          <t>Motor 2 of 6: control / local station</t>
        </is>
      </c>
      <c r="E4246" s="12" t="inlineStr"/>
      <c r="F4246" s="12" t="inlineStr">
        <is>
          <t>PCM: power control module</t>
        </is>
      </c>
      <c r="G4246" s="12" t="inlineStr">
        <is>
          <t>RICE-8</t>
        </is>
      </c>
      <c r="H4246" s="12" t="inlineStr">
        <is>
          <t>RICE engine-generator 8</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Tray</t>
        </is>
      </c>
      <c r="T4246" s="17" t="n">
        <v>0</v>
      </c>
      <c r="U4246" s="17" t="n">
        <v>161</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I-C-0133</t>
        </is>
      </c>
      <c r="B4247" s="12" t="inlineStr">
        <is>
          <t>I</t>
        </is>
      </c>
      <c r="C4247" s="12" t="inlineStr">
        <is>
          <t>Modular / portable power</t>
        </is>
      </c>
      <c r="D4247" s="12" t="inlineStr">
        <is>
          <t>Motor 3 of 6: control / local station</t>
        </is>
      </c>
      <c r="E4247" s="12" t="inlineStr"/>
      <c r="F4247" s="12" t="inlineStr">
        <is>
          <t>PCM: power control module</t>
        </is>
      </c>
      <c r="G4247" s="12" t="inlineStr">
        <is>
          <t>RICE-8</t>
        </is>
      </c>
      <c r="H4247" s="12" t="inlineStr">
        <is>
          <t>RICE engine-generator 8</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161</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I-C-0134</t>
        </is>
      </c>
      <c r="B4248" s="12" t="inlineStr">
        <is>
          <t>I</t>
        </is>
      </c>
      <c r="C4248" s="12" t="inlineStr">
        <is>
          <t>Modular / portable power</t>
        </is>
      </c>
      <c r="D4248" s="12" t="inlineStr">
        <is>
          <t>Motor 4 of 6: control / local station</t>
        </is>
      </c>
      <c r="E4248" s="12" t="inlineStr"/>
      <c r="F4248" s="12" t="inlineStr">
        <is>
          <t>PCM: power control module</t>
        </is>
      </c>
      <c r="G4248" s="12" t="inlineStr">
        <is>
          <t>RICE-8</t>
        </is>
      </c>
      <c r="H4248" s="12" t="inlineStr">
        <is>
          <t>RICE engine-generator 8</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7" t="n">
        <v>0</v>
      </c>
      <c r="U4248" s="17" t="n">
        <v>161</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I-C-0135</t>
        </is>
      </c>
      <c r="B4249" s="12" t="inlineStr">
        <is>
          <t>I</t>
        </is>
      </c>
      <c r="C4249" s="12" t="inlineStr">
        <is>
          <t>Modular / portable power</t>
        </is>
      </c>
      <c r="D4249" s="12" t="inlineStr">
        <is>
          <t>Motor 5 of 6: control / local station</t>
        </is>
      </c>
      <c r="E4249" s="12" t="inlineStr"/>
      <c r="F4249" s="12" t="inlineStr">
        <is>
          <t>PCM: power control module</t>
        </is>
      </c>
      <c r="G4249" s="12" t="inlineStr">
        <is>
          <t>RICE-8</t>
        </is>
      </c>
      <c r="H4249" s="12" t="inlineStr">
        <is>
          <t>RICE engine-generator 8</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7" t="n">
        <v>0</v>
      </c>
      <c r="U4249" s="17" t="n">
        <v>161</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I-C-0136</t>
        </is>
      </c>
      <c r="B4250" s="12" t="inlineStr">
        <is>
          <t>I</t>
        </is>
      </c>
      <c r="C4250" s="12" t="inlineStr">
        <is>
          <t>Modular / portable power</t>
        </is>
      </c>
      <c r="D4250" s="12" t="inlineStr">
        <is>
          <t>Motor 6 of 6: control / local station</t>
        </is>
      </c>
      <c r="E4250" s="12" t="inlineStr"/>
      <c r="F4250" s="12" t="inlineStr">
        <is>
          <t>PCM: power control module</t>
        </is>
      </c>
      <c r="G4250" s="12" t="inlineStr">
        <is>
          <t>RICE-8</t>
        </is>
      </c>
      <c r="H4250" s="12" t="inlineStr">
        <is>
          <t>RICE engine-generator 8</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7" t="n">
        <v>0</v>
      </c>
      <c r="U4250" s="17" t="n">
        <v>161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I-C-0137</t>
        </is>
      </c>
      <c r="B4251" s="12" t="inlineStr">
        <is>
          <t>I</t>
        </is>
      </c>
      <c r="C4251" s="12" t="inlineStr">
        <is>
          <t>Modular / portable power</t>
        </is>
      </c>
      <c r="D4251" s="12" t="inlineStr">
        <is>
          <t>Control</t>
        </is>
      </c>
      <c r="E4251" s="12" t="inlineStr"/>
      <c r="F4251" s="12" t="inlineStr">
        <is>
          <t>PCM: power control module</t>
        </is>
      </c>
      <c r="G4251" s="12" t="inlineStr"/>
      <c r="H4251" s="12" t="inlineStr">
        <is>
          <t>Reagent storage</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7" t="n">
        <v>40</v>
      </c>
      <c r="U4251" s="17" t="n">
        <v>32</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I-C-0138</t>
        </is>
      </c>
      <c r="B4252" s="12" t="inlineStr">
        <is>
          <t>I</t>
        </is>
      </c>
      <c r="C4252" s="12" t="inlineStr">
        <is>
          <t>Modular / portable power</t>
        </is>
      </c>
      <c r="D4252" s="12" t="inlineStr">
        <is>
          <t>Motor 1 of 2: control / local station</t>
        </is>
      </c>
      <c r="E4252" s="12" t="inlineStr"/>
      <c r="F4252" s="12" t="inlineStr">
        <is>
          <t>PCM: power control module</t>
        </is>
      </c>
      <c r="G4252" s="12" t="inlineStr"/>
      <c r="H4252" s="12" t="inlineStr">
        <is>
          <t>SC-1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7" t="n">
        <v>40</v>
      </c>
      <c r="U4252" s="17" t="n">
        <v>142</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I-C-0139</t>
        </is>
      </c>
      <c r="B4253" s="12" t="inlineStr">
        <is>
          <t>I</t>
        </is>
      </c>
      <c r="C4253" s="12" t="inlineStr">
        <is>
          <t>Modular / portable power</t>
        </is>
      </c>
      <c r="D4253" s="12" t="inlineStr">
        <is>
          <t>Motor 2 of 2: control / local station</t>
        </is>
      </c>
      <c r="E4253" s="12" t="inlineStr"/>
      <c r="F4253" s="12" t="inlineStr">
        <is>
          <t>PCM: power control module</t>
        </is>
      </c>
      <c r="G4253" s="12" t="inlineStr"/>
      <c r="H4253" s="12" t="inlineStr">
        <is>
          <t>SC-1 SCR / CO catalyst</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Duct bank</t>
        </is>
      </c>
      <c r="T4253" s="17" t="n">
        <v>40</v>
      </c>
      <c r="U4253" s="17" t="n">
        <v>142</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I-C-0140</t>
        </is>
      </c>
      <c r="B4254" s="12" t="inlineStr">
        <is>
          <t>I</t>
        </is>
      </c>
      <c r="C4254" s="12" t="inlineStr">
        <is>
          <t>Modular / portable power</t>
        </is>
      </c>
      <c r="D4254" s="12" t="inlineStr">
        <is>
          <t>Motor 1 of 4: control / local station</t>
        </is>
      </c>
      <c r="E4254" s="12" t="inlineStr"/>
      <c r="F4254" s="12" t="inlineStr">
        <is>
          <t>PCM: power control module</t>
        </is>
      </c>
      <c r="G4254" s="12" t="inlineStr"/>
      <c r="H4254" s="12" t="inlineStr">
        <is>
          <t>SC-1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Duct bank</t>
        </is>
      </c>
      <c r="T4254" s="17" t="n">
        <v>82</v>
      </c>
      <c r="U4254" s="17" t="n">
        <v>82</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I-C-0141</t>
        </is>
      </c>
      <c r="B4255" s="12" t="inlineStr">
        <is>
          <t>I</t>
        </is>
      </c>
      <c r="C4255" s="12" t="inlineStr">
        <is>
          <t>Modular / portable power</t>
        </is>
      </c>
      <c r="D4255" s="12" t="inlineStr">
        <is>
          <t>Motor 2 of 4: control / local station</t>
        </is>
      </c>
      <c r="E4255" s="12" t="inlineStr"/>
      <c r="F4255" s="12" t="inlineStr">
        <is>
          <t>PCM: power control module</t>
        </is>
      </c>
      <c r="G4255" s="12" t="inlineStr"/>
      <c r="H4255" s="12" t="inlineStr">
        <is>
          <t>SC-1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7" t="n">
        <v>82</v>
      </c>
      <c r="U4255" s="17" t="n">
        <v>82</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I-C-0142</t>
        </is>
      </c>
      <c r="B4256" s="12" t="inlineStr">
        <is>
          <t>I</t>
        </is>
      </c>
      <c r="C4256" s="12" t="inlineStr">
        <is>
          <t>Modular / portable power</t>
        </is>
      </c>
      <c r="D4256" s="12" t="inlineStr">
        <is>
          <t>Motor 3 of 4: control / local station</t>
        </is>
      </c>
      <c r="E4256" s="12" t="inlineStr"/>
      <c r="F4256" s="12" t="inlineStr">
        <is>
          <t>PCM: power control module</t>
        </is>
      </c>
      <c r="G4256" s="12" t="inlineStr"/>
      <c r="H4256" s="12" t="inlineStr">
        <is>
          <t>SC-1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7" t="n">
        <v>82</v>
      </c>
      <c r="U4256" s="17" t="n">
        <v>82</v>
      </c>
      <c r="V4256" s="17">
        <f>ROUNDUP((T4256+U4256+2*'Read Me'!$B$13)*(1+'Read Me'!$B$12),-1)</f>
        <v/>
      </c>
      <c r="W4256" s="17">
        <f>V4256*N4256*O4256</f>
        <v/>
      </c>
      <c r="X4256" s="12">
        <f>IF(LEFT(I4256,2)="MV",2*N4256*IF(L4256="1/C",O4256,1),0)</f>
        <v/>
      </c>
      <c r="Y4256" s="12">
        <f>IF(OR(LEFT(K4256,4)="LVAX",LEFT(K4256,6)="MV15AX",LEFT(K4256,4)="CTAX",LEFT(K4256,2)="W|"),2*N4256*O4256,0)</f>
        <v/>
      </c>
      <c r="Z4256" s="12" t="inlineStr"/>
      <c r="AA4256" s="12">
        <f>N4256*O4256</f>
        <v/>
      </c>
    </row>
    <row r="4257">
      <c r="A4257" s="12" t="inlineStr">
        <is>
          <t>I-C-0143</t>
        </is>
      </c>
      <c r="B4257" s="12" t="inlineStr">
        <is>
          <t>I</t>
        </is>
      </c>
      <c r="C4257" s="12" t="inlineStr">
        <is>
          <t>Modular / portable power</t>
        </is>
      </c>
      <c r="D4257" s="12" t="inlineStr">
        <is>
          <t>Motor 4 of 4: control / local station</t>
        </is>
      </c>
      <c r="E4257" s="12" t="inlineStr"/>
      <c r="F4257" s="12" t="inlineStr">
        <is>
          <t>PCM: power control module</t>
        </is>
      </c>
      <c r="G4257" s="12" t="inlineStr"/>
      <c r="H4257" s="12" t="inlineStr">
        <is>
          <t>SC-1 lube-oil fin-fan cooler</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7" t="n">
        <v>82</v>
      </c>
      <c r="U4257" s="17" t="n">
        <v>82</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I-C-0144</t>
        </is>
      </c>
      <c r="B4258" s="12" t="inlineStr">
        <is>
          <t>I</t>
        </is>
      </c>
      <c r="C4258" s="12" t="inlineStr">
        <is>
          <t>Modular / portable power</t>
        </is>
      </c>
      <c r="D4258" s="12" t="inlineStr">
        <is>
          <t>Motor 1 of 10: control / local station</t>
        </is>
      </c>
      <c r="E4258" s="12" t="inlineStr"/>
      <c r="F4258" s="12" t="inlineStr">
        <is>
          <t>PCM: power control module</t>
        </is>
      </c>
      <c r="G4258" s="12" t="inlineStr">
        <is>
          <t>SC-1</t>
        </is>
      </c>
      <c r="H4258" s="12" t="inlineStr">
        <is>
          <t>SC-1: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7" t="n">
        <v>40</v>
      </c>
      <c r="U4258" s="17" t="n">
        <v>52</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I-C-0145</t>
        </is>
      </c>
      <c r="B4259" s="12" t="inlineStr">
        <is>
          <t>I</t>
        </is>
      </c>
      <c r="C4259" s="12" t="inlineStr">
        <is>
          <t>Modular / portable power</t>
        </is>
      </c>
      <c r="D4259" s="12" t="inlineStr">
        <is>
          <t>Motor 2 of 10: control / local station</t>
        </is>
      </c>
      <c r="E4259" s="12" t="inlineStr"/>
      <c r="F4259" s="12" t="inlineStr">
        <is>
          <t>PCM: power control module</t>
        </is>
      </c>
      <c r="G4259" s="12" t="inlineStr">
        <is>
          <t>SC-1</t>
        </is>
      </c>
      <c r="H4259" s="12" t="inlineStr">
        <is>
          <t>SC-1: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7" t="n">
        <v>40</v>
      </c>
      <c r="U4259" s="17" t="n">
        <v>52</v>
      </c>
      <c r="V4259" s="17">
        <f>ROUNDUP((T4259+U4259+2*'Read Me'!$B$13)*(1+'Read Me'!$B$12),-1)</f>
        <v/>
      </c>
      <c r="W4259" s="17">
        <f>V4259*N4259*O4259</f>
        <v/>
      </c>
      <c r="X4259" s="12">
        <f>IF(LEFT(I4259,2)="MV",2*N4259*IF(L4259="1/C",O4259,1),0)</f>
        <v/>
      </c>
      <c r="Y4259" s="12">
        <f>IF(OR(LEFT(K4259,4)="LVAX",LEFT(K4259,6)="MV15AX",LEFT(K4259,4)="CTAX",LEFT(K4259,2)="W|"),2*N4259*O4259,0)</f>
        <v/>
      </c>
      <c r="Z4259" s="12" t="inlineStr"/>
      <c r="AA4259" s="12">
        <f>N4259*O4259</f>
        <v/>
      </c>
    </row>
    <row r="4260">
      <c r="A4260" s="12" t="inlineStr">
        <is>
          <t>I-C-0146</t>
        </is>
      </c>
      <c r="B4260" s="12" t="inlineStr">
        <is>
          <t>I</t>
        </is>
      </c>
      <c r="C4260" s="12" t="inlineStr">
        <is>
          <t>Modular / portable power</t>
        </is>
      </c>
      <c r="D4260" s="12" t="inlineStr">
        <is>
          <t>Motor 3 of 10: control / local station</t>
        </is>
      </c>
      <c r="E4260" s="12" t="inlineStr"/>
      <c r="F4260" s="12" t="inlineStr">
        <is>
          <t>PCM: power control module</t>
        </is>
      </c>
      <c r="G4260" s="12" t="inlineStr">
        <is>
          <t>SC-1</t>
        </is>
      </c>
      <c r="H4260" s="12" t="inlineStr">
        <is>
          <t>SC-1: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7" t="n">
        <v>40</v>
      </c>
      <c r="U4260" s="17" t="n">
        <v>52</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I-C-0147</t>
        </is>
      </c>
      <c r="B4261" s="12" t="inlineStr">
        <is>
          <t>I</t>
        </is>
      </c>
      <c r="C4261" s="12" t="inlineStr">
        <is>
          <t>Modular / portable power</t>
        </is>
      </c>
      <c r="D4261" s="12" t="inlineStr">
        <is>
          <t>Motor 4 of 10: control / local station</t>
        </is>
      </c>
      <c r="E4261" s="12" t="inlineStr"/>
      <c r="F4261" s="12" t="inlineStr">
        <is>
          <t>PCM: power control module</t>
        </is>
      </c>
      <c r="G4261" s="12" t="inlineStr">
        <is>
          <t>SC-1</t>
        </is>
      </c>
      <c r="H4261" s="12" t="inlineStr">
        <is>
          <t>SC-1: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7" t="n">
        <v>40</v>
      </c>
      <c r="U4261" s="17" t="n">
        <v>52</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I-C-0148</t>
        </is>
      </c>
      <c r="B4262" s="12" t="inlineStr">
        <is>
          <t>I</t>
        </is>
      </c>
      <c r="C4262" s="12" t="inlineStr">
        <is>
          <t>Modular / portable power</t>
        </is>
      </c>
      <c r="D4262" s="12" t="inlineStr">
        <is>
          <t>Motor 5 of 10: control / local station</t>
        </is>
      </c>
      <c r="E4262" s="12" t="inlineStr"/>
      <c r="F4262" s="12" t="inlineStr">
        <is>
          <t>PCM: power control module</t>
        </is>
      </c>
      <c r="G4262" s="12" t="inlineStr">
        <is>
          <t>SC-1</t>
        </is>
      </c>
      <c r="H4262" s="12" t="inlineStr">
        <is>
          <t>SC-1: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7" t="n">
        <v>40</v>
      </c>
      <c r="U4262" s="17" t="n">
        <v>52</v>
      </c>
      <c r="V4262" s="17">
        <f>ROUNDUP((T4262+U4262+2*'Read Me'!$B$13)*(1+'Read Me'!$B$12),-1)</f>
        <v/>
      </c>
      <c r="W4262" s="17">
        <f>V4262*N4262*O4262</f>
        <v/>
      </c>
      <c r="X4262" s="12">
        <f>IF(LEFT(I4262,2)="MV",2*N4262*IF(L4262="1/C",O4262,1),0)</f>
        <v/>
      </c>
      <c r="Y4262" s="12">
        <f>IF(OR(LEFT(K4262,4)="LVAX",LEFT(K4262,6)="MV15AX",LEFT(K4262,4)="CTAX",LEFT(K4262,2)="W|"),2*N4262*O4262,0)</f>
        <v/>
      </c>
      <c r="Z4262" s="12" t="inlineStr"/>
      <c r="AA4262" s="12">
        <f>N4262*O4262</f>
        <v/>
      </c>
    </row>
    <row r="4263">
      <c r="A4263" s="12" t="inlineStr">
        <is>
          <t>I-C-0149</t>
        </is>
      </c>
      <c r="B4263" s="12" t="inlineStr">
        <is>
          <t>I</t>
        </is>
      </c>
      <c r="C4263" s="12" t="inlineStr">
        <is>
          <t>Modular / portable power</t>
        </is>
      </c>
      <c r="D4263" s="12" t="inlineStr">
        <is>
          <t>Motor 6 of 10: control / local station</t>
        </is>
      </c>
      <c r="E4263" s="12" t="inlineStr"/>
      <c r="F4263" s="12" t="inlineStr">
        <is>
          <t>PCM: power control module</t>
        </is>
      </c>
      <c r="G4263" s="12" t="inlineStr">
        <is>
          <t>SC-1</t>
        </is>
      </c>
      <c r="H4263" s="12" t="inlineStr">
        <is>
          <t>SC-1: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7" t="n">
        <v>40</v>
      </c>
      <c r="U4263" s="17" t="n">
        <v>52</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I-C-0150</t>
        </is>
      </c>
      <c r="B4264" s="12" t="inlineStr">
        <is>
          <t>I</t>
        </is>
      </c>
      <c r="C4264" s="12" t="inlineStr">
        <is>
          <t>Modular / portable power</t>
        </is>
      </c>
      <c r="D4264" s="12" t="inlineStr">
        <is>
          <t>Motor 7 of 10: control / local station</t>
        </is>
      </c>
      <c r="E4264" s="12" t="inlineStr"/>
      <c r="F4264" s="12" t="inlineStr">
        <is>
          <t>PCM: power control module</t>
        </is>
      </c>
      <c r="G4264" s="12" t="inlineStr">
        <is>
          <t>SC-1</t>
        </is>
      </c>
      <c r="H4264" s="12" t="inlineStr">
        <is>
          <t>SC-1: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7" t="n">
        <v>40</v>
      </c>
      <c r="U4264" s="17" t="n">
        <v>52</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I-C-0151</t>
        </is>
      </c>
      <c r="B4265" s="12" t="inlineStr">
        <is>
          <t>I</t>
        </is>
      </c>
      <c r="C4265" s="12" t="inlineStr">
        <is>
          <t>Modular / portable power</t>
        </is>
      </c>
      <c r="D4265" s="12" t="inlineStr">
        <is>
          <t>Motor 8 of 10: control / local station</t>
        </is>
      </c>
      <c r="E4265" s="12" t="inlineStr"/>
      <c r="F4265" s="12" t="inlineStr">
        <is>
          <t>PCM: power control module</t>
        </is>
      </c>
      <c r="G4265" s="12" t="inlineStr">
        <is>
          <t>SC-1</t>
        </is>
      </c>
      <c r="H4265" s="12" t="inlineStr">
        <is>
          <t>SC-1: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Duct bank</t>
        </is>
      </c>
      <c r="T4265" s="17" t="n">
        <v>40</v>
      </c>
      <c r="U4265" s="17" t="n">
        <v>52</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I-C-0152</t>
        </is>
      </c>
      <c r="B4266" s="12" t="inlineStr">
        <is>
          <t>I</t>
        </is>
      </c>
      <c r="C4266" s="12" t="inlineStr">
        <is>
          <t>Modular / portable power</t>
        </is>
      </c>
      <c r="D4266" s="12" t="inlineStr">
        <is>
          <t>Motor 9 of 10: control / local station</t>
        </is>
      </c>
      <c r="E4266" s="12" t="inlineStr"/>
      <c r="F4266" s="12" t="inlineStr">
        <is>
          <t>PCM: power control module</t>
        </is>
      </c>
      <c r="G4266" s="12" t="inlineStr">
        <is>
          <t>SC-1</t>
        </is>
      </c>
      <c r="H4266" s="12" t="inlineStr">
        <is>
          <t>SC-1: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7" t="n">
        <v>40</v>
      </c>
      <c r="U4266" s="17" t="n">
        <v>52</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I-C-0153</t>
        </is>
      </c>
      <c r="B4267" s="12" t="inlineStr">
        <is>
          <t>I</t>
        </is>
      </c>
      <c r="C4267" s="12" t="inlineStr">
        <is>
          <t>Modular / portable power</t>
        </is>
      </c>
      <c r="D4267" s="12" t="inlineStr">
        <is>
          <t>Motor 10 of 10: control / local station</t>
        </is>
      </c>
      <c r="E4267" s="12" t="inlineStr"/>
      <c r="F4267" s="12" t="inlineStr">
        <is>
          <t>PCM: power control module</t>
        </is>
      </c>
      <c r="G4267" s="12" t="inlineStr">
        <is>
          <t>SC-1</t>
        </is>
      </c>
      <c r="H4267" s="12" t="inlineStr">
        <is>
          <t>SC-1: aeroderivative simple-cycle unit (LM6000 class)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7" t="n">
        <v>40</v>
      </c>
      <c r="U4267" s="17" t="n">
        <v>52</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I-C-0154</t>
        </is>
      </c>
      <c r="B4268" s="12" t="inlineStr">
        <is>
          <t>I</t>
        </is>
      </c>
      <c r="C4268" s="12" t="inlineStr">
        <is>
          <t>Modular / portable power</t>
        </is>
      </c>
      <c r="D4268" s="12" t="inlineStr">
        <is>
          <t>Motor 1 of 2: control / local station</t>
        </is>
      </c>
      <c r="E4268" s="12" t="inlineStr"/>
      <c r="F4268" s="12" t="inlineStr">
        <is>
          <t>MOD-LV 480 V board + 480 V : 13.8 kV step-up</t>
        </is>
      </c>
      <c r="G4268" s="12" t="inlineStr"/>
      <c r="H4268" s="12" t="inlineStr">
        <is>
          <t>SC-2 SCR / CO catalyst</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HV duct bank</t>
        </is>
      </c>
      <c r="T4268" s="17" t="n">
        <v>4384</v>
      </c>
      <c r="U4268" s="17" t="n">
        <v>128</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I-C-0155</t>
        </is>
      </c>
      <c r="B4269" s="12" t="inlineStr">
        <is>
          <t>I</t>
        </is>
      </c>
      <c r="C4269" s="12" t="inlineStr">
        <is>
          <t>Modular / portable power</t>
        </is>
      </c>
      <c r="D4269" s="12" t="inlineStr">
        <is>
          <t>Motor 2 of 2: control / local station</t>
        </is>
      </c>
      <c r="E4269" s="12" t="inlineStr"/>
      <c r="F4269" s="12" t="inlineStr">
        <is>
          <t>MOD-LV 480 V board + 480 V : 13.8 kV step-up</t>
        </is>
      </c>
      <c r="G4269" s="12" t="inlineStr"/>
      <c r="H4269" s="12" t="inlineStr">
        <is>
          <t>SC-2 SCR / CO catalyst</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HV duct bank</t>
        </is>
      </c>
      <c r="T4269" s="17" t="n">
        <v>4384</v>
      </c>
      <c r="U4269" s="17" t="n">
        <v>128</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I-C-0156</t>
        </is>
      </c>
      <c r="B4270" s="12" t="inlineStr">
        <is>
          <t>I</t>
        </is>
      </c>
      <c r="C4270" s="12" t="inlineStr">
        <is>
          <t>Modular / portable power</t>
        </is>
      </c>
      <c r="D4270" s="12" t="inlineStr">
        <is>
          <t>Motor 1 of 4: control / local station</t>
        </is>
      </c>
      <c r="E4270" s="12" t="inlineStr"/>
      <c r="F4270" s="12" t="inlineStr">
        <is>
          <t>MOD-LV 480 V board + 480 V : 13.8 kV step-up</t>
        </is>
      </c>
      <c r="G4270" s="12" t="inlineStr"/>
      <c r="H4270" s="12" t="inlineStr">
        <is>
          <t>SC-2 lube-oil fin-fan cooler</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HV duct bank</t>
        </is>
      </c>
      <c r="T4270" s="17" t="n">
        <v>4352</v>
      </c>
      <c r="U4270" s="17" t="n">
        <v>88</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I-C-0157</t>
        </is>
      </c>
      <c r="B4271" s="12" t="inlineStr">
        <is>
          <t>I</t>
        </is>
      </c>
      <c r="C4271" s="12" t="inlineStr">
        <is>
          <t>Modular / portable power</t>
        </is>
      </c>
      <c r="D4271" s="12" t="inlineStr">
        <is>
          <t>Motor 2 of 4: control / local station</t>
        </is>
      </c>
      <c r="E4271" s="12" t="inlineStr"/>
      <c r="F4271" s="12" t="inlineStr">
        <is>
          <t>MOD-LV 480 V board + 480 V : 13.8 kV step-up</t>
        </is>
      </c>
      <c r="G4271" s="12" t="inlineStr"/>
      <c r="H4271" s="12" t="inlineStr">
        <is>
          <t>SC-2 lube-oil fin-fan cooler</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HV duct bank</t>
        </is>
      </c>
      <c r="T4271" s="17" t="n">
        <v>4352</v>
      </c>
      <c r="U4271" s="17" t="n">
        <v>88</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I-C-0158</t>
        </is>
      </c>
      <c r="B4272" s="12" t="inlineStr">
        <is>
          <t>I</t>
        </is>
      </c>
      <c r="C4272" s="12" t="inlineStr">
        <is>
          <t>Modular / portable power</t>
        </is>
      </c>
      <c r="D4272" s="12" t="inlineStr">
        <is>
          <t>Motor 3 of 4: control / local station</t>
        </is>
      </c>
      <c r="E4272" s="12" t="inlineStr"/>
      <c r="F4272" s="12" t="inlineStr">
        <is>
          <t>MOD-LV 480 V board + 480 V : 13.8 kV step-up</t>
        </is>
      </c>
      <c r="G4272" s="12" t="inlineStr"/>
      <c r="H4272" s="12" t="inlineStr">
        <is>
          <t>SC-2 lube-oil fin-fan cooler</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HV duct bank</t>
        </is>
      </c>
      <c r="T4272" s="17" t="n">
        <v>4352</v>
      </c>
      <c r="U4272" s="17" t="n">
        <v>88</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I-C-0159</t>
        </is>
      </c>
      <c r="B4273" s="12" t="inlineStr">
        <is>
          <t>I</t>
        </is>
      </c>
      <c r="C4273" s="12" t="inlineStr">
        <is>
          <t>Modular / portable power</t>
        </is>
      </c>
      <c r="D4273" s="12" t="inlineStr">
        <is>
          <t>Motor 4 of 4: control / local station</t>
        </is>
      </c>
      <c r="E4273" s="12" t="inlineStr"/>
      <c r="F4273" s="12" t="inlineStr">
        <is>
          <t>MOD-LV 480 V board + 480 V : 13.8 kV step-up</t>
        </is>
      </c>
      <c r="G4273" s="12" t="inlineStr"/>
      <c r="H4273" s="12" t="inlineStr">
        <is>
          <t>SC-2 lube-oil fin-fan cooler</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HV duct bank</t>
        </is>
      </c>
      <c r="T4273" s="17" t="n">
        <v>4352</v>
      </c>
      <c r="U4273" s="17" t="n">
        <v>88</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I-C-0160</t>
        </is>
      </c>
      <c r="B4274" s="12" t="inlineStr">
        <is>
          <t>I</t>
        </is>
      </c>
      <c r="C4274" s="12" t="inlineStr">
        <is>
          <t>Modular / portable power</t>
        </is>
      </c>
      <c r="D4274" s="12" t="inlineStr">
        <is>
          <t>Motor 1 of 10: control / local station</t>
        </is>
      </c>
      <c r="E4274" s="12" t="inlineStr"/>
      <c r="F4274" s="12" t="inlineStr">
        <is>
          <t>MOD-LV 480 V board + 480 V : 13.8 kV step-up</t>
        </is>
      </c>
      <c r="G4274" s="12" t="inlineStr">
        <is>
          <t>SC-2</t>
        </is>
      </c>
      <c r="H4274" s="12" t="inlineStr">
        <is>
          <t>SC-2: aeroderivative simple-cycle unit (LM6000 class)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HV duct bank</t>
        </is>
      </c>
      <c r="T4274" s="17" t="n">
        <v>4384</v>
      </c>
      <c r="U4274" s="17" t="n">
        <v>38</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I-C-0161</t>
        </is>
      </c>
      <c r="B4275" s="12" t="inlineStr">
        <is>
          <t>I</t>
        </is>
      </c>
      <c r="C4275" s="12" t="inlineStr">
        <is>
          <t>Modular / portable power</t>
        </is>
      </c>
      <c r="D4275" s="12" t="inlineStr">
        <is>
          <t>Motor 2 of 10: control / local station</t>
        </is>
      </c>
      <c r="E4275" s="12" t="inlineStr"/>
      <c r="F4275" s="12" t="inlineStr">
        <is>
          <t>MOD-LV 480 V board + 480 V : 13.8 kV step-up</t>
        </is>
      </c>
      <c r="G4275" s="12" t="inlineStr">
        <is>
          <t>SC-2</t>
        </is>
      </c>
      <c r="H4275" s="12" t="inlineStr">
        <is>
          <t>SC-2: aeroderivative simple-cycle unit (LM6000 class)</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HV duct bank</t>
        </is>
      </c>
      <c r="T4275" s="17" t="n">
        <v>4384</v>
      </c>
      <c r="U4275" s="17" t="n">
        <v>38</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I-C-0162</t>
        </is>
      </c>
      <c r="B4276" s="12" t="inlineStr">
        <is>
          <t>I</t>
        </is>
      </c>
      <c r="C4276" s="12" t="inlineStr">
        <is>
          <t>Modular / portable power</t>
        </is>
      </c>
      <c r="D4276" s="12" t="inlineStr">
        <is>
          <t>Motor 3 of 10: control / local station</t>
        </is>
      </c>
      <c r="E4276" s="12" t="inlineStr"/>
      <c r="F4276" s="12" t="inlineStr">
        <is>
          <t>MOD-LV 480 V board + 480 V : 13.8 kV step-up</t>
        </is>
      </c>
      <c r="G4276" s="12" t="inlineStr">
        <is>
          <t>SC-2</t>
        </is>
      </c>
      <c r="H4276" s="12" t="inlineStr">
        <is>
          <t>SC-2: aeroderivative simple-cycle unit (LM6000 class)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HV duct bank</t>
        </is>
      </c>
      <c r="T4276" s="17" t="n">
        <v>4384</v>
      </c>
      <c r="U4276" s="17" t="n">
        <v>38</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I-C-0163</t>
        </is>
      </c>
      <c r="B4277" s="12" t="inlineStr">
        <is>
          <t>I</t>
        </is>
      </c>
      <c r="C4277" s="12" t="inlineStr">
        <is>
          <t>Modular / portable power</t>
        </is>
      </c>
      <c r="D4277" s="12" t="inlineStr">
        <is>
          <t>Motor 4 of 10: control / local station</t>
        </is>
      </c>
      <c r="E4277" s="12" t="inlineStr"/>
      <c r="F4277" s="12" t="inlineStr">
        <is>
          <t>MOD-LV 480 V board + 480 V : 13.8 kV step-up</t>
        </is>
      </c>
      <c r="G4277" s="12" t="inlineStr">
        <is>
          <t>SC-2</t>
        </is>
      </c>
      <c r="H4277" s="12" t="inlineStr">
        <is>
          <t>SC-2: aeroderivative simple-cycle unit (LM6000 class)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HV duct bank</t>
        </is>
      </c>
      <c r="T4277" s="17" t="n">
        <v>4384</v>
      </c>
      <c r="U4277" s="17" t="n">
        <v>38</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I-C-0164</t>
        </is>
      </c>
      <c r="B4278" s="12" t="inlineStr">
        <is>
          <t>I</t>
        </is>
      </c>
      <c r="C4278" s="12" t="inlineStr">
        <is>
          <t>Modular / portable power</t>
        </is>
      </c>
      <c r="D4278" s="12" t="inlineStr">
        <is>
          <t>Motor 5 of 10: control / local station</t>
        </is>
      </c>
      <c r="E4278" s="12" t="inlineStr"/>
      <c r="F4278" s="12" t="inlineStr">
        <is>
          <t>MOD-LV 480 V board + 480 V : 13.8 kV step-up</t>
        </is>
      </c>
      <c r="G4278" s="12" t="inlineStr">
        <is>
          <t>SC-2</t>
        </is>
      </c>
      <c r="H4278" s="12" t="inlineStr">
        <is>
          <t>SC-2: aeroderivative simple-cycle unit (LM6000 class)</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HV duct bank</t>
        </is>
      </c>
      <c r="T4278" s="17" t="n">
        <v>4384</v>
      </c>
      <c r="U4278" s="17" t="n">
        <v>38</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I-C-0165</t>
        </is>
      </c>
      <c r="B4279" s="12" t="inlineStr">
        <is>
          <t>I</t>
        </is>
      </c>
      <c r="C4279" s="12" t="inlineStr">
        <is>
          <t>Modular / portable power</t>
        </is>
      </c>
      <c r="D4279" s="12" t="inlineStr">
        <is>
          <t>Motor 6 of 10: control / local station</t>
        </is>
      </c>
      <c r="E4279" s="12" t="inlineStr"/>
      <c r="F4279" s="12" t="inlineStr">
        <is>
          <t>MOD-LV 480 V board + 480 V : 13.8 kV step-up</t>
        </is>
      </c>
      <c r="G4279" s="12" t="inlineStr">
        <is>
          <t>SC-2</t>
        </is>
      </c>
      <c r="H4279" s="12" t="inlineStr">
        <is>
          <t>SC-2: aeroderivative simple-cycle unit (LM6000 class)</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HV duct bank</t>
        </is>
      </c>
      <c r="T4279" s="17" t="n">
        <v>4384</v>
      </c>
      <c r="U4279" s="17" t="n">
        <v>38</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I-C-0166</t>
        </is>
      </c>
      <c r="B4280" s="12" t="inlineStr">
        <is>
          <t>I</t>
        </is>
      </c>
      <c r="C4280" s="12" t="inlineStr">
        <is>
          <t>Modular / portable power</t>
        </is>
      </c>
      <c r="D4280" s="12" t="inlineStr">
        <is>
          <t>Motor 7 of 10: control / local station</t>
        </is>
      </c>
      <c r="E4280" s="12" t="inlineStr"/>
      <c r="F4280" s="12" t="inlineStr">
        <is>
          <t>MOD-LV 480 V board + 480 V : 13.8 kV step-up</t>
        </is>
      </c>
      <c r="G4280" s="12" t="inlineStr">
        <is>
          <t>SC-2</t>
        </is>
      </c>
      <c r="H4280" s="12" t="inlineStr">
        <is>
          <t>SC-2: aeroderivative simple-cycle unit (LM6000 class)</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HV duct bank</t>
        </is>
      </c>
      <c r="T4280" s="17" t="n">
        <v>4384</v>
      </c>
      <c r="U4280" s="17" t="n">
        <v>38</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I-C-0167</t>
        </is>
      </c>
      <c r="B4281" s="12" t="inlineStr">
        <is>
          <t>I</t>
        </is>
      </c>
      <c r="C4281" s="12" t="inlineStr">
        <is>
          <t>Modular / portable power</t>
        </is>
      </c>
      <c r="D4281" s="12" t="inlineStr">
        <is>
          <t>Motor 8 of 10: control / local station</t>
        </is>
      </c>
      <c r="E4281" s="12" t="inlineStr"/>
      <c r="F4281" s="12" t="inlineStr">
        <is>
          <t>MOD-LV 480 V board + 480 V : 13.8 kV step-up</t>
        </is>
      </c>
      <c r="G4281" s="12" t="inlineStr">
        <is>
          <t>SC-2</t>
        </is>
      </c>
      <c r="H4281" s="12" t="inlineStr">
        <is>
          <t>SC-2: aeroderivative simple-cycle unit (LM6000 class)</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HV duct bank</t>
        </is>
      </c>
      <c r="T4281" s="17" t="n">
        <v>4384</v>
      </c>
      <c r="U4281" s="17" t="n">
        <v>38</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I-C-0168</t>
        </is>
      </c>
      <c r="B4282" s="12" t="inlineStr">
        <is>
          <t>I</t>
        </is>
      </c>
      <c r="C4282" s="12" t="inlineStr">
        <is>
          <t>Modular / portable power</t>
        </is>
      </c>
      <c r="D4282" s="12" t="inlineStr">
        <is>
          <t>Motor 9 of 10: control / local station</t>
        </is>
      </c>
      <c r="E4282" s="12" t="inlineStr"/>
      <c r="F4282" s="12" t="inlineStr">
        <is>
          <t>MOD-LV 480 V board + 480 V : 13.8 kV step-up</t>
        </is>
      </c>
      <c r="G4282" s="12" t="inlineStr">
        <is>
          <t>SC-2</t>
        </is>
      </c>
      <c r="H4282" s="12" t="inlineStr">
        <is>
          <t>SC-2: aeroderivative simple-cycle unit (LM6000 class)</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HV duct bank</t>
        </is>
      </c>
      <c r="T4282" s="17" t="n">
        <v>4384</v>
      </c>
      <c r="U4282" s="17" t="n">
        <v>38</v>
      </c>
      <c r="V4282" s="17">
        <f>ROUNDUP((T4282+U4282+2*'Read Me'!$B$13)*(1+'Read Me'!$B$12),-1)</f>
        <v/>
      </c>
      <c r="W4282" s="17">
        <f>V4282*N4282*O4282</f>
        <v/>
      </c>
      <c r="X4282" s="12">
        <f>IF(LEFT(I4282,2)="MV",2*N4282*IF(L4282="1/C",O4282,1),0)</f>
        <v/>
      </c>
      <c r="Y4282" s="12">
        <f>IF(OR(LEFT(K4282,4)="LVAX",LEFT(K4282,6)="MV15AX",LEFT(K4282,4)="CTAX",LEFT(K4282,2)="W|"),2*N4282*O4282,0)</f>
        <v/>
      </c>
      <c r="Z4282" s="12" t="inlineStr"/>
      <c r="AA4282" s="12">
        <f>N4282*O4282</f>
        <v/>
      </c>
    </row>
    <row r="4283">
      <c r="A4283" s="12" t="inlineStr">
        <is>
          <t>I-C-0169</t>
        </is>
      </c>
      <c r="B4283" s="12" t="inlineStr">
        <is>
          <t>I</t>
        </is>
      </c>
      <c r="C4283" s="12" t="inlineStr">
        <is>
          <t>Modular / portable power</t>
        </is>
      </c>
      <c r="D4283" s="12" t="inlineStr">
        <is>
          <t>Motor 10 of 10: control / local station</t>
        </is>
      </c>
      <c r="E4283" s="12" t="inlineStr"/>
      <c r="F4283" s="12" t="inlineStr">
        <is>
          <t>MOD-LV 480 V board + 480 V : 13.8 kV step-up</t>
        </is>
      </c>
      <c r="G4283" s="12" t="inlineStr">
        <is>
          <t>SC-2</t>
        </is>
      </c>
      <c r="H4283" s="12" t="inlineStr">
        <is>
          <t>SC-2: aeroderivative simple-cycle unit (LM6000 class)</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HV duct bank</t>
        </is>
      </c>
      <c r="T4283" s="17" t="n">
        <v>4384</v>
      </c>
      <c r="U4283" s="17" t="n">
        <v>38</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I-C-0170</t>
        </is>
      </c>
      <c r="B4284" s="12" t="inlineStr">
        <is>
          <t>I</t>
        </is>
      </c>
      <c r="C4284" s="12" t="inlineStr">
        <is>
          <t>Modular / portable power</t>
        </is>
      </c>
      <c r="D4284" s="12" t="inlineStr">
        <is>
          <t>Motor 1 of 6: control / local station</t>
        </is>
      </c>
      <c r="E4284" s="12" t="inlineStr"/>
      <c r="F4284" s="12" t="inlineStr">
        <is>
          <t>MOD-LV 480 V board + 480 V : 13.8 kV step-up</t>
        </is>
      </c>
      <c r="G4284" s="12" t="inlineStr"/>
      <c r="H4284" s="12" t="inlineStr">
        <is>
          <t>T-MOD 230 kV take-off gantry with arresters</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7" t="n">
        <v>370</v>
      </c>
      <c r="U4284" s="17" t="n">
        <v>128</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I-C-0171</t>
        </is>
      </c>
      <c r="B4285" s="12" t="inlineStr">
        <is>
          <t>I</t>
        </is>
      </c>
      <c r="C4285" s="12" t="inlineStr">
        <is>
          <t>Modular / portable power</t>
        </is>
      </c>
      <c r="D4285" s="12" t="inlineStr">
        <is>
          <t>Motor 2 of 6: control / local station</t>
        </is>
      </c>
      <c r="E4285" s="12" t="inlineStr"/>
      <c r="F4285" s="12" t="inlineStr">
        <is>
          <t>MOD-LV 480 V board + 480 V : 13.8 kV step-up</t>
        </is>
      </c>
      <c r="G4285" s="12" t="inlineStr"/>
      <c r="H4285" s="12" t="inlineStr">
        <is>
          <t>T-MOD 230 kV take-off gantry with arresters</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7" t="n">
        <v>370</v>
      </c>
      <c r="U4285" s="17" t="n">
        <v>128</v>
      </c>
      <c r="V4285" s="17">
        <f>ROUNDUP((T4285+U4285+2*'Read Me'!$B$13)*(1+'Read Me'!$B$12),-1)</f>
        <v/>
      </c>
      <c r="W4285" s="17">
        <f>V4285*N4285*O4285</f>
        <v/>
      </c>
      <c r="X4285" s="12">
        <f>IF(LEFT(I4285,2)="MV",2*N4285*IF(L4285="1/C",O4285,1),0)</f>
        <v/>
      </c>
      <c r="Y4285" s="12">
        <f>IF(OR(LEFT(K4285,4)="LVAX",LEFT(K4285,6)="MV15AX",LEFT(K4285,4)="CTAX",LEFT(K4285,2)="W|"),2*N4285*O4285,0)</f>
        <v/>
      </c>
      <c r="Z4285" s="12" t="inlineStr"/>
      <c r="AA4285" s="12">
        <f>N4285*O4285</f>
        <v/>
      </c>
    </row>
    <row r="4286">
      <c r="A4286" s="12" t="inlineStr">
        <is>
          <t>I-C-0172</t>
        </is>
      </c>
      <c r="B4286" s="12" t="inlineStr">
        <is>
          <t>I</t>
        </is>
      </c>
      <c r="C4286" s="12" t="inlineStr">
        <is>
          <t>Modular / portable power</t>
        </is>
      </c>
      <c r="D4286" s="12" t="inlineStr">
        <is>
          <t>Motor 3 of 6: control / local station</t>
        </is>
      </c>
      <c r="E4286" s="12" t="inlineStr"/>
      <c r="F4286" s="12" t="inlineStr">
        <is>
          <t>MOD-LV 480 V board + 480 V : 13.8 kV step-up</t>
        </is>
      </c>
      <c r="G4286" s="12" t="inlineStr"/>
      <c r="H4286" s="12" t="inlineStr">
        <is>
          <t>T-MOD 230 kV take-off gantry with arresters</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7" t="n">
        <v>370</v>
      </c>
      <c r="U4286" s="17" t="n">
        <v>128</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I-C-0173</t>
        </is>
      </c>
      <c r="B4287" s="12" t="inlineStr">
        <is>
          <t>I</t>
        </is>
      </c>
      <c r="C4287" s="12" t="inlineStr">
        <is>
          <t>Modular / portable power</t>
        </is>
      </c>
      <c r="D4287" s="12" t="inlineStr">
        <is>
          <t>Motor 4 of 6: control / local station</t>
        </is>
      </c>
      <c r="E4287" s="12" t="inlineStr"/>
      <c r="F4287" s="12" t="inlineStr">
        <is>
          <t>MOD-LV 480 V board + 480 V : 13.8 kV step-up</t>
        </is>
      </c>
      <c r="G4287" s="12" t="inlineStr"/>
      <c r="H4287" s="12" t="inlineStr">
        <is>
          <t>T-MOD 230 kV take-off gantry with arresters</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7" t="n">
        <v>370</v>
      </c>
      <c r="U4287" s="17" t="n">
        <v>128</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I-C-0174</t>
        </is>
      </c>
      <c r="B4288" s="12" t="inlineStr">
        <is>
          <t>I</t>
        </is>
      </c>
      <c r="C4288" s="12" t="inlineStr">
        <is>
          <t>Modular / portable power</t>
        </is>
      </c>
      <c r="D4288" s="12" t="inlineStr">
        <is>
          <t>Motor 5 of 6: control / local station</t>
        </is>
      </c>
      <c r="E4288" s="12" t="inlineStr"/>
      <c r="F4288" s="12" t="inlineStr">
        <is>
          <t>MOD-LV 480 V board + 480 V : 13.8 kV step-up</t>
        </is>
      </c>
      <c r="G4288" s="12" t="inlineStr"/>
      <c r="H4288" s="12" t="inlineStr">
        <is>
          <t>T-MOD 230 kV take-off gantry with arresters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7" t="n">
        <v>370</v>
      </c>
      <c r="U4288" s="17" t="n">
        <v>128</v>
      </c>
      <c r="V4288" s="17">
        <f>ROUNDUP((T4288+U4288+2*'Read Me'!$B$13)*(1+'Read Me'!$B$12),-1)</f>
        <v/>
      </c>
      <c r="W4288" s="17">
        <f>V4288*N4288*O4288</f>
        <v/>
      </c>
      <c r="X4288" s="12">
        <f>IF(LEFT(I4288,2)="MV",2*N4288*IF(L4288="1/C",O4288,1),0)</f>
        <v/>
      </c>
      <c r="Y4288" s="12">
        <f>IF(OR(LEFT(K4288,4)="LVAX",LEFT(K4288,6)="MV15AX",LEFT(K4288,4)="CTAX",LEFT(K4288,2)="W|"),2*N4288*O4288,0)</f>
        <v/>
      </c>
      <c r="Z4288" s="12" t="inlineStr"/>
      <c r="AA4288" s="12">
        <f>N4288*O4288</f>
        <v/>
      </c>
    </row>
    <row r="4289">
      <c r="A4289" s="12" t="inlineStr">
        <is>
          <t>I-C-0175</t>
        </is>
      </c>
      <c r="B4289" s="12" t="inlineStr">
        <is>
          <t>I</t>
        </is>
      </c>
      <c r="C4289" s="12" t="inlineStr">
        <is>
          <t>Modular / portable power</t>
        </is>
      </c>
      <c r="D4289" s="12" t="inlineStr">
        <is>
          <t>Motor 6 of 6: control / local station</t>
        </is>
      </c>
      <c r="E4289" s="12" t="inlineStr"/>
      <c r="F4289" s="12" t="inlineStr">
        <is>
          <t>MOD-LV 480 V board + 480 V : 13.8 kV step-up</t>
        </is>
      </c>
      <c r="G4289" s="12" t="inlineStr"/>
      <c r="H4289" s="12" t="inlineStr">
        <is>
          <t>T-MOD 230 kV take-off gantry with arresters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7" t="n">
        <v>370</v>
      </c>
      <c r="U4289" s="17" t="n">
        <v>128</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I-C-0176</t>
        </is>
      </c>
      <c r="B4290" s="12" t="inlineStr">
        <is>
          <t>I</t>
        </is>
      </c>
      <c r="C4290" s="12" t="inlineStr">
        <is>
          <t>Modular / portable power</t>
        </is>
      </c>
      <c r="D4290" s="12" t="inlineStr">
        <is>
          <t>Motor 1 of 6: control / local station</t>
        </is>
      </c>
      <c r="E4290" s="12" t="inlineStr"/>
      <c r="F4290" s="12" t="inlineStr">
        <is>
          <t>MOD-LV 480 V board + 480 V : 13.8 kV step-up</t>
        </is>
      </c>
      <c r="G4290" s="12" t="inlineStr"/>
      <c r="H4290" s="12" t="inlineStr">
        <is>
          <t>T-MOD-1 / T-MOD-2 firewall</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7" t="n">
        <v>362</v>
      </c>
      <c r="U4290" s="17" t="n">
        <v>130</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I-C-0177</t>
        </is>
      </c>
      <c r="B4291" s="12" t="inlineStr">
        <is>
          <t>I</t>
        </is>
      </c>
      <c r="C4291" s="12" t="inlineStr">
        <is>
          <t>Modular / portable power</t>
        </is>
      </c>
      <c r="D4291" s="12" t="inlineStr">
        <is>
          <t>Motor 2 of 6: control / local station</t>
        </is>
      </c>
      <c r="E4291" s="12" t="inlineStr"/>
      <c r="F4291" s="12" t="inlineStr">
        <is>
          <t>MOD-LV 480 V board + 480 V : 13.8 kV step-up</t>
        </is>
      </c>
      <c r="G4291" s="12" t="inlineStr"/>
      <c r="H4291" s="12" t="inlineStr">
        <is>
          <t>T-MOD-1 / T-MOD-2 firewall</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7" t="n">
        <v>362</v>
      </c>
      <c r="U4291" s="17" t="n">
        <v>130</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I-C-0178</t>
        </is>
      </c>
      <c r="B4292" s="12" t="inlineStr">
        <is>
          <t>I</t>
        </is>
      </c>
      <c r="C4292" s="12" t="inlineStr">
        <is>
          <t>Modular / portable power</t>
        </is>
      </c>
      <c r="D4292" s="12" t="inlineStr">
        <is>
          <t>Motor 3 of 6: control / local station</t>
        </is>
      </c>
      <c r="E4292" s="12" t="inlineStr"/>
      <c r="F4292" s="12" t="inlineStr">
        <is>
          <t>MOD-LV 480 V board + 480 V : 13.8 kV step-up</t>
        </is>
      </c>
      <c r="G4292" s="12" t="inlineStr"/>
      <c r="H4292" s="12" t="inlineStr">
        <is>
          <t>T-MOD-1 / T-MOD-2 firewall</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7" t="n">
        <v>362</v>
      </c>
      <c r="U4292" s="17" t="n">
        <v>130</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I-C-0179</t>
        </is>
      </c>
      <c r="B4293" s="12" t="inlineStr">
        <is>
          <t>I</t>
        </is>
      </c>
      <c r="C4293" s="12" t="inlineStr">
        <is>
          <t>Modular / portable power</t>
        </is>
      </c>
      <c r="D4293" s="12" t="inlineStr">
        <is>
          <t>Motor 4 of 6: control / local station</t>
        </is>
      </c>
      <c r="E4293" s="12" t="inlineStr"/>
      <c r="F4293" s="12" t="inlineStr">
        <is>
          <t>MOD-LV 480 V board + 480 V : 13.8 kV step-up</t>
        </is>
      </c>
      <c r="G4293" s="12" t="inlineStr"/>
      <c r="H4293" s="12" t="inlineStr">
        <is>
          <t>T-MOD-1 / T-MOD-2 firewall</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7" t="n">
        <v>362</v>
      </c>
      <c r="U4293" s="17" t="n">
        <v>130</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I-C-0180</t>
        </is>
      </c>
      <c r="B4294" s="12" t="inlineStr">
        <is>
          <t>I</t>
        </is>
      </c>
      <c r="C4294" s="12" t="inlineStr">
        <is>
          <t>Modular / portable power</t>
        </is>
      </c>
      <c r="D4294" s="12" t="inlineStr">
        <is>
          <t>Motor 5 of 6: control / local station</t>
        </is>
      </c>
      <c r="E4294" s="12" t="inlineStr"/>
      <c r="F4294" s="12" t="inlineStr">
        <is>
          <t>MOD-LV 480 V board + 480 V : 13.8 kV step-up</t>
        </is>
      </c>
      <c r="G4294" s="12" t="inlineStr"/>
      <c r="H4294" s="12" t="inlineStr">
        <is>
          <t>T-MOD-1 / T-MOD-2 firewall</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362</v>
      </c>
      <c r="U4294" s="17" t="n">
        <v>130</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I-C-0181</t>
        </is>
      </c>
      <c r="B4295" s="12" t="inlineStr">
        <is>
          <t>I</t>
        </is>
      </c>
      <c r="C4295" s="12" t="inlineStr">
        <is>
          <t>Modular / portable power</t>
        </is>
      </c>
      <c r="D4295" s="12" t="inlineStr">
        <is>
          <t>Motor 6 of 6: control / local station</t>
        </is>
      </c>
      <c r="E4295" s="12" t="inlineStr"/>
      <c r="F4295" s="12" t="inlineStr">
        <is>
          <t>MOD-LV 480 V board + 480 V : 13.8 kV step-up</t>
        </is>
      </c>
      <c r="G4295" s="12" t="inlineStr"/>
      <c r="H4295" s="12" t="inlineStr">
        <is>
          <t>T-MOD-1 / T-MOD-2 firewall</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362</v>
      </c>
      <c r="U4295" s="17" t="n">
        <v>130</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I-C-0182</t>
        </is>
      </c>
      <c r="B4296" s="12" t="inlineStr">
        <is>
          <t>I</t>
        </is>
      </c>
      <c r="C4296" s="12" t="inlineStr">
        <is>
          <t>Modular / portable power</t>
        </is>
      </c>
      <c r="D4296" s="12" t="inlineStr">
        <is>
          <t>Motor 1 of 6: control / local station</t>
        </is>
      </c>
      <c r="E4296" s="12" t="inlineStr"/>
      <c r="F4296" s="12" t="inlineStr">
        <is>
          <t>MOD-LV 480 V board + 480 V : 13.8 kV step-up</t>
        </is>
      </c>
      <c r="G4296" s="12" t="inlineStr">
        <is>
          <t>T-MOD-1</t>
        </is>
      </c>
      <c r="H4296" s="12" t="inlineStr">
        <is>
          <t>T-MOD-1: 13.8/230 kV</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362</v>
      </c>
      <c r="U4296" s="17" t="n">
        <v>82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I-C-0183</t>
        </is>
      </c>
      <c r="B4297" s="12" t="inlineStr">
        <is>
          <t>I</t>
        </is>
      </c>
      <c r="C4297" s="12" t="inlineStr">
        <is>
          <t>Modular / portable power</t>
        </is>
      </c>
      <c r="D4297" s="12" t="inlineStr">
        <is>
          <t>Motor 2 of 6: control / local station</t>
        </is>
      </c>
      <c r="E4297" s="12" t="inlineStr"/>
      <c r="F4297" s="12" t="inlineStr">
        <is>
          <t>MOD-LV 480 V board + 480 V : 13.8 kV step-up</t>
        </is>
      </c>
      <c r="G4297" s="12" t="inlineStr">
        <is>
          <t>T-MOD-1</t>
        </is>
      </c>
      <c r="H4297" s="12" t="inlineStr">
        <is>
          <t>T-MOD-1: 13.8/230 kV</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362</v>
      </c>
      <c r="U4297" s="17" t="n">
        <v>82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I-C-0184</t>
        </is>
      </c>
      <c r="B4298" s="12" t="inlineStr">
        <is>
          <t>I</t>
        </is>
      </c>
      <c r="C4298" s="12" t="inlineStr">
        <is>
          <t>Modular / portable power</t>
        </is>
      </c>
      <c r="D4298" s="12" t="inlineStr">
        <is>
          <t>Motor 3 of 6: control / local station</t>
        </is>
      </c>
      <c r="E4298" s="12" t="inlineStr"/>
      <c r="F4298" s="12" t="inlineStr">
        <is>
          <t>MOD-LV 480 V board + 480 V : 13.8 kV step-up</t>
        </is>
      </c>
      <c r="G4298" s="12" t="inlineStr">
        <is>
          <t>T-MOD-1</t>
        </is>
      </c>
      <c r="H4298" s="12" t="inlineStr">
        <is>
          <t>T-MOD-1: 13.8/230 kV</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362</v>
      </c>
      <c r="U4298" s="17" t="n">
        <v>82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I-C-0185</t>
        </is>
      </c>
      <c r="B4299" s="12" t="inlineStr">
        <is>
          <t>I</t>
        </is>
      </c>
      <c r="C4299" s="12" t="inlineStr">
        <is>
          <t>Modular / portable power</t>
        </is>
      </c>
      <c r="D4299" s="12" t="inlineStr">
        <is>
          <t>Motor 4 of 6: control / local station</t>
        </is>
      </c>
      <c r="E4299" s="12" t="inlineStr"/>
      <c r="F4299" s="12" t="inlineStr">
        <is>
          <t>MOD-LV 480 V board + 480 V : 13.8 kV step-up</t>
        </is>
      </c>
      <c r="G4299" s="12" t="inlineStr">
        <is>
          <t>T-MOD-1</t>
        </is>
      </c>
      <c r="H4299" s="12" t="inlineStr">
        <is>
          <t>T-MOD-1: 13.8/230 kV</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362</v>
      </c>
      <c r="U4299" s="17" t="n">
        <v>82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I-C-0186</t>
        </is>
      </c>
      <c r="B4300" s="12" t="inlineStr">
        <is>
          <t>I</t>
        </is>
      </c>
      <c r="C4300" s="12" t="inlineStr">
        <is>
          <t>Modular / portable power</t>
        </is>
      </c>
      <c r="D4300" s="12" t="inlineStr">
        <is>
          <t>Motor 5 of 6: control / local station</t>
        </is>
      </c>
      <c r="E4300" s="12" t="inlineStr"/>
      <c r="F4300" s="12" t="inlineStr">
        <is>
          <t>MOD-LV 480 V board + 480 V : 13.8 kV step-up</t>
        </is>
      </c>
      <c r="G4300" s="12" t="inlineStr">
        <is>
          <t>T-MOD-1</t>
        </is>
      </c>
      <c r="H4300" s="12" t="inlineStr">
        <is>
          <t>T-MOD-1: 13.8/230 kV</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362</v>
      </c>
      <c r="U4300" s="17" t="n">
        <v>82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I-C-0187</t>
        </is>
      </c>
      <c r="B4301" s="12" t="inlineStr">
        <is>
          <t>I</t>
        </is>
      </c>
      <c r="C4301" s="12" t="inlineStr">
        <is>
          <t>Modular / portable power</t>
        </is>
      </c>
      <c r="D4301" s="12" t="inlineStr">
        <is>
          <t>Motor 6 of 6: control / local station</t>
        </is>
      </c>
      <c r="E4301" s="12" t="inlineStr"/>
      <c r="F4301" s="12" t="inlineStr">
        <is>
          <t>MOD-LV 480 V board + 480 V : 13.8 kV step-up</t>
        </is>
      </c>
      <c r="G4301" s="12" t="inlineStr">
        <is>
          <t>T-MOD-1</t>
        </is>
      </c>
      <c r="H4301" s="12" t="inlineStr">
        <is>
          <t>T-MOD-1: 13.8/230 kV</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362</v>
      </c>
      <c r="U4301" s="17" t="n">
        <v>82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I-C-0188</t>
        </is>
      </c>
      <c r="B4302" s="12" t="inlineStr">
        <is>
          <t>I</t>
        </is>
      </c>
      <c r="C4302" s="12" t="inlineStr">
        <is>
          <t>Modular / portable power</t>
        </is>
      </c>
      <c r="D4302" s="12" t="inlineStr">
        <is>
          <t>Motor 1 of 6: control / local station</t>
        </is>
      </c>
      <c r="E4302" s="12" t="inlineStr"/>
      <c r="F4302" s="12" t="inlineStr">
        <is>
          <t>MOD-LV 480 V board + 480 V : 13.8 kV step-up</t>
        </is>
      </c>
      <c r="G4302" s="12" t="inlineStr">
        <is>
          <t>T-MOD-2</t>
        </is>
      </c>
      <c r="H4302" s="12" t="inlineStr">
        <is>
          <t>T-MOD-2: 13.8/230 kV</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3219</v>
      </c>
      <c r="U4302" s="17" t="n">
        <v>165</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I-C-0189</t>
        </is>
      </c>
      <c r="B4303" s="12" t="inlineStr">
        <is>
          <t>I</t>
        </is>
      </c>
      <c r="C4303" s="12" t="inlineStr">
        <is>
          <t>Modular / portable power</t>
        </is>
      </c>
      <c r="D4303" s="12" t="inlineStr">
        <is>
          <t>Motor 2 of 6: control / local station</t>
        </is>
      </c>
      <c r="E4303" s="12" t="inlineStr"/>
      <c r="F4303" s="12" t="inlineStr">
        <is>
          <t>MOD-LV 480 V board + 480 V : 13.8 kV step-up</t>
        </is>
      </c>
      <c r="G4303" s="12" t="inlineStr">
        <is>
          <t>T-MOD-2</t>
        </is>
      </c>
      <c r="H4303" s="12" t="inlineStr">
        <is>
          <t>T-MOD-2: 13.8/230 kV</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3219</v>
      </c>
      <c r="U4303" s="17" t="n">
        <v>165</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I-C-0190</t>
        </is>
      </c>
      <c r="B4304" s="12" t="inlineStr">
        <is>
          <t>I</t>
        </is>
      </c>
      <c r="C4304" s="12" t="inlineStr">
        <is>
          <t>Modular / portable power</t>
        </is>
      </c>
      <c r="D4304" s="12" t="inlineStr">
        <is>
          <t>Motor 3 of 6: control / local station</t>
        </is>
      </c>
      <c r="E4304" s="12" t="inlineStr"/>
      <c r="F4304" s="12" t="inlineStr">
        <is>
          <t>MOD-LV 480 V board + 480 V : 13.8 kV step-up</t>
        </is>
      </c>
      <c r="G4304" s="12" t="inlineStr">
        <is>
          <t>T-MOD-2</t>
        </is>
      </c>
      <c r="H4304" s="12" t="inlineStr">
        <is>
          <t>T-MOD-2: 13.8/230 kV</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3219</v>
      </c>
      <c r="U4304" s="17" t="n">
        <v>165</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I-C-0191</t>
        </is>
      </c>
      <c r="B4305" s="12" t="inlineStr">
        <is>
          <t>I</t>
        </is>
      </c>
      <c r="C4305" s="12" t="inlineStr">
        <is>
          <t>Modular / portable power</t>
        </is>
      </c>
      <c r="D4305" s="12" t="inlineStr">
        <is>
          <t>Motor 4 of 6: control / local station</t>
        </is>
      </c>
      <c r="E4305" s="12" t="inlineStr"/>
      <c r="F4305" s="12" t="inlineStr">
        <is>
          <t>MOD-LV 480 V board + 480 V : 13.8 kV step-up</t>
        </is>
      </c>
      <c r="G4305" s="12" t="inlineStr">
        <is>
          <t>T-MOD-2</t>
        </is>
      </c>
      <c r="H4305" s="12" t="inlineStr">
        <is>
          <t>T-MOD-2: 13.8/230 kV</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3219</v>
      </c>
      <c r="U4305" s="17" t="n">
        <v>165</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I-C-0192</t>
        </is>
      </c>
      <c r="B4306" s="12" t="inlineStr">
        <is>
          <t>I</t>
        </is>
      </c>
      <c r="C4306" s="12" t="inlineStr">
        <is>
          <t>Modular / portable power</t>
        </is>
      </c>
      <c r="D4306" s="12" t="inlineStr">
        <is>
          <t>Motor 5 of 6: control / local station</t>
        </is>
      </c>
      <c r="E4306" s="12" t="inlineStr"/>
      <c r="F4306" s="12" t="inlineStr">
        <is>
          <t>MOD-LV 480 V board + 480 V : 13.8 kV step-up</t>
        </is>
      </c>
      <c r="G4306" s="12" t="inlineStr">
        <is>
          <t>T-MOD-2</t>
        </is>
      </c>
      <c r="H4306" s="12" t="inlineStr">
        <is>
          <t>T-MOD-2: 13.8/230 kV</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3219</v>
      </c>
      <c r="U4306" s="17" t="n">
        <v>165</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I-C-0193</t>
        </is>
      </c>
      <c r="B4307" s="12" t="inlineStr">
        <is>
          <t>I</t>
        </is>
      </c>
      <c r="C4307" s="12" t="inlineStr">
        <is>
          <t>Modular / portable power</t>
        </is>
      </c>
      <c r="D4307" s="12" t="inlineStr">
        <is>
          <t>Motor 6 of 6: control / local station</t>
        </is>
      </c>
      <c r="E4307" s="12" t="inlineStr"/>
      <c r="F4307" s="12" t="inlineStr">
        <is>
          <t>MOD-LV 480 V board + 480 V : 13.8 kV step-up</t>
        </is>
      </c>
      <c r="G4307" s="12" t="inlineStr">
        <is>
          <t>T-MOD-2</t>
        </is>
      </c>
      <c r="H4307" s="12" t="inlineStr">
        <is>
          <t>T-MOD-2: 13.8/230 kV</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3219</v>
      </c>
      <c r="U4307" s="17" t="n">
        <v>165</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I-C-0194</t>
        </is>
      </c>
      <c r="B4308" s="12" t="inlineStr">
        <is>
          <t>I</t>
        </is>
      </c>
      <c r="C4308" s="12" t="inlineStr">
        <is>
          <t>Modular / portable power</t>
        </is>
      </c>
      <c r="D4308" s="12" t="inlineStr">
        <is>
          <t>Motor 1 of 6: control / local station</t>
        </is>
      </c>
      <c r="E4308" s="12" t="inlineStr"/>
      <c r="F4308" s="12" t="inlineStr">
        <is>
          <t>MOD-LV 480 V board + 480 V : 13.8 kV step-up</t>
        </is>
      </c>
      <c r="G4308" s="12" t="inlineStr">
        <is>
          <t>TM-1</t>
        </is>
      </c>
      <c r="H4308" s="12" t="inlineStr">
        <is>
          <t>TM-1: trailer-mounted aeroderivative GT (TM2500 class, ~35 MW)</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3178</v>
      </c>
      <c r="U4308" s="17" t="n">
        <v>68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I-C-0195</t>
        </is>
      </c>
      <c r="B4309" s="12" t="inlineStr">
        <is>
          <t>I</t>
        </is>
      </c>
      <c r="C4309" s="12" t="inlineStr">
        <is>
          <t>Modular / portable power</t>
        </is>
      </c>
      <c r="D4309" s="12" t="inlineStr">
        <is>
          <t>Motor 2 of 6: control / local station</t>
        </is>
      </c>
      <c r="E4309" s="12" t="inlineStr"/>
      <c r="F4309" s="12" t="inlineStr">
        <is>
          <t>MOD-LV 480 V board + 480 V : 13.8 kV step-up</t>
        </is>
      </c>
      <c r="G4309" s="12" t="inlineStr">
        <is>
          <t>TM-1</t>
        </is>
      </c>
      <c r="H4309" s="12" t="inlineStr">
        <is>
          <t>TM-1: trailer-mounted aeroderivative GT (TM2500 class, ~35 MW)</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3178</v>
      </c>
      <c r="U4309" s="17" t="n">
        <v>68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I-C-0196</t>
        </is>
      </c>
      <c r="B4310" s="12" t="inlineStr">
        <is>
          <t>I</t>
        </is>
      </c>
      <c r="C4310" s="12" t="inlineStr">
        <is>
          <t>Modular / portable power</t>
        </is>
      </c>
      <c r="D4310" s="12" t="inlineStr">
        <is>
          <t>Motor 3 of 6: control / local station</t>
        </is>
      </c>
      <c r="E4310" s="12" t="inlineStr"/>
      <c r="F4310" s="12" t="inlineStr">
        <is>
          <t>MOD-LV 480 V board + 480 V : 13.8 kV step-up</t>
        </is>
      </c>
      <c r="G4310" s="12" t="inlineStr">
        <is>
          <t>TM-1</t>
        </is>
      </c>
      <c r="H4310" s="12" t="inlineStr">
        <is>
          <t>TM-1: trailer-mounted aeroderivative GT (TM2500 class, ~35 MW)</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3178</v>
      </c>
      <c r="U4310" s="17" t="n">
        <v>68</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I-C-0197</t>
        </is>
      </c>
      <c r="B4311" s="12" t="inlineStr">
        <is>
          <t>I</t>
        </is>
      </c>
      <c r="C4311" s="12" t="inlineStr">
        <is>
          <t>Modular / portable power</t>
        </is>
      </c>
      <c r="D4311" s="12" t="inlineStr">
        <is>
          <t>Motor 4 of 6: control / local station</t>
        </is>
      </c>
      <c r="E4311" s="12" t="inlineStr"/>
      <c r="F4311" s="12" t="inlineStr">
        <is>
          <t>MOD-LV 480 V board + 480 V : 13.8 kV step-up</t>
        </is>
      </c>
      <c r="G4311" s="12" t="inlineStr">
        <is>
          <t>TM-1</t>
        </is>
      </c>
      <c r="H4311" s="12" t="inlineStr">
        <is>
          <t>TM-1: trailer-mounted aeroderivative GT (TM2500 class, ~35 MW)</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3178</v>
      </c>
      <c r="U4311" s="17" t="n">
        <v>68</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I-C-0198</t>
        </is>
      </c>
      <c r="B4312" s="12" t="inlineStr">
        <is>
          <t>I</t>
        </is>
      </c>
      <c r="C4312" s="12" t="inlineStr">
        <is>
          <t>Modular / portable power</t>
        </is>
      </c>
      <c r="D4312" s="12" t="inlineStr">
        <is>
          <t>Motor 5 of 6: control / local station</t>
        </is>
      </c>
      <c r="E4312" s="12" t="inlineStr"/>
      <c r="F4312" s="12" t="inlineStr">
        <is>
          <t>MOD-LV 480 V board + 480 V : 13.8 kV step-up</t>
        </is>
      </c>
      <c r="G4312" s="12" t="inlineStr">
        <is>
          <t>TM-1</t>
        </is>
      </c>
      <c r="H4312" s="12" t="inlineStr">
        <is>
          <t>TM-1: trailer-mounted aeroderivative GT (TM2500 class, ~35 MW)</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3178</v>
      </c>
      <c r="U4312" s="17" t="n">
        <v>68</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I-C-0199</t>
        </is>
      </c>
      <c r="B4313" s="12" t="inlineStr">
        <is>
          <t>I</t>
        </is>
      </c>
      <c r="C4313" s="12" t="inlineStr">
        <is>
          <t>Modular / portable power</t>
        </is>
      </c>
      <c r="D4313" s="12" t="inlineStr">
        <is>
          <t>Motor 6 of 6: control / local station</t>
        </is>
      </c>
      <c r="E4313" s="12" t="inlineStr"/>
      <c r="F4313" s="12" t="inlineStr">
        <is>
          <t>MOD-LV 480 V board + 480 V : 13.8 kV step-up</t>
        </is>
      </c>
      <c r="G4313" s="12" t="inlineStr">
        <is>
          <t>TM-1</t>
        </is>
      </c>
      <c r="H4313" s="12" t="inlineStr">
        <is>
          <t>TM-1: trailer-mounted aeroderivative GT (TM2500 class, ~35 MW)</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3178</v>
      </c>
      <c r="U4313" s="17" t="n">
        <v>68</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I-C-0200</t>
        </is>
      </c>
      <c r="B4314" s="12" t="inlineStr">
        <is>
          <t>I</t>
        </is>
      </c>
      <c r="C4314" s="12" t="inlineStr">
        <is>
          <t>Modular / portable power</t>
        </is>
      </c>
      <c r="D4314" s="12" t="inlineStr">
        <is>
          <t>Motor 1 of 6: control / local station</t>
        </is>
      </c>
      <c r="E4314" s="12" t="inlineStr"/>
      <c r="F4314" s="12" t="inlineStr">
        <is>
          <t>MOD-LV 480 V board + 480 V : 13.8 kV step-up</t>
        </is>
      </c>
      <c r="G4314" s="12" t="inlineStr">
        <is>
          <t>TM-2</t>
        </is>
      </c>
      <c r="H4314" s="12" t="inlineStr">
        <is>
          <t>TM-2: trailer-mounted aeroderivative GT (TM2500 class, ~35 MW)</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3178</v>
      </c>
      <c r="U4314" s="17" t="n">
        <v>74</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I-C-0201</t>
        </is>
      </c>
      <c r="B4315" s="12" t="inlineStr">
        <is>
          <t>I</t>
        </is>
      </c>
      <c r="C4315" s="12" t="inlineStr">
        <is>
          <t>Modular / portable power</t>
        </is>
      </c>
      <c r="D4315" s="12" t="inlineStr">
        <is>
          <t>Motor 2 of 6: control / local station</t>
        </is>
      </c>
      <c r="E4315" s="12" t="inlineStr"/>
      <c r="F4315" s="12" t="inlineStr">
        <is>
          <t>MOD-LV 480 V board + 480 V : 13.8 kV step-up</t>
        </is>
      </c>
      <c r="G4315" s="12" t="inlineStr">
        <is>
          <t>TM-2</t>
        </is>
      </c>
      <c r="H4315" s="12" t="inlineStr">
        <is>
          <t>TM-2: trailer-mounted aeroderivative GT (TM2500 class, ~35 MW)</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3178</v>
      </c>
      <c r="U4315" s="17" t="n">
        <v>74</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I-C-0202</t>
        </is>
      </c>
      <c r="B4316" s="12" t="inlineStr">
        <is>
          <t>I</t>
        </is>
      </c>
      <c r="C4316" s="12" t="inlineStr">
        <is>
          <t>Modular / portable power</t>
        </is>
      </c>
      <c r="D4316" s="12" t="inlineStr">
        <is>
          <t>Motor 3 of 6: control / local station</t>
        </is>
      </c>
      <c r="E4316" s="12" t="inlineStr"/>
      <c r="F4316" s="12" t="inlineStr">
        <is>
          <t>MOD-LV 480 V board + 480 V : 13.8 kV step-up</t>
        </is>
      </c>
      <c r="G4316" s="12" t="inlineStr">
        <is>
          <t>TM-2</t>
        </is>
      </c>
      <c r="H4316" s="12" t="inlineStr">
        <is>
          <t>TM-2: trailer-mounted aeroderivative GT (TM2500 class, ~35 MW)</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3178</v>
      </c>
      <c r="U4316" s="17" t="n">
        <v>74</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I-C-0203</t>
        </is>
      </c>
      <c r="B4317" s="12" t="inlineStr">
        <is>
          <t>I</t>
        </is>
      </c>
      <c r="C4317" s="12" t="inlineStr">
        <is>
          <t>Modular / portable power</t>
        </is>
      </c>
      <c r="D4317" s="12" t="inlineStr">
        <is>
          <t>Motor 4 of 6: control / local station</t>
        </is>
      </c>
      <c r="E4317" s="12" t="inlineStr"/>
      <c r="F4317" s="12" t="inlineStr">
        <is>
          <t>MOD-LV 480 V board + 480 V : 13.8 kV step-up</t>
        </is>
      </c>
      <c r="G4317" s="12" t="inlineStr">
        <is>
          <t>TM-2</t>
        </is>
      </c>
      <c r="H4317" s="12" t="inlineStr">
        <is>
          <t>TM-2: trailer-mounted aeroderivative GT (TM2500 class, ~35 MW)</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3178</v>
      </c>
      <c r="U4317" s="17" t="n">
        <v>74</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I-C-0204</t>
        </is>
      </c>
      <c r="B4318" s="12" t="inlineStr">
        <is>
          <t>I</t>
        </is>
      </c>
      <c r="C4318" s="12" t="inlineStr">
        <is>
          <t>Modular / portable power</t>
        </is>
      </c>
      <c r="D4318" s="12" t="inlineStr">
        <is>
          <t>Motor 5 of 6: control / local station</t>
        </is>
      </c>
      <c r="E4318" s="12" t="inlineStr"/>
      <c r="F4318" s="12" t="inlineStr">
        <is>
          <t>MOD-LV 480 V board + 480 V : 13.8 kV step-up</t>
        </is>
      </c>
      <c r="G4318" s="12" t="inlineStr">
        <is>
          <t>TM-2</t>
        </is>
      </c>
      <c r="H4318" s="12" t="inlineStr">
        <is>
          <t>TM-2: trailer-mounted aeroderivative GT (TM2500 class, ~35 MW)</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3178</v>
      </c>
      <c r="U4318" s="17" t="n">
        <v>74</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I-C-0205</t>
        </is>
      </c>
      <c r="B4319" s="12" t="inlineStr">
        <is>
          <t>I</t>
        </is>
      </c>
      <c r="C4319" s="12" t="inlineStr">
        <is>
          <t>Modular / portable power</t>
        </is>
      </c>
      <c r="D4319" s="12" t="inlineStr">
        <is>
          <t>Motor 6 of 6: control / local station</t>
        </is>
      </c>
      <c r="E4319" s="12" t="inlineStr"/>
      <c r="F4319" s="12" t="inlineStr">
        <is>
          <t>MOD-LV 480 V board + 480 V : 13.8 kV step-up</t>
        </is>
      </c>
      <c r="G4319" s="12" t="inlineStr">
        <is>
          <t>TM-2</t>
        </is>
      </c>
      <c r="H4319" s="12" t="inlineStr">
        <is>
          <t>TM-2: trailer-mounted aeroderivative GT (TM2500 class, ~35 MW)</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3178</v>
      </c>
      <c r="U4319" s="17" t="n">
        <v>74</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I-C-0206</t>
        </is>
      </c>
      <c r="B4320" s="12" t="inlineStr">
        <is>
          <t>I</t>
        </is>
      </c>
      <c r="C4320" s="12" t="inlineStr">
        <is>
          <t>Modular / portable power</t>
        </is>
      </c>
      <c r="D4320" s="12" t="inlineStr">
        <is>
          <t>Control</t>
        </is>
      </c>
      <c r="E4320" s="12" t="inlineStr"/>
      <c r="F4320" s="12" t="inlineStr">
        <is>
          <t>PCM: power control module</t>
        </is>
      </c>
      <c r="G4320" s="12" t="inlineStr"/>
      <c r="H4320" s="12" t="inlineStr">
        <is>
          <t>Water-injection skid</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HV duct bank</t>
        </is>
      </c>
      <c r="T4320" s="17" t="n">
        <v>4344</v>
      </c>
      <c r="U4320" s="17" t="n">
        <v>53</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I-F-0001</t>
        </is>
      </c>
      <c r="B4321" s="12" t="inlineStr">
        <is>
          <t>I</t>
        </is>
      </c>
      <c r="C4321" s="12" t="inlineStr">
        <is>
          <t>Modular / portable power</t>
        </is>
      </c>
      <c r="D4321" s="12" t="inlineStr">
        <is>
          <t>Plant network / DCS fibre</t>
        </is>
      </c>
      <c r="E4321" s="12" t="inlineStr">
        <is>
          <t>CR</t>
        </is>
      </c>
      <c r="F4321" s="12" t="inlineStr">
        <is>
          <t>Control / admin building (main control room)</t>
        </is>
      </c>
      <c r="G4321" s="12" t="inlineStr"/>
      <c r="H4321" s="12" t="inlineStr">
        <is>
          <t>Lube oil / starting air / oily water building</t>
        </is>
      </c>
      <c r="I4321" s="12" t="inlineStr">
        <is>
          <t>Fibre / data</t>
        </is>
      </c>
      <c r="J4321" s="12" t="inlineStr">
        <is>
          <t>Fibre optic, single-mode, 12-fibre, armored, orange jacket</t>
        </is>
      </c>
      <c r="K4321" s="12" t="inlineStr">
        <is>
          <t>FO|12 SM|-</t>
        </is>
      </c>
      <c r="L4321" s="12" t="inlineStr">
        <is>
          <t>12 SM</t>
        </is>
      </c>
      <c r="M4321" s="12" t="inlineStr">
        <is>
          <t>-</t>
        </is>
      </c>
      <c r="N4321" s="12" t="n">
        <v>1</v>
      </c>
      <c r="O4321" s="12" t="n">
        <v>1</v>
      </c>
      <c r="P4321" s="12" t="n"/>
      <c r="Q4321" s="12" t="n"/>
      <c r="R4321" s="12" t="n"/>
      <c r="S4321" s="12" t="inlineStr">
        <is>
          <t>Duct bank</t>
        </is>
      </c>
      <c r="T4321" s="17" t="n">
        <v>2703</v>
      </c>
      <c r="U4321" s="17" t="n">
        <v>394</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I-F-0002</t>
        </is>
      </c>
      <c r="B4322" s="12" t="inlineStr">
        <is>
          <t>I</t>
        </is>
      </c>
      <c r="C4322" s="12" t="inlineStr">
        <is>
          <t>Modular / portable power</t>
        </is>
      </c>
      <c r="D4322" s="12" t="inlineStr">
        <is>
          <t>Plant network / DCS fibre</t>
        </is>
      </c>
      <c r="E4322" s="12" t="inlineStr">
        <is>
          <t>CR</t>
        </is>
      </c>
      <c r="F4322" s="12" t="inlineStr">
        <is>
          <t>Control / admin building (main control room)</t>
        </is>
      </c>
      <c r="G4322" s="12" t="inlineStr">
        <is>
          <t>MOD-EH</t>
        </is>
      </c>
      <c r="H4322" s="12" t="inlineStr">
        <is>
          <t>MOD-EH: 13.8 kV modular collector e-house</t>
        </is>
      </c>
      <c r="I4322" s="12" t="inlineStr">
        <is>
          <t>Fibre / data</t>
        </is>
      </c>
      <c r="J4322" s="12" t="inlineStr">
        <is>
          <t>Fibre optic, single-mode, 12-fibre, armored, orange jacket</t>
        </is>
      </c>
      <c r="K4322" s="12" t="inlineStr">
        <is>
          <t>FO|12 SM|-</t>
        </is>
      </c>
      <c r="L4322" s="12" t="inlineStr">
        <is>
          <t>12 SM</t>
        </is>
      </c>
      <c r="M4322" s="12" t="inlineStr">
        <is>
          <t>-</t>
        </is>
      </c>
      <c r="N4322" s="12" t="n">
        <v>1</v>
      </c>
      <c r="O4322" s="12" t="n">
        <v>1</v>
      </c>
      <c r="P4322" s="12" t="n"/>
      <c r="Q4322" s="12" t="n"/>
      <c r="R4322" s="12" t="n"/>
      <c r="S4322" s="12" t="inlineStr">
        <is>
          <t>Trench</t>
        </is>
      </c>
      <c r="T4322" s="17" t="n">
        <v>4273</v>
      </c>
      <c r="U4322" s="17" t="n">
        <v>36</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I-F-0003</t>
        </is>
      </c>
      <c r="B4323" s="12" t="inlineStr">
        <is>
          <t>I</t>
        </is>
      </c>
      <c r="C4323" s="12" t="inlineStr">
        <is>
          <t>Modular / portable power</t>
        </is>
      </c>
      <c r="D4323" s="12" t="inlineStr">
        <is>
          <t>Plant network / DCS fibre</t>
        </is>
      </c>
      <c r="E4323" s="12" t="inlineStr">
        <is>
          <t>CR</t>
        </is>
      </c>
      <c r="F4323" s="12" t="inlineStr">
        <is>
          <t>Control / admin building (main control room)</t>
        </is>
      </c>
      <c r="G4323" s="12" t="inlineStr"/>
      <c r="H4323" s="12" t="inlineStr">
        <is>
          <t>PCM: power control module</t>
        </is>
      </c>
      <c r="I4323" s="12" t="inlineStr">
        <is>
          <t>Fibre / data</t>
        </is>
      </c>
      <c r="J4323" s="12" t="inlineStr">
        <is>
          <t>Fibre optic, single-mode, 12-fibre, armored, orange jacket</t>
        </is>
      </c>
      <c r="K4323" s="12" t="inlineStr">
        <is>
          <t>FO|12 SM|-</t>
        </is>
      </c>
      <c r="L4323" s="12" t="inlineStr">
        <is>
          <t>12 SM</t>
        </is>
      </c>
      <c r="M4323" s="12" t="inlineStr">
        <is>
          <t>-</t>
        </is>
      </c>
      <c r="N4323" s="12" t="n">
        <v>1</v>
      </c>
      <c r="O4323" s="12" t="n">
        <v>1</v>
      </c>
      <c r="P4323" s="12" t="n"/>
      <c r="Q4323" s="12" t="n"/>
      <c r="R4323" s="12" t="n"/>
      <c r="S4323" s="12" t="inlineStr">
        <is>
          <t>Duct bank</t>
        </is>
      </c>
      <c r="T4323" s="17" t="n">
        <v>4696</v>
      </c>
      <c r="U4323" s="17" t="n">
        <v>36</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I-F-0004</t>
        </is>
      </c>
      <c r="B4324" s="12" t="inlineStr">
        <is>
          <t>I</t>
        </is>
      </c>
      <c r="C4324" s="12" t="inlineStr">
        <is>
          <t>Modular / portable power</t>
        </is>
      </c>
      <c r="D4324" s="12" t="inlineStr">
        <is>
          <t>Plant network / DCS fibre</t>
        </is>
      </c>
      <c r="E4324" s="12" t="inlineStr">
        <is>
          <t>CR</t>
        </is>
      </c>
      <c r="F4324" s="12" t="inlineStr">
        <is>
          <t>Control / admin building (main control room)</t>
        </is>
      </c>
      <c r="G4324" s="12" t="inlineStr"/>
      <c r="H4324" s="12" t="inlineStr">
        <is>
          <t>RICE CEMS</t>
        </is>
      </c>
      <c r="I4324" s="12" t="inlineStr">
        <is>
          <t>Fibre / data</t>
        </is>
      </c>
      <c r="J4324" s="12" t="inlineStr">
        <is>
          <t>Fibre optic, single-mode, 12-fibre, armored, orange jacket</t>
        </is>
      </c>
      <c r="K4324" s="12" t="inlineStr">
        <is>
          <t>FO|12 SM|-</t>
        </is>
      </c>
      <c r="L4324" s="12" t="inlineStr">
        <is>
          <t>12 SM</t>
        </is>
      </c>
      <c r="M4324" s="12" t="inlineStr">
        <is>
          <t>-</t>
        </is>
      </c>
      <c r="N4324" s="12" t="n">
        <v>1</v>
      </c>
      <c r="O4324" s="12" t="n">
        <v>1</v>
      </c>
      <c r="P4324" s="12" t="n"/>
      <c r="Q4324" s="12" t="n"/>
      <c r="R4324" s="12" t="n"/>
      <c r="S4324" s="12" t="inlineStr">
        <is>
          <t>Duct bank</t>
        </is>
      </c>
      <c r="T4324" s="17" t="n">
        <v>4436</v>
      </c>
      <c r="U4324" s="17" t="n">
        <v>135</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I-F-0005</t>
        </is>
      </c>
      <c r="B4325" s="12" t="inlineStr">
        <is>
          <t>I</t>
        </is>
      </c>
      <c r="C4325" s="12" t="inlineStr">
        <is>
          <t>Modular / portable power</t>
        </is>
      </c>
      <c r="D4325" s="12" t="inlineStr">
        <is>
          <t>Plant network / DCS fibre</t>
        </is>
      </c>
      <c r="E4325" s="12" t="inlineStr">
        <is>
          <t>CR</t>
        </is>
      </c>
      <c r="F4325" s="12" t="inlineStr">
        <is>
          <t>Control / admin building (main control room)</t>
        </is>
      </c>
      <c r="G4325" s="12" t="inlineStr">
        <is>
          <t>RICE</t>
        </is>
      </c>
      <c r="H4325" s="12" t="inlineStr">
        <is>
          <t>RICE engine hall (8 engines)</t>
        </is>
      </c>
      <c r="I4325" s="12" t="inlineStr">
        <is>
          <t>Fibre / data</t>
        </is>
      </c>
      <c r="J4325" s="12" t="inlineStr">
        <is>
          <t>Fibre optic, single-mode, 12-fibre, armored, orange jacket</t>
        </is>
      </c>
      <c r="K4325" s="12" t="inlineStr">
        <is>
          <t>FO|12 SM|-</t>
        </is>
      </c>
      <c r="L4325" s="12" t="inlineStr">
        <is>
          <t>12 SM</t>
        </is>
      </c>
      <c r="M4325" s="12" t="inlineStr">
        <is>
          <t>-</t>
        </is>
      </c>
      <c r="N4325" s="12" t="n">
        <v>1</v>
      </c>
      <c r="O4325" s="12" t="n">
        <v>1</v>
      </c>
      <c r="P4325" s="12" t="n"/>
      <c r="Q4325" s="12" t="n"/>
      <c r="R4325" s="12" t="n"/>
      <c r="S4325" s="12" t="inlineStr">
        <is>
          <t>Tray</t>
        </is>
      </c>
      <c r="T4325" s="17" t="n">
        <v>2186</v>
      </c>
      <c r="U4325" s="17" t="n">
        <v>334</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I-F-0006</t>
        </is>
      </c>
      <c r="B4326" s="12" t="inlineStr">
        <is>
          <t>I</t>
        </is>
      </c>
      <c r="C4326" s="12" t="inlineStr">
        <is>
          <t>Modular / portable power</t>
        </is>
      </c>
      <c r="D4326" s="12" t="inlineStr">
        <is>
          <t>Plant network / DCS fibre</t>
        </is>
      </c>
      <c r="E4326" s="12" t="inlineStr">
        <is>
          <t>CR</t>
        </is>
      </c>
      <c r="F4326" s="12" t="inlineStr">
        <is>
          <t>Control / admin building (main control room)</t>
        </is>
      </c>
      <c r="G4326" s="12" t="inlineStr">
        <is>
          <t>SC-1</t>
        </is>
      </c>
      <c r="H4326" s="12" t="inlineStr">
        <is>
          <t>SC-1: aeroderivative simple-cycle unit (LM6000 class)</t>
        </is>
      </c>
      <c r="I4326" s="12" t="inlineStr">
        <is>
          <t>Fibre / data</t>
        </is>
      </c>
      <c r="J4326" s="12" t="inlineStr">
        <is>
          <t>Fibre optic, single-mode, 12-fibre, armored, orange jacket</t>
        </is>
      </c>
      <c r="K4326" s="12" t="inlineStr">
        <is>
          <t>FO|12 SM|-</t>
        </is>
      </c>
      <c r="L4326" s="12" t="inlineStr">
        <is>
          <t>12 SM</t>
        </is>
      </c>
      <c r="M4326" s="12" t="inlineStr">
        <is>
          <t>-</t>
        </is>
      </c>
      <c r="N4326" s="12" t="n">
        <v>1</v>
      </c>
      <c r="O4326" s="12" t="n">
        <v>1</v>
      </c>
      <c r="P4326" s="12" t="n"/>
      <c r="Q4326" s="12" t="n"/>
      <c r="R4326" s="12" t="n"/>
      <c r="S4326" s="12" t="inlineStr">
        <is>
          <t>Duct bank</t>
        </is>
      </c>
      <c r="T4326" s="17" t="n">
        <v>4656</v>
      </c>
      <c r="U4326" s="17" t="n">
        <v>56</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I-F-0007</t>
        </is>
      </c>
      <c r="B4327" s="12" t="inlineStr">
        <is>
          <t>I</t>
        </is>
      </c>
      <c r="C4327" s="12" t="inlineStr">
        <is>
          <t>Modular / portable power</t>
        </is>
      </c>
      <c r="D4327" s="12" t="inlineStr">
        <is>
          <t>Plant network / DCS fibre</t>
        </is>
      </c>
      <c r="E4327" s="12" t="inlineStr">
        <is>
          <t>CR</t>
        </is>
      </c>
      <c r="F4327" s="12" t="inlineStr">
        <is>
          <t>Control / admin building (main control room)</t>
        </is>
      </c>
      <c r="G4327" s="12" t="inlineStr">
        <is>
          <t>SC-2</t>
        </is>
      </c>
      <c r="H4327" s="12" t="inlineStr">
        <is>
          <t>SC-2: aeroderivative simple-cycle unit (LM6000 class)</t>
        </is>
      </c>
      <c r="I4327" s="12" t="inlineStr">
        <is>
          <t>Fibre / data</t>
        </is>
      </c>
      <c r="J4327" s="12" t="inlineStr">
        <is>
          <t>Fibre optic, single-mode, 12-fibre, armored, orange jacket</t>
        </is>
      </c>
      <c r="K4327" s="12" t="inlineStr">
        <is>
          <t>FO|12 SM|-</t>
        </is>
      </c>
      <c r="L4327" s="12" t="inlineStr">
        <is>
          <t>12 SM</t>
        </is>
      </c>
      <c r="M4327" s="12" t="inlineStr">
        <is>
          <t>-</t>
        </is>
      </c>
      <c r="N4327" s="12" t="n">
        <v>1</v>
      </c>
      <c r="O4327" s="12" t="n">
        <v>1</v>
      </c>
      <c r="P4327" s="12" t="n"/>
      <c r="Q4327" s="12" t="n"/>
      <c r="R4327" s="12" t="n"/>
      <c r="S4327" s="12" t="inlineStr">
        <is>
          <t>Trench</t>
        </is>
      </c>
      <c r="T4327" s="17" t="n">
        <v>4640</v>
      </c>
      <c r="U4327" s="17" t="n">
        <v>36</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I-F-0008</t>
        </is>
      </c>
      <c r="B4328" s="12" t="inlineStr">
        <is>
          <t>I</t>
        </is>
      </c>
      <c r="C4328" s="12" t="inlineStr">
        <is>
          <t>Modular / portable power</t>
        </is>
      </c>
      <c r="D4328" s="12" t="inlineStr">
        <is>
          <t>Plant network / DCS fibre</t>
        </is>
      </c>
      <c r="E4328" s="12" t="inlineStr">
        <is>
          <t>CR</t>
        </is>
      </c>
      <c r="F4328" s="12" t="inlineStr">
        <is>
          <t>Control / admin building (main control room)</t>
        </is>
      </c>
      <c r="G4328" s="12" t="inlineStr">
        <is>
          <t>TM-1</t>
        </is>
      </c>
      <c r="H4328" s="12" t="inlineStr">
        <is>
          <t>TM-1: trailer-mounted aeroderivative GT (TM2500 class, ~35 MW)</t>
        </is>
      </c>
      <c r="I4328" s="12" t="inlineStr">
        <is>
          <t>Fibre / data</t>
        </is>
      </c>
      <c r="J4328" s="12" t="inlineStr">
        <is>
          <t>Fibre optic, single-mode, 12-fibre, armored, orange jacket</t>
        </is>
      </c>
      <c r="K4328" s="12" t="inlineStr">
        <is>
          <t>FO|12 SM|-</t>
        </is>
      </c>
      <c r="L4328" s="12" t="inlineStr">
        <is>
          <t>12 SM</t>
        </is>
      </c>
      <c r="M4328" s="12" t="inlineStr">
        <is>
          <t>-</t>
        </is>
      </c>
      <c r="N4328" s="12" t="n">
        <v>1</v>
      </c>
      <c r="O4328" s="12" t="n">
        <v>1</v>
      </c>
      <c r="P4328" s="12" t="n"/>
      <c r="Q4328" s="12" t="n"/>
      <c r="R4328" s="12" t="n"/>
      <c r="S4328" s="12" t="inlineStr">
        <is>
          <t>Trench</t>
        </is>
      </c>
      <c r="T4328" s="17" t="n">
        <v>3434</v>
      </c>
      <c r="U4328" s="17" t="n">
        <v>66</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I-F-0009</t>
        </is>
      </c>
      <c r="B4329" s="12" t="inlineStr">
        <is>
          <t>I</t>
        </is>
      </c>
      <c r="C4329" s="12" t="inlineStr">
        <is>
          <t>Modular / portable power</t>
        </is>
      </c>
      <c r="D4329" s="12" t="inlineStr">
        <is>
          <t>Plant network / DCS fibre</t>
        </is>
      </c>
      <c r="E4329" s="12" t="inlineStr">
        <is>
          <t>CR</t>
        </is>
      </c>
      <c r="F4329" s="12" t="inlineStr">
        <is>
          <t>Control / admin building (main control room)</t>
        </is>
      </c>
      <c r="G4329" s="12" t="inlineStr">
        <is>
          <t>TM-2</t>
        </is>
      </c>
      <c r="H4329" s="12" t="inlineStr">
        <is>
          <t>TM-2: trailer-mounted aeroderivative GT (TM2500 class, ~35 MW)</t>
        </is>
      </c>
      <c r="I4329" s="12" t="inlineStr">
        <is>
          <t>Fibre / data</t>
        </is>
      </c>
      <c r="J4329" s="12" t="inlineStr">
        <is>
          <t>Fibre optic, single-mode, 12-fibre, armored, orange jacket</t>
        </is>
      </c>
      <c r="K4329" s="12" t="inlineStr">
        <is>
          <t>FO|12 SM|-</t>
        </is>
      </c>
      <c r="L4329" s="12" t="inlineStr">
        <is>
          <t>12 SM</t>
        </is>
      </c>
      <c r="M4329" s="12" t="inlineStr">
        <is>
          <t>-</t>
        </is>
      </c>
      <c r="N4329" s="12" t="n">
        <v>1</v>
      </c>
      <c r="O4329" s="12" t="n">
        <v>1</v>
      </c>
      <c r="P4329" s="12" t="n"/>
      <c r="Q4329" s="12" t="n"/>
      <c r="R4329" s="12" t="n"/>
      <c r="S4329" s="12" t="inlineStr">
        <is>
          <t>Trench</t>
        </is>
      </c>
      <c r="T4329" s="17" t="n">
        <v>3434</v>
      </c>
      <c r="U4329" s="17" t="n">
        <v>72</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I-FA-0001</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BS black-start switchgear</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7" t="n">
        <v>562</v>
      </c>
      <c r="U4330" s="17" t="n">
        <v>64</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I-FA-0002</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Black-start genset (proposed; requires study)</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7" t="n">
        <v>624</v>
      </c>
      <c r="U4331" s="17" t="n">
        <v>32</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I-FA-0003</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Black-start genset (proposed; requires study)</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7" t="n">
        <v>624</v>
      </c>
      <c r="U4332" s="17" t="n">
        <v>40</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I-FA-0004</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CONDITIONAL: BESS black-start alternative</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7" t="n">
        <v>550</v>
      </c>
      <c r="U4333" s="17" t="n">
        <v>32</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I-FA-0005</t>
        </is>
      </c>
      <c r="B4334" s="12" t="inlineStr">
        <is>
          <t>I</t>
        </is>
      </c>
      <c r="C4334" s="12" t="inlineStr">
        <is>
          <t>Modular / portable power</t>
        </is>
      </c>
      <c r="D4334" s="12" t="inlineStr">
        <is>
          <t>Fire alarm / F&amp;G loop (to the local FACP / F&amp;G node)</t>
        </is>
      </c>
      <c r="E4334" s="12" t="inlineStr"/>
      <c r="F4334" s="12" t="inlineStr">
        <is>
          <t>PCM: power control module</t>
        </is>
      </c>
      <c r="G4334" s="12" t="inlineStr"/>
      <c r="H4334" s="12" t="inlineStr">
        <is>
          <t>CONDITIONAL: SC-1 inlet chiller / evaporative cooler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Duct bank</t>
        </is>
      </c>
      <c r="T4334" s="17" t="n">
        <v>40</v>
      </c>
      <c r="U4334" s="17" t="n">
        <v>52</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I-FA-0006</t>
        </is>
      </c>
      <c r="B4335" s="12" t="inlineStr">
        <is>
          <t>I</t>
        </is>
      </c>
      <c r="C4335" s="12" t="inlineStr">
        <is>
          <t>Modular / portable power</t>
        </is>
      </c>
      <c r="D4335" s="12" t="inlineStr">
        <is>
          <t>Fire alarm / F&amp;G loop (to the local FACP / F&amp;G node)</t>
        </is>
      </c>
      <c r="E4335" s="12" t="inlineStr"/>
      <c r="F4335" s="12" t="inlineStr">
        <is>
          <t>PCM: power control module</t>
        </is>
      </c>
      <c r="G4335" s="12" t="inlineStr"/>
      <c r="H4335" s="12" t="inlineStr">
        <is>
          <t>CONDITIONAL: SC-2 inlet chiller / evaporative cooler</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HV duct bank</t>
        </is>
      </c>
      <c r="T4335" s="17" t="n">
        <v>4486</v>
      </c>
      <c r="U4335" s="17" t="n">
        <v>38</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I-FA-0007</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CONT-1</t>
        </is>
      </c>
      <c r="H4336" s="12" t="inlineStr">
        <is>
          <t>CONT-1: containerized genset 13.8 kV (40 ft)</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Surface</t>
        </is>
      </c>
      <c r="T4336" s="17" t="n">
        <v>298</v>
      </c>
      <c r="U4336" s="17" t="n">
        <v>37</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I-FA-0008</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CONT-2</t>
        </is>
      </c>
      <c r="H4337" s="12" t="inlineStr">
        <is>
          <t>CONT-2: containerized genset 13.8 kV (40 ft)</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Surface</t>
        </is>
      </c>
      <c r="T4337" s="17" t="n">
        <v>267</v>
      </c>
      <c r="U4337" s="17" t="n">
        <v>37</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I-FA-0009</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CONT-3</t>
        </is>
      </c>
      <c r="H4338" s="12" t="inlineStr">
        <is>
          <t>CONT-3: containerized gas genset 13.8 kV (40 ft)</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Surface</t>
        </is>
      </c>
      <c r="T4338" s="17" t="n">
        <v>191</v>
      </c>
      <c r="U4338" s="17" t="n">
        <v>32</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I-FA-0010</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CONT-4</t>
        </is>
      </c>
      <c r="H4339" s="12" t="inlineStr">
        <is>
          <t>CONT-4: containerized gas genset 13.8 kV (40 ft)</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7" t="n">
        <v>62</v>
      </c>
      <c r="U4339" s="17" t="n">
        <v>81</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I-FA-0011</t>
        </is>
      </c>
      <c r="B4340" s="12" t="inlineStr">
        <is>
          <t>I</t>
        </is>
      </c>
      <c r="C4340" s="12" t="inlineStr">
        <is>
          <t>Modular / portable power</t>
        </is>
      </c>
      <c r="D4340" s="12" t="inlineStr">
        <is>
          <t>Fire alarm / F&amp;G loop (to the local FACP / F&amp;G node)</t>
        </is>
      </c>
      <c r="E4340" s="12" t="inlineStr">
        <is>
          <t>PAD-EH</t>
        </is>
      </c>
      <c r="F4340" s="12" t="inlineStr">
        <is>
          <t>PAD-EH 13.8 kV switchgear e-house</t>
        </is>
      </c>
      <c r="G4340" s="12" t="inlineStr">
        <is>
          <t>CONT-5</t>
        </is>
      </c>
      <c r="H4340" s="12" t="inlineStr">
        <is>
          <t>CONT-5: containerized gas genset 13.8 kV (40 ft)</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7" t="n">
        <v>25</v>
      </c>
      <c r="U4340" s="17" t="n">
        <v>58</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I-FA-0012</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CONT-6</t>
        </is>
      </c>
      <c r="H4341" s="12" t="inlineStr">
        <is>
          <t>CONT-6: containerized gas genset 13.8 kV (40 ft)</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7" t="n">
        <v>228</v>
      </c>
      <c r="U4341" s="17" t="n">
        <v>46</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I-FA-0013</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CONT-7</t>
        </is>
      </c>
      <c r="H4342" s="12" t="inlineStr">
        <is>
          <t>CONT-7: containerized gas genset 13.8 kV (40 ft)</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7" t="n">
        <v>228</v>
      </c>
      <c r="U4342" s="17" t="n">
        <v>46</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I-FA-0014</t>
        </is>
      </c>
      <c r="B4343" s="12" t="inlineStr">
        <is>
          <t>I</t>
        </is>
      </c>
      <c r="C4343" s="12" t="inlineStr">
        <is>
          <t>Modular / portable power</t>
        </is>
      </c>
      <c r="D4343" s="12" t="inlineStr">
        <is>
          <t>Fire alarm / F&amp;G loop (to the local FACP / F&amp;G node)</t>
        </is>
      </c>
      <c r="E4343" s="12" t="inlineStr">
        <is>
          <t>PAD-EH</t>
        </is>
      </c>
      <c r="F4343" s="12" t="inlineStr">
        <is>
          <t>PAD-EH 13.8 kV switchgear e-house</t>
        </is>
      </c>
      <c r="G4343" s="12" t="inlineStr">
        <is>
          <t>CONT-8</t>
        </is>
      </c>
      <c r="H4343" s="12" t="inlineStr">
        <is>
          <t>CONT-8: containerized gas genset 13.8 kV (40 ft)</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Surface</t>
        </is>
      </c>
      <c r="T4343" s="17" t="n">
        <v>16</v>
      </c>
      <c r="U4343" s="17" t="n">
        <v>117</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I-FA-0015</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FC-10</t>
        </is>
      </c>
      <c r="H4344" s="12" t="inlineStr">
        <is>
          <t>FC-10: SOFC module (Bloom ES5 class, 200-300 kW)</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Duct bank</t>
        </is>
      </c>
      <c r="T4344" s="17" t="n">
        <v>286</v>
      </c>
      <c r="U4344" s="17" t="n">
        <v>50</v>
      </c>
      <c r="V4344" s="17">
        <f>ROUNDUP((T4344+U4344+2*'Read Me'!$B$13)*(1+'Read Me'!$B$12),-1)</f>
        <v/>
      </c>
      <c r="W4344" s="17">
        <f>V4344*N4344*O4344</f>
        <v/>
      </c>
      <c r="X4344" s="12">
        <f>IF(LEFT(I4344,2)="MV",2*N4344*IF(L4344="1/C",O4344,1),0)</f>
        <v/>
      </c>
      <c r="Y4344" s="12">
        <f>IF(OR(LEFT(K4344,4)="LVAX",LEFT(K4344,6)="MV15AX",LEFT(K4344,4)="CTAX",LEFT(K4344,2)="W|"),2*N4344*O4344,0)</f>
        <v/>
      </c>
      <c r="Z4344" s="12" t="inlineStr"/>
      <c r="AA4344" s="12">
        <f>N4344*O4344</f>
        <v/>
      </c>
    </row>
    <row r="4345">
      <c r="A4345" s="12" t="inlineStr">
        <is>
          <t>I-FA-0016</t>
        </is>
      </c>
      <c r="B4345" s="12" t="inlineStr">
        <is>
          <t>I</t>
        </is>
      </c>
      <c r="C4345" s="12" t="inlineStr">
        <is>
          <t>Modular / portable power</t>
        </is>
      </c>
      <c r="D4345" s="12" t="inlineStr">
        <is>
          <t>Fire alarm / F&amp;G loop (to the local FACP / F&amp;G node)</t>
        </is>
      </c>
      <c r="E4345" s="12" t="inlineStr">
        <is>
          <t>PAD-EH</t>
        </is>
      </c>
      <c r="F4345" s="12" t="inlineStr">
        <is>
          <t>PAD-EH 13.8 kV switchgear e-house</t>
        </is>
      </c>
      <c r="G4345" s="12" t="inlineStr">
        <is>
          <t>FC-11</t>
        </is>
      </c>
      <c r="H4345" s="12" t="inlineStr">
        <is>
          <t>FC-11: SOFC module (Bloom ES5 class, 200-300 kW)</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7" t="n">
        <v>272</v>
      </c>
      <c r="U4345" s="17" t="n">
        <v>50</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I-FA-0017</t>
        </is>
      </c>
      <c r="B4346" s="12" t="inlineStr">
        <is>
          <t>I</t>
        </is>
      </c>
      <c r="C4346" s="12" t="inlineStr">
        <is>
          <t>Modular / portable power</t>
        </is>
      </c>
      <c r="D4346" s="12" t="inlineStr">
        <is>
          <t>Fire alarm / F&amp;G loop (to the local FACP / F&amp;G node)</t>
        </is>
      </c>
      <c r="E4346" s="12" t="inlineStr">
        <is>
          <t>PAD-EH</t>
        </is>
      </c>
      <c r="F4346" s="12" t="inlineStr">
        <is>
          <t>PAD-EH 13.8 kV switchgear e-house</t>
        </is>
      </c>
      <c r="G4346" s="12" t="inlineStr">
        <is>
          <t>FC-12</t>
        </is>
      </c>
      <c r="H4346" s="12" t="inlineStr">
        <is>
          <t>FC-12: SOFC module (Bloom ES5 class, 200-300 kW)</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7" t="n">
        <v>272</v>
      </c>
      <c r="U4346" s="17" t="n">
        <v>41</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I-FA-0018</t>
        </is>
      </c>
      <c r="B4347" s="12" t="inlineStr">
        <is>
          <t>I</t>
        </is>
      </c>
      <c r="C4347" s="12" t="inlineStr">
        <is>
          <t>Modular / portable power</t>
        </is>
      </c>
      <c r="D4347" s="12" t="inlineStr">
        <is>
          <t>Fire alarm / F&amp;G loop (to the local FACP / F&amp;G node)</t>
        </is>
      </c>
      <c r="E4347" s="12" t="inlineStr">
        <is>
          <t>PAD-EH</t>
        </is>
      </c>
      <c r="F4347" s="12" t="inlineStr">
        <is>
          <t>PAD-EH 13.8 kV switchgear e-house</t>
        </is>
      </c>
      <c r="G4347" s="12" t="inlineStr"/>
      <c r="H4347" s="12" t="inlineStr">
        <is>
          <t>FC-5..12 inverter / AC cabinet / desulfurizer</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Surface</t>
        </is>
      </c>
      <c r="T4347" s="17" t="n">
        <v>202</v>
      </c>
      <c r="U4347" s="17" t="n">
        <v>37</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I-FA-0019</t>
        </is>
      </c>
      <c r="B4348" s="12" t="inlineStr">
        <is>
          <t>I</t>
        </is>
      </c>
      <c r="C4348" s="12" t="inlineStr">
        <is>
          <t>Modular / portable power</t>
        </is>
      </c>
      <c r="D4348" s="12" t="inlineStr">
        <is>
          <t>Fire alarm / F&amp;G loop (to the local FACP / F&amp;G node)</t>
        </is>
      </c>
      <c r="E4348" s="12" t="inlineStr">
        <is>
          <t>PAD-EH</t>
        </is>
      </c>
      <c r="F4348" s="12" t="inlineStr">
        <is>
          <t>PAD-EH 13.8 kV switchgear e-house</t>
        </is>
      </c>
      <c r="G4348" s="12" t="inlineStr">
        <is>
          <t>FC-5</t>
        </is>
      </c>
      <c r="H4348" s="12" t="inlineStr">
        <is>
          <t>FC-5: SOFC module (Bloom ES5 class, 200-300 kW)</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7" t="n">
        <v>356</v>
      </c>
      <c r="U4348" s="17" t="n">
        <v>50</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I-FA-0020</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FC-6</t>
        </is>
      </c>
      <c r="H4349" s="12" t="inlineStr">
        <is>
          <t>FC-6: SOFC module (Bloom ES5 class, 200-300 kW)</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Duct bank</t>
        </is>
      </c>
      <c r="T4349" s="17" t="n">
        <v>342</v>
      </c>
      <c r="U4349" s="17" t="n">
        <v>50</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I-FA-0021</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FC-7</t>
        </is>
      </c>
      <c r="H4350" s="12" t="inlineStr">
        <is>
          <t>FC-7: SOFC module (Bloom ES5 class, 200-300 kW)</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Duct bank</t>
        </is>
      </c>
      <c r="T4350" s="17" t="n">
        <v>328</v>
      </c>
      <c r="U4350" s="17" t="n">
        <v>50</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I-FA-0022</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FC-8</t>
        </is>
      </c>
      <c r="H4351" s="12" t="inlineStr">
        <is>
          <t>FC-8: SOFC module (Bloom ES5 class, 200-300 kW)</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Duct bank</t>
        </is>
      </c>
      <c r="T4351" s="17" t="n">
        <v>314</v>
      </c>
      <c r="U4351" s="17" t="n">
        <v>50</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I-FA-0023</t>
        </is>
      </c>
      <c r="B4352" s="12" t="inlineStr">
        <is>
          <t>I</t>
        </is>
      </c>
      <c r="C4352" s="12" t="inlineStr">
        <is>
          <t>Modular / portable power</t>
        </is>
      </c>
      <c r="D4352" s="12" t="inlineStr">
        <is>
          <t>Fire alarm / F&amp;G loop (to the local FACP / F&amp;G node)</t>
        </is>
      </c>
      <c r="E4352" s="12" t="inlineStr">
        <is>
          <t>PAD-EH</t>
        </is>
      </c>
      <c r="F4352" s="12" t="inlineStr">
        <is>
          <t>PAD-EH 13.8 kV switchgear e-house</t>
        </is>
      </c>
      <c r="G4352" s="12" t="inlineStr">
        <is>
          <t>FC-9</t>
        </is>
      </c>
      <c r="H4352" s="12" t="inlineStr">
        <is>
          <t>FC-9: SOFC module (Bloom ES5 class, 200-300 kW)</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Duct bank</t>
        </is>
      </c>
      <c r="T4352" s="17" t="n">
        <v>300</v>
      </c>
      <c r="U4352" s="17" t="n">
        <v>50</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I-FA-0024</t>
        </is>
      </c>
      <c r="B4353" s="12" t="inlineStr">
        <is>
          <t>I</t>
        </is>
      </c>
      <c r="C4353" s="12" t="inlineStr">
        <is>
          <t>Modular / portable power</t>
        </is>
      </c>
      <c r="D4353" s="12" t="inlineStr">
        <is>
          <t>Fire alarm / F&amp;G loop (to the local FACP / F&amp;G node)</t>
        </is>
      </c>
      <c r="E4353" s="12" t="inlineStr">
        <is>
          <t>PAD-EH</t>
        </is>
      </c>
      <c r="F4353" s="12" t="inlineStr">
        <is>
          <t>PAD-EH 13.8 kV switchgear e-house</t>
        </is>
      </c>
      <c r="G4353" s="12" t="inlineStr">
        <is>
          <t>GEN-E</t>
        </is>
      </c>
      <c r="H4353" s="12" t="inlineStr">
        <is>
          <t>GEN-E: enclosed industrial gas genset 2 MW</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Surface</t>
        </is>
      </c>
      <c r="T4353" s="17" t="n">
        <v>153</v>
      </c>
      <c r="U4353" s="17" t="n">
        <v>32</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I-FA-0025</t>
        </is>
      </c>
      <c r="B4354" s="12" t="inlineStr">
        <is>
          <t>I</t>
        </is>
      </c>
      <c r="C4354" s="12" t="inlineStr">
        <is>
          <t>Modular / portable power</t>
        </is>
      </c>
      <c r="D4354" s="12" t="inlineStr">
        <is>
          <t>Fire alarm / F&amp;G loop (to the local FACP / F&amp;G node)</t>
        </is>
      </c>
      <c r="E4354" s="12" t="inlineStr">
        <is>
          <t>PAD-EH</t>
        </is>
      </c>
      <c r="F4354" s="12" t="inlineStr">
        <is>
          <t>PAD-EH 13.8 kV switchgear e-house</t>
        </is>
      </c>
      <c r="G4354" s="12" t="inlineStr">
        <is>
          <t>GEN-O</t>
        </is>
      </c>
      <c r="H4354" s="12" t="inlineStr">
        <is>
          <t>GEN-O: open engine-generator skid</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Surface</t>
        </is>
      </c>
      <c r="T4354" s="17" t="n">
        <v>153</v>
      </c>
      <c r="U4354" s="17" t="n">
        <v>79</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I-FA-0026</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c r="H4355" s="12" t="inlineStr">
        <is>
          <t>Lube oil / starting air / oily water building</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Tray</t>
        </is>
      </c>
      <c r="T4355" s="17" t="n">
        <v>40</v>
      </c>
      <c r="U4355" s="17" t="n">
        <v>164</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I-FA-0027</t>
        </is>
      </c>
      <c r="B4356" s="12" t="inlineStr">
        <is>
          <t>I</t>
        </is>
      </c>
      <c r="C4356" s="12" t="inlineStr">
        <is>
          <t>Modular / portable power</t>
        </is>
      </c>
      <c r="D4356" s="12" t="inlineStr">
        <is>
          <t>Fire alarm / F&amp;G loop (to the local FACP / F&amp;G node)</t>
        </is>
      </c>
      <c r="E4356" s="12" t="inlineStr">
        <is>
          <t>PAD-EH</t>
        </is>
      </c>
      <c r="F4356" s="12" t="inlineStr">
        <is>
          <t>PAD-EH 13.8 kV switchgear e-house</t>
        </is>
      </c>
      <c r="G4356" s="12" t="inlineStr">
        <is>
          <t>MOB-1</t>
        </is>
      </c>
      <c r="H4356" s="12" t="inlineStr">
        <is>
          <t>MOB-1: trailer genset</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Surface</t>
        </is>
      </c>
      <c r="T4356" s="17" t="n">
        <v>113</v>
      </c>
      <c r="U4356" s="17" t="n">
        <v>160</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I-FA-0028</t>
        </is>
      </c>
      <c r="B4357" s="12" t="inlineStr">
        <is>
          <t>I</t>
        </is>
      </c>
      <c r="C4357" s="12" t="inlineStr">
        <is>
          <t>Modular / portable power</t>
        </is>
      </c>
      <c r="D4357" s="12" t="inlineStr">
        <is>
          <t>Fire alarm / F&amp;G loop (to the local FACP / F&amp;G node)</t>
        </is>
      </c>
      <c r="E4357" s="12" t="inlineStr"/>
      <c r="F4357" s="12" t="inlineStr">
        <is>
          <t>PCM: power control module</t>
        </is>
      </c>
      <c r="G4357" s="12" t="inlineStr">
        <is>
          <t>MOD-EH</t>
        </is>
      </c>
      <c r="H4357" s="12" t="inlineStr">
        <is>
          <t>MOD-EH: 13.8 kV modular collector e-house</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Duct bank</t>
        </is>
      </c>
      <c r="T4357" s="17" t="n">
        <v>355</v>
      </c>
      <c r="U4357" s="17" t="n">
        <v>32</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I-FA-0029</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MT-4</t>
        </is>
      </c>
      <c r="H4358" s="12" t="inlineStr">
        <is>
          <t>MT-4: microturbine 1 MW (Capstone C1000 class)</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7" t="n">
        <v>198</v>
      </c>
      <c r="U4358" s="17" t="n">
        <v>47</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I-FA-0030</t>
        </is>
      </c>
      <c r="B4359" s="12" t="inlineStr">
        <is>
          <t>I</t>
        </is>
      </c>
      <c r="C4359" s="12" t="inlineStr">
        <is>
          <t>Modular / portable power</t>
        </is>
      </c>
      <c r="D4359" s="12" t="inlineStr">
        <is>
          <t>Fire alarm / F&amp;G loop (to the local FACP / F&amp;G node)</t>
        </is>
      </c>
      <c r="E4359" s="12" t="inlineStr">
        <is>
          <t>PAD-EH</t>
        </is>
      </c>
      <c r="F4359" s="12" t="inlineStr">
        <is>
          <t>PAD-EH 13.8 kV switchgear e-house</t>
        </is>
      </c>
      <c r="G4359" s="12" t="inlineStr">
        <is>
          <t>MT-5</t>
        </is>
      </c>
      <c r="H4359" s="12" t="inlineStr">
        <is>
          <t>MT-5: microturbine 1 MW (Capstone C1000 class)</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Surface</t>
        </is>
      </c>
      <c r="T4359" s="17" t="n">
        <v>198</v>
      </c>
      <c r="U4359" s="17" t="n">
        <v>37</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I-FA-0031</t>
        </is>
      </c>
      <c r="B4360" s="12" t="inlineStr">
        <is>
          <t>I</t>
        </is>
      </c>
      <c r="C4360" s="12" t="inlineStr">
        <is>
          <t>Modular / portable power</t>
        </is>
      </c>
      <c r="D4360" s="12" t="inlineStr">
        <is>
          <t>Fire alarm / F&amp;G loop (to the local FACP / F&amp;G node)</t>
        </is>
      </c>
      <c r="E4360" s="12" t="inlineStr">
        <is>
          <t>PAD-EH</t>
        </is>
      </c>
      <c r="F4360" s="12" t="inlineStr">
        <is>
          <t>PAD-EH 13.8 kV switchgear e-house</t>
        </is>
      </c>
      <c r="G4360" s="12" t="inlineStr">
        <is>
          <t>MT-6</t>
        </is>
      </c>
      <c r="H4360" s="12" t="inlineStr">
        <is>
          <t>MT-6: microturbine 1 MW (Capstone C1000 class)</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Surface</t>
        </is>
      </c>
      <c r="T4360" s="17" t="n">
        <v>67</v>
      </c>
      <c r="U4360" s="17" t="n">
        <v>90</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I-FA-0032</t>
        </is>
      </c>
      <c r="B4361" s="12" t="inlineStr">
        <is>
          <t>I</t>
        </is>
      </c>
      <c r="C4361" s="12" t="inlineStr">
        <is>
          <t>Modular / portable power</t>
        </is>
      </c>
      <c r="D4361" s="12" t="inlineStr">
        <is>
          <t>Fire alarm / F&amp;G loop (to the local FACP / F&amp;G node)</t>
        </is>
      </c>
      <c r="E4361" s="12" t="inlineStr"/>
      <c r="F4361" s="12" t="inlineStr">
        <is>
          <t>PCM: power control module</t>
        </is>
      </c>
      <c r="G4361" s="12" t="inlineStr"/>
      <c r="H4361" s="12" t="inlineStr">
        <is>
          <t>PCM: power control module</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Tray</t>
        </is>
      </c>
      <c r="T4361" s="17" t="n">
        <v>0</v>
      </c>
      <c r="U4361" s="17" t="n">
        <v>32</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I-FA-0033</t>
        </is>
      </c>
      <c r="B4362" s="12" t="inlineStr">
        <is>
          <t>I</t>
        </is>
      </c>
      <c r="C4362" s="12" t="inlineStr">
        <is>
          <t>Modular / portable power</t>
        </is>
      </c>
      <c r="D4362" s="12" t="inlineStr">
        <is>
          <t>Fire alarm / F&amp;G loop (to the local FACP / F&amp;G node)</t>
        </is>
      </c>
      <c r="E4362" s="12" t="inlineStr"/>
      <c r="F4362" s="12" t="inlineStr">
        <is>
          <t>PCM: power control module</t>
        </is>
      </c>
      <c r="G4362" s="12" t="inlineStr"/>
      <c r="H4362" s="12" t="inlineStr">
        <is>
          <t>RICE CEMS</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Duct bank</t>
        </is>
      </c>
      <c r="T4362" s="17" t="n">
        <v>260</v>
      </c>
      <c r="U4362" s="17" t="n">
        <v>131</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I-FA-0034</t>
        </is>
      </c>
      <c r="B4363" s="12" t="inlineStr">
        <is>
          <t>I</t>
        </is>
      </c>
      <c r="C4363" s="12" t="inlineStr">
        <is>
          <t>Modular / portable power</t>
        </is>
      </c>
      <c r="D4363" s="12" t="inlineStr">
        <is>
          <t>Fire alarm / F&amp;G loop (to the local FACP / F&amp;G node)</t>
        </is>
      </c>
      <c r="E4363" s="12" t="inlineStr"/>
      <c r="F4363" s="12" t="inlineStr">
        <is>
          <t>PCM: power control module</t>
        </is>
      </c>
      <c r="G4363" s="12" t="inlineStr">
        <is>
          <t>RICE</t>
        </is>
      </c>
      <c r="H4363" s="12" t="inlineStr">
        <is>
          <t>RICE engine hall (8 engines)</t>
        </is>
      </c>
      <c r="I4363" s="12" t="inlineStr">
        <is>
          <t>Fire alarm</t>
        </is>
      </c>
      <c r="J4363" s="12" t="inlineStr">
        <is>
          <t>Fire alarm FPLR 2/C #14 shielded, red jacket (NEC 760)</t>
        </is>
      </c>
      <c r="K4363" s="12" t="inlineStr">
        <is>
          <t>FA|2/C|14</t>
        </is>
      </c>
      <c r="L4363" s="12" t="inlineStr">
        <is>
          <t>2/C</t>
        </is>
      </c>
      <c r="M4363" s="12" t="inlineStr">
        <is>
          <t>14</t>
        </is>
      </c>
      <c r="N4363" s="12" t="n">
        <v>1</v>
      </c>
      <c r="O4363" s="12" t="n">
        <v>1</v>
      </c>
      <c r="P4363" s="12" t="n"/>
      <c r="Q4363" s="12" t="n"/>
      <c r="R4363" s="12" t="n"/>
      <c r="S4363" s="12" t="inlineStr">
        <is>
          <t>Duct bank</t>
        </is>
      </c>
      <c r="T4363" s="17" t="n">
        <v>367</v>
      </c>
      <c r="U4363" s="17" t="n">
        <v>95</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I-FA-0035</t>
        </is>
      </c>
      <c r="B4364" s="12" t="inlineStr">
        <is>
          <t>I</t>
        </is>
      </c>
      <c r="C4364" s="12" t="inlineStr">
        <is>
          <t>Modular / portable power</t>
        </is>
      </c>
      <c r="D4364" s="12" t="inlineStr">
        <is>
          <t>Fire alarm / F&amp;G loop (to the local FACP / F&amp;G node)</t>
        </is>
      </c>
      <c r="E4364" s="12" t="inlineStr"/>
      <c r="F4364" s="12" t="inlineStr">
        <is>
          <t>PCM: power control module</t>
        </is>
      </c>
      <c r="G4364" s="12" t="inlineStr">
        <is>
          <t>SC-1</t>
        </is>
      </c>
      <c r="H4364" s="12" t="inlineStr">
        <is>
          <t>SC-1: aeroderivative simple-cycle unit (LM6000 class)</t>
        </is>
      </c>
      <c r="I4364" s="12" t="inlineStr">
        <is>
          <t>Fire alarm</t>
        </is>
      </c>
      <c r="J4364" s="12" t="inlineStr">
        <is>
          <t>Fire alarm FPLR 2/C #14 shielded, red jacket (NEC 760)</t>
        </is>
      </c>
      <c r="K4364" s="12" t="inlineStr">
        <is>
          <t>FA|2/C|14</t>
        </is>
      </c>
      <c r="L4364" s="12" t="inlineStr">
        <is>
          <t>2/C</t>
        </is>
      </c>
      <c r="M4364" s="12" t="inlineStr">
        <is>
          <t>14</t>
        </is>
      </c>
      <c r="N4364" s="12" t="n">
        <v>1</v>
      </c>
      <c r="O4364" s="12" t="n">
        <v>1</v>
      </c>
      <c r="P4364" s="12" t="n"/>
      <c r="Q4364" s="12" t="n"/>
      <c r="R4364" s="12" t="n"/>
      <c r="S4364" s="12" t="inlineStr">
        <is>
          <t>Duct bank</t>
        </is>
      </c>
      <c r="T4364" s="17" t="n">
        <v>40</v>
      </c>
      <c r="U4364" s="17" t="n">
        <v>52</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I-FA-0036</t>
        </is>
      </c>
      <c r="B4365" s="12" t="inlineStr">
        <is>
          <t>I</t>
        </is>
      </c>
      <c r="C4365" s="12" t="inlineStr">
        <is>
          <t>Modular / portable power</t>
        </is>
      </c>
      <c r="D4365" s="12" t="inlineStr">
        <is>
          <t>Fire alarm / F&amp;G loop (to the local FACP / F&amp;G node)</t>
        </is>
      </c>
      <c r="E4365" s="12" t="inlineStr"/>
      <c r="F4365" s="12" t="inlineStr">
        <is>
          <t>PCM: power control module</t>
        </is>
      </c>
      <c r="G4365" s="12" t="inlineStr">
        <is>
          <t>SC-2</t>
        </is>
      </c>
      <c r="H4365" s="12" t="inlineStr">
        <is>
          <t>SC-2: aeroderivative simple-cycle unit (LM6000 class)</t>
        </is>
      </c>
      <c r="I4365" s="12" t="inlineStr">
        <is>
          <t>Fire alarm</t>
        </is>
      </c>
      <c r="J4365" s="12" t="inlineStr">
        <is>
          <t>Fire alarm FPLR 2/C #14 shielded, red jacket (NEC 760)</t>
        </is>
      </c>
      <c r="K4365" s="12" t="inlineStr">
        <is>
          <t>FA|2/C|14</t>
        </is>
      </c>
      <c r="L4365" s="12" t="inlineStr">
        <is>
          <t>2/C</t>
        </is>
      </c>
      <c r="M4365" s="12" t="inlineStr">
        <is>
          <t>14</t>
        </is>
      </c>
      <c r="N4365" s="12" t="n">
        <v>1</v>
      </c>
      <c r="O4365" s="12" t="n">
        <v>1</v>
      </c>
      <c r="P4365" s="12" t="n"/>
      <c r="Q4365" s="12" t="n"/>
      <c r="R4365" s="12" t="n"/>
      <c r="S4365" s="12" t="inlineStr">
        <is>
          <t>HV duct bank</t>
        </is>
      </c>
      <c r="T4365" s="17" t="n">
        <v>4436</v>
      </c>
      <c r="U4365" s="17" t="n">
        <v>38</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I-FA-0037</t>
        </is>
      </c>
      <c r="B4366" s="12" t="inlineStr">
        <is>
          <t>I</t>
        </is>
      </c>
      <c r="C4366" s="12" t="inlineStr">
        <is>
          <t>Modular / portable power</t>
        </is>
      </c>
      <c r="D4366" s="12" t="inlineStr">
        <is>
          <t>Fire alarm / F&amp;G loop (to the local FACP / F&amp;G node)</t>
        </is>
      </c>
      <c r="E4366" s="12" t="inlineStr">
        <is>
          <t>PAD-EH</t>
        </is>
      </c>
      <c r="F4366" s="12" t="inlineStr">
        <is>
          <t>PAD-EH 13.8 kV switchgear e-house</t>
        </is>
      </c>
      <c r="G4366" s="12" t="inlineStr">
        <is>
          <t>TM-1</t>
        </is>
      </c>
      <c r="H4366" s="12" t="inlineStr">
        <is>
          <t>TM-1: trailer-mounted aeroderivative GT (TM2500 class, ~35 MW)</t>
        </is>
      </c>
      <c r="I4366" s="12" t="inlineStr">
        <is>
          <t>Fire alarm</t>
        </is>
      </c>
      <c r="J4366" s="12" t="inlineStr">
        <is>
          <t>Fire alarm FPLR 2/C #14 shielded, red jacket (NEC 760)</t>
        </is>
      </c>
      <c r="K4366" s="12" t="inlineStr">
        <is>
          <t>FA|2/C|14</t>
        </is>
      </c>
      <c r="L4366" s="12" t="inlineStr">
        <is>
          <t>2/C</t>
        </is>
      </c>
      <c r="M4366" s="12" t="inlineStr">
        <is>
          <t>14</t>
        </is>
      </c>
      <c r="N4366" s="12" t="n">
        <v>1</v>
      </c>
      <c r="O4366" s="12" t="n">
        <v>1</v>
      </c>
      <c r="P4366" s="12" t="n"/>
      <c r="Q4366" s="12" t="n"/>
      <c r="R4366" s="12" t="n"/>
      <c r="S4366" s="12" t="inlineStr">
        <is>
          <t>Surface</t>
        </is>
      </c>
      <c r="T4366" s="17" t="n">
        <v>382</v>
      </c>
      <c r="U4366" s="17" t="n">
        <v>50</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I-FA-0038</t>
        </is>
      </c>
      <c r="B4367" s="12" t="inlineStr">
        <is>
          <t>I</t>
        </is>
      </c>
      <c r="C4367" s="12" t="inlineStr">
        <is>
          <t>Modular / portable power</t>
        </is>
      </c>
      <c r="D4367" s="12" t="inlineStr">
        <is>
          <t>Fire alarm / F&amp;G loop (to the local FACP / F&amp;G node)</t>
        </is>
      </c>
      <c r="E4367" s="12" t="inlineStr">
        <is>
          <t>PAD-EH</t>
        </is>
      </c>
      <c r="F4367" s="12" t="inlineStr">
        <is>
          <t>PAD-EH 13.8 kV switchgear e-house</t>
        </is>
      </c>
      <c r="G4367" s="12" t="inlineStr">
        <is>
          <t>TM-2</t>
        </is>
      </c>
      <c r="H4367" s="12" t="inlineStr">
        <is>
          <t>TM-2: trailer-mounted aeroderivative GT (TM2500 class, ~35 MW)</t>
        </is>
      </c>
      <c r="I4367" s="12" t="inlineStr">
        <is>
          <t>Fire alarm</t>
        </is>
      </c>
      <c r="J4367" s="12" t="inlineStr">
        <is>
          <t>Fire alarm FPLR 2/C #14 shielded, red jacket (NEC 760)</t>
        </is>
      </c>
      <c r="K4367" s="12" t="inlineStr">
        <is>
          <t>FA|2/C|14</t>
        </is>
      </c>
      <c r="L4367" s="12" t="inlineStr">
        <is>
          <t>2/C</t>
        </is>
      </c>
      <c r="M4367" s="12" t="inlineStr">
        <is>
          <t>14</t>
        </is>
      </c>
      <c r="N4367" s="12" t="n">
        <v>1</v>
      </c>
      <c r="O4367" s="12" t="n">
        <v>1</v>
      </c>
      <c r="P4367" s="12" t="n"/>
      <c r="Q4367" s="12" t="n"/>
      <c r="R4367" s="12" t="n"/>
      <c r="S4367" s="12" t="inlineStr">
        <is>
          <t>Surface</t>
        </is>
      </c>
      <c r="T4367" s="17" t="n">
        <v>386</v>
      </c>
      <c r="U4367" s="17" t="n">
        <v>52</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I-I-0001</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Aqueous ammonia (SC units)</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HV duct bank</t>
        </is>
      </c>
      <c r="T4368" s="17" t="n">
        <v>4299</v>
      </c>
      <c r="U4368" s="17" t="n">
        <v>38</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I-I-0002</t>
        </is>
      </c>
      <c r="B4369" s="12" t="inlineStr">
        <is>
          <t>I</t>
        </is>
      </c>
      <c r="C4369" s="12" t="inlineStr">
        <is>
          <t>Modular / portable power</t>
        </is>
      </c>
      <c r="D4369" s="12" t="inlineStr">
        <is>
          <t>Analog instrument to JB JB-Black-start genset-AI01: 20 x 1 pr (field cables)</t>
        </is>
      </c>
      <c r="E4369" s="12" t="inlineStr"/>
      <c r="F4369" s="12" t="inlineStr">
        <is>
          <t>Black-start genset (proposed; requires study)</t>
        </is>
      </c>
      <c r="G4369" s="12" t="inlineStr">
        <is>
          <t>JB-Black-start genset-AI01</t>
        </is>
      </c>
      <c r="H4369" s="12" t="inlineStr">
        <is>
          <t>Black-start genset (proposed; requires study)</t>
        </is>
      </c>
      <c r="I4369" s="12" t="inlineStr">
        <is>
          <t>Instrumentation</t>
        </is>
      </c>
      <c r="J4369" s="12" t="inlineStr">
        <is>
          <t>Instrumentation PLTC / TC-ER 300 V, #18 twisted shielded pairs, overall shield</t>
        </is>
      </c>
      <c r="K4369" s="12" t="inlineStr">
        <is>
          <t>PLTC|1 pr|16</t>
        </is>
      </c>
      <c r="L4369" s="12" t="inlineStr">
        <is>
          <t>1 pr</t>
        </is>
      </c>
      <c r="M4369" s="12" t="inlineStr">
        <is>
          <t>16</t>
        </is>
      </c>
      <c r="N4369" s="12" t="n">
        <v>20</v>
      </c>
      <c r="O4369" s="12" t="n">
        <v>1</v>
      </c>
      <c r="P4369" s="12" t="n"/>
      <c r="Q4369" s="12" t="n"/>
      <c r="R4369" s="12" t="n"/>
      <c r="S4369" s="12" t="inlineStr">
        <is>
          <t>Tray / conduit</t>
        </is>
      </c>
      <c r="T4369" s="17" t="n">
        <v>59</v>
      </c>
      <c r="U4369" s="17" t="n">
        <v>10</v>
      </c>
      <c r="V4369" s="17">
        <f>ROUNDUP((T4369+U4369+2*'Read Me'!$B$13)*(1+'Read Me'!$B$12),-1)</f>
        <v/>
      </c>
      <c r="W4369" s="17">
        <f>V4369*N4369*O4369</f>
        <v/>
      </c>
      <c r="X4369" s="12">
        <f>IF(LEFT(I4369,2)="MV",2*N4369*IF(L4369="1/C",O4369,1),0)</f>
        <v/>
      </c>
      <c r="Y4369" s="12">
        <f>IF(OR(LEFT(K4369,4)="LVAX",LEFT(K4369,6)="MV15AX",LEFT(K4369,4)="CTAX",LEFT(K4369,2)="W|"),2*N4369*O4369,0)</f>
        <v/>
      </c>
      <c r="Z4369" s="12" t="inlineStr">
        <is>
          <t>device-to-JB field wiring, one cable per device</t>
        </is>
      </c>
      <c r="AA4369" s="12">
        <f>N4369*O4369</f>
        <v/>
      </c>
    </row>
    <row r="4370">
      <c r="A4370" s="12" t="inlineStr">
        <is>
          <t>I-I-0003</t>
        </is>
      </c>
      <c r="B4370" s="12" t="inlineStr">
        <is>
          <t>I</t>
        </is>
      </c>
      <c r="C4370" s="12" t="inlineStr">
        <is>
          <t>Modular / portable power</t>
        </is>
      </c>
      <c r="D4370" s="12" t="inlineStr">
        <is>
          <t>Home run JB-Black-start genset-AI01 to the control / marshalling room</t>
        </is>
      </c>
      <c r="E4370" s="12" t="inlineStr"/>
      <c r="F4370" s="12" t="inlineStr">
        <is>
          <t>PCM: power control module</t>
        </is>
      </c>
      <c r="G4370" s="12" t="inlineStr">
        <is>
          <t>JB-Black-start genset-AI01</t>
        </is>
      </c>
      <c r="H4370" s="12" t="inlineStr">
        <is>
          <t>Black-start genset (proposed; requires study)</t>
        </is>
      </c>
      <c r="I4370" s="12" t="inlineStr">
        <is>
          <t>Instrumentation</t>
        </is>
      </c>
      <c r="J4370" s="12" t="inlineStr">
        <is>
          <t>Instrumentation PLTC / TC-ER 300 V, #18 twisted shielded pairs, overall shield</t>
        </is>
      </c>
      <c r="K4370" s="12" t="inlineStr">
        <is>
          <t>PLTC|24 pr|18</t>
        </is>
      </c>
      <c r="L4370" s="12" t="inlineStr">
        <is>
          <t>24 pr</t>
        </is>
      </c>
      <c r="M4370" s="12" t="inlineStr">
        <is>
          <t>18</t>
        </is>
      </c>
      <c r="N4370" s="12" t="n">
        <v>1</v>
      </c>
      <c r="O4370" s="12" t="n">
        <v>1</v>
      </c>
      <c r="P4370" s="12" t="n"/>
      <c r="Q4370" s="12" t="n"/>
      <c r="R4370" s="12" t="n"/>
      <c r="S4370" s="12" t="inlineStr">
        <is>
          <t>Duct bank</t>
        </is>
      </c>
      <c r="T4370" s="17" t="n">
        <v>624</v>
      </c>
      <c r="U4370" s="17" t="n">
        <v>32</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I-I-0004</t>
        </is>
      </c>
      <c r="B4371" s="12" t="inlineStr">
        <is>
          <t>I</t>
        </is>
      </c>
      <c r="C4371" s="12" t="inlineStr">
        <is>
          <t>Modular / portable power</t>
        </is>
      </c>
      <c r="D4371" s="12" t="inlineStr">
        <is>
          <t>Discrete device to JB JB-Black-start genset-DI01: 20 x 1 pr (field cables)</t>
        </is>
      </c>
      <c r="E4371" s="12" t="inlineStr"/>
      <c r="F4371" s="12" t="inlineStr">
        <is>
          <t>Black-start genset (proposed; requires study)</t>
        </is>
      </c>
      <c r="G4371" s="12" t="inlineStr">
        <is>
          <t>JB-Black-start genset-DI01</t>
        </is>
      </c>
      <c r="H4371" s="12" t="inlineStr">
        <is>
          <t>Black-start genset (proposed; requires study)</t>
        </is>
      </c>
      <c r="I4371" s="12" t="inlineStr">
        <is>
          <t>Instrumentation</t>
        </is>
      </c>
      <c r="J4371" s="12" t="inlineStr">
        <is>
          <t>Instrumentation PLTC / TC-ER 300 V, #18 twisted shielded pairs, overall shield</t>
        </is>
      </c>
      <c r="K4371" s="12" t="inlineStr">
        <is>
          <t>PLTC|1 pr|16</t>
        </is>
      </c>
      <c r="L4371" s="12" t="inlineStr">
        <is>
          <t>1 pr</t>
        </is>
      </c>
      <c r="M4371" s="12" t="inlineStr">
        <is>
          <t>16</t>
        </is>
      </c>
      <c r="N4371" s="12" t="n">
        <v>20</v>
      </c>
      <c r="O4371" s="12" t="n">
        <v>1</v>
      </c>
      <c r="P4371" s="12" t="n"/>
      <c r="Q4371" s="12" t="n"/>
      <c r="R4371" s="12" t="n"/>
      <c r="S4371" s="12" t="inlineStr">
        <is>
          <t>Tray / conduit</t>
        </is>
      </c>
      <c r="T4371" s="17" t="n">
        <v>59</v>
      </c>
      <c r="U4371" s="17" t="n">
        <v>10</v>
      </c>
      <c r="V4371" s="17">
        <f>ROUNDUP((T4371+U4371+2*'Read Me'!$B$13)*(1+'Read Me'!$B$12),-1)</f>
        <v/>
      </c>
      <c r="W4371" s="17">
        <f>V4371*N4371*O4371</f>
        <v/>
      </c>
      <c r="X4371" s="12">
        <f>IF(LEFT(I4371,2)="MV",2*N4371*IF(L4371="1/C",O4371,1),0)</f>
        <v/>
      </c>
      <c r="Y4371" s="12">
        <f>IF(OR(LEFT(K4371,4)="LVAX",LEFT(K4371,6)="MV15AX",LEFT(K4371,4)="CTAX",LEFT(K4371,2)="W|"),2*N4371*O4371,0)</f>
        <v/>
      </c>
      <c r="Z4371" s="12" t="inlineStr">
        <is>
          <t>device-to-JB field wiring, one cable per device</t>
        </is>
      </c>
      <c r="AA4371" s="12">
        <f>N4371*O4371</f>
        <v/>
      </c>
    </row>
    <row r="4372">
      <c r="A4372" s="12" t="inlineStr">
        <is>
          <t>I-I-0005</t>
        </is>
      </c>
      <c r="B4372" s="12" t="inlineStr">
        <is>
          <t>I</t>
        </is>
      </c>
      <c r="C4372" s="12" t="inlineStr">
        <is>
          <t>Modular / portable power</t>
        </is>
      </c>
      <c r="D4372" s="12" t="inlineStr">
        <is>
          <t>Home run JB-Black-start genset-DI01 to the control / marshalling room</t>
        </is>
      </c>
      <c r="E4372" s="12" t="inlineStr"/>
      <c r="F4372" s="12" t="inlineStr">
        <is>
          <t>PCM: power control module</t>
        </is>
      </c>
      <c r="G4372" s="12" t="inlineStr">
        <is>
          <t>JB-Black-start genset-DI01</t>
        </is>
      </c>
      <c r="H4372" s="12" t="inlineStr">
        <is>
          <t>Black-start genset (proposed; requires study)</t>
        </is>
      </c>
      <c r="I4372" s="12" t="inlineStr">
        <is>
          <t>Instrumentation</t>
        </is>
      </c>
      <c r="J4372" s="12" t="inlineStr">
        <is>
          <t>Instrumentation PLTC / TC-ER 300 V, #18 twisted shielded pairs, overall shield</t>
        </is>
      </c>
      <c r="K4372" s="12" t="inlineStr">
        <is>
          <t>PLTC|24 pr|18</t>
        </is>
      </c>
      <c r="L4372" s="12" t="inlineStr">
        <is>
          <t>24 pr</t>
        </is>
      </c>
      <c r="M4372" s="12" t="inlineStr">
        <is>
          <t>18</t>
        </is>
      </c>
      <c r="N4372" s="12" t="n">
        <v>1</v>
      </c>
      <c r="O4372" s="12" t="n">
        <v>1</v>
      </c>
      <c r="P4372" s="12" t="n"/>
      <c r="Q4372" s="12" t="n"/>
      <c r="R4372" s="12" t="n"/>
      <c r="S4372" s="12" t="inlineStr">
        <is>
          <t>Duct bank</t>
        </is>
      </c>
      <c r="T4372" s="17" t="n">
        <v>624</v>
      </c>
      <c r="U4372" s="17" t="n">
        <v>32</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I-I-0006</t>
        </is>
      </c>
      <c r="B4373" s="12" t="inlineStr">
        <is>
          <t>I</t>
        </is>
      </c>
      <c r="C4373" s="12" t="inlineStr">
        <is>
          <t>Modular / portable power</t>
        </is>
      </c>
      <c r="D4373" s="12" t="inlineStr">
        <is>
          <t>Analog instrument to JB JB-Black-start genset-AI01: 20 x 1 pr (field cables)</t>
        </is>
      </c>
      <c r="E4373" s="12" t="inlineStr"/>
      <c r="F4373" s="12" t="inlineStr">
        <is>
          <t>Black-start genset (proposed; requires study)</t>
        </is>
      </c>
      <c r="G4373" s="12" t="inlineStr">
        <is>
          <t>JB-Black-start genset-AI01</t>
        </is>
      </c>
      <c r="H4373" s="12" t="inlineStr">
        <is>
          <t>Black-start genset (proposed; requires study)</t>
        </is>
      </c>
      <c r="I4373" s="12" t="inlineStr">
        <is>
          <t>Instrumentation</t>
        </is>
      </c>
      <c r="J4373" s="12" t="inlineStr">
        <is>
          <t>Instrumentation PLTC / TC-ER 300 V, #18 twisted shielded pairs, overall shield</t>
        </is>
      </c>
      <c r="K4373" s="12" t="inlineStr">
        <is>
          <t>PLTC|1 pr|16</t>
        </is>
      </c>
      <c r="L4373" s="12" t="inlineStr">
        <is>
          <t>1 pr</t>
        </is>
      </c>
      <c r="M4373" s="12" t="inlineStr">
        <is>
          <t>16</t>
        </is>
      </c>
      <c r="N4373" s="12" t="n">
        <v>20</v>
      </c>
      <c r="O4373" s="12" t="n">
        <v>1</v>
      </c>
      <c r="P4373" s="12" t="n"/>
      <c r="Q4373" s="12" t="n"/>
      <c r="R4373" s="12" t="n"/>
      <c r="S4373" s="12" t="inlineStr">
        <is>
          <t>Tray / conduit</t>
        </is>
      </c>
      <c r="T4373" s="17" t="n">
        <v>59</v>
      </c>
      <c r="U4373" s="17" t="n">
        <v>10</v>
      </c>
      <c r="V4373" s="17">
        <f>ROUNDUP((T4373+U4373+2*'Read Me'!$B$13)*(1+'Read Me'!$B$12),-1)</f>
        <v/>
      </c>
      <c r="W4373" s="17">
        <f>V4373*N4373*O4373</f>
        <v/>
      </c>
      <c r="X4373" s="12">
        <f>IF(LEFT(I4373,2)="MV",2*N4373*IF(L4373="1/C",O4373,1),0)</f>
        <v/>
      </c>
      <c r="Y4373" s="12">
        <f>IF(OR(LEFT(K4373,4)="LVAX",LEFT(K4373,6)="MV15AX",LEFT(K4373,4)="CTAX",LEFT(K4373,2)="W|"),2*N4373*O4373,0)</f>
        <v/>
      </c>
      <c r="Z4373" s="12" t="inlineStr">
        <is>
          <t>device-to-JB field wiring, one cable per device</t>
        </is>
      </c>
      <c r="AA4373" s="12">
        <f>N4373*O4373</f>
        <v/>
      </c>
    </row>
    <row r="4374">
      <c r="A4374" s="12" t="inlineStr">
        <is>
          <t>I-I-0007</t>
        </is>
      </c>
      <c r="B4374" s="12" t="inlineStr">
        <is>
          <t>I</t>
        </is>
      </c>
      <c r="C4374" s="12" t="inlineStr">
        <is>
          <t>Modular / portable power</t>
        </is>
      </c>
      <c r="D4374" s="12" t="inlineStr">
        <is>
          <t>Home run JB-Black-start genset-AI01 to the control / marshalling room</t>
        </is>
      </c>
      <c r="E4374" s="12" t="inlineStr"/>
      <c r="F4374" s="12" t="inlineStr">
        <is>
          <t>PCM: power control module</t>
        </is>
      </c>
      <c r="G4374" s="12" t="inlineStr">
        <is>
          <t>JB-Black-start genset-AI01</t>
        </is>
      </c>
      <c r="H4374" s="12" t="inlineStr">
        <is>
          <t>Black-start genset (proposed; requires study)</t>
        </is>
      </c>
      <c r="I4374" s="12" t="inlineStr">
        <is>
          <t>Instrumentation</t>
        </is>
      </c>
      <c r="J4374" s="12" t="inlineStr">
        <is>
          <t>Instrumentation PLTC / TC-ER 300 V, #18 twisted shielded pairs, overall shield</t>
        </is>
      </c>
      <c r="K4374" s="12" t="inlineStr">
        <is>
          <t>PLTC|24 pr|18</t>
        </is>
      </c>
      <c r="L4374" s="12" t="inlineStr">
        <is>
          <t>24 pr</t>
        </is>
      </c>
      <c r="M4374" s="12" t="inlineStr">
        <is>
          <t>18</t>
        </is>
      </c>
      <c r="N4374" s="12" t="n">
        <v>1</v>
      </c>
      <c r="O4374" s="12" t="n">
        <v>1</v>
      </c>
      <c r="P4374" s="12" t="n"/>
      <c r="Q4374" s="12" t="n"/>
      <c r="R4374" s="12" t="n"/>
      <c r="S4374" s="12" t="inlineStr">
        <is>
          <t>Duct bank</t>
        </is>
      </c>
      <c r="T4374" s="17" t="n">
        <v>624</v>
      </c>
      <c r="U4374" s="17" t="n">
        <v>40</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I-I-0008</t>
        </is>
      </c>
      <c r="B4375" s="12" t="inlineStr">
        <is>
          <t>I</t>
        </is>
      </c>
      <c r="C4375" s="12" t="inlineStr">
        <is>
          <t>Modular / portable power</t>
        </is>
      </c>
      <c r="D4375" s="12" t="inlineStr">
        <is>
          <t>Discrete device to JB JB-Black-start genset-DI01: 20 x 1 pr (field cables)</t>
        </is>
      </c>
      <c r="E4375" s="12" t="inlineStr"/>
      <c r="F4375" s="12" t="inlineStr">
        <is>
          <t>Black-start genset (proposed; requires study)</t>
        </is>
      </c>
      <c r="G4375" s="12" t="inlineStr">
        <is>
          <t>JB-Black-start genset-DI01</t>
        </is>
      </c>
      <c r="H4375" s="12" t="inlineStr">
        <is>
          <t>Black-start genset (proposed; requires study)</t>
        </is>
      </c>
      <c r="I4375" s="12" t="inlineStr">
        <is>
          <t>Instrumentation</t>
        </is>
      </c>
      <c r="J4375" s="12" t="inlineStr">
        <is>
          <t>Instrumentation PLTC / TC-ER 300 V, #18 twisted shielded pairs, overall shield</t>
        </is>
      </c>
      <c r="K4375" s="12" t="inlineStr">
        <is>
          <t>PLTC|1 pr|16</t>
        </is>
      </c>
      <c r="L4375" s="12" t="inlineStr">
        <is>
          <t>1 pr</t>
        </is>
      </c>
      <c r="M4375" s="12" t="inlineStr">
        <is>
          <t>16</t>
        </is>
      </c>
      <c r="N4375" s="12" t="n">
        <v>20</v>
      </c>
      <c r="O4375" s="12" t="n">
        <v>1</v>
      </c>
      <c r="P4375" s="12" t="n"/>
      <c r="Q4375" s="12" t="n"/>
      <c r="R4375" s="12" t="n"/>
      <c r="S4375" s="12" t="inlineStr">
        <is>
          <t>Tray / conduit</t>
        </is>
      </c>
      <c r="T4375" s="17" t="n">
        <v>59</v>
      </c>
      <c r="U4375" s="17" t="n">
        <v>10</v>
      </c>
      <c r="V4375" s="17">
        <f>ROUNDUP((T4375+U4375+2*'Read Me'!$B$13)*(1+'Read Me'!$B$12),-1)</f>
        <v/>
      </c>
      <c r="W4375" s="17">
        <f>V4375*N4375*O4375</f>
        <v/>
      </c>
      <c r="X4375" s="12">
        <f>IF(LEFT(I4375,2)="MV",2*N4375*IF(L4375="1/C",O4375,1),0)</f>
        <v/>
      </c>
      <c r="Y4375" s="12">
        <f>IF(OR(LEFT(K4375,4)="LVAX",LEFT(K4375,6)="MV15AX",LEFT(K4375,4)="CTAX",LEFT(K4375,2)="W|"),2*N4375*O4375,0)</f>
        <v/>
      </c>
      <c r="Z4375" s="12" t="inlineStr">
        <is>
          <t>device-to-JB field wiring, one cable per device</t>
        </is>
      </c>
      <c r="AA4375" s="12">
        <f>N4375*O4375</f>
        <v/>
      </c>
    </row>
    <row r="4376">
      <c r="A4376" s="12" t="inlineStr">
        <is>
          <t>I-I-0009</t>
        </is>
      </c>
      <c r="B4376" s="12" t="inlineStr">
        <is>
          <t>I</t>
        </is>
      </c>
      <c r="C4376" s="12" t="inlineStr">
        <is>
          <t>Modular / portable power</t>
        </is>
      </c>
      <c r="D4376" s="12" t="inlineStr">
        <is>
          <t>Home run JB-Black-start genset-DI01 to the control / marshalling room</t>
        </is>
      </c>
      <c r="E4376" s="12" t="inlineStr"/>
      <c r="F4376" s="12" t="inlineStr">
        <is>
          <t>PCM: power control module</t>
        </is>
      </c>
      <c r="G4376" s="12" t="inlineStr">
        <is>
          <t>JB-Black-start genset-DI01</t>
        </is>
      </c>
      <c r="H4376" s="12" t="inlineStr">
        <is>
          <t>Black-start genset (proposed; requires study)</t>
        </is>
      </c>
      <c r="I4376" s="12" t="inlineStr">
        <is>
          <t>Instrumentation</t>
        </is>
      </c>
      <c r="J4376" s="12" t="inlineStr">
        <is>
          <t>Instrumentation PLTC / TC-ER 300 V, #18 twisted shielded pairs, overall shield</t>
        </is>
      </c>
      <c r="K4376" s="12" t="inlineStr">
        <is>
          <t>PLTC|24 pr|18</t>
        </is>
      </c>
      <c r="L4376" s="12" t="inlineStr">
        <is>
          <t>24 pr</t>
        </is>
      </c>
      <c r="M4376" s="12" t="inlineStr">
        <is>
          <t>18</t>
        </is>
      </c>
      <c r="N4376" s="12" t="n">
        <v>1</v>
      </c>
      <c r="O4376" s="12" t="n">
        <v>1</v>
      </c>
      <c r="P4376" s="12" t="n"/>
      <c r="Q4376" s="12" t="n"/>
      <c r="R4376" s="12" t="n"/>
      <c r="S4376" s="12" t="inlineStr">
        <is>
          <t>Duct bank</t>
        </is>
      </c>
      <c r="T4376" s="17" t="n">
        <v>624</v>
      </c>
      <c r="U4376" s="17" t="n">
        <v>40</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I-I-0010</t>
        </is>
      </c>
      <c r="B4377" s="12" t="inlineStr">
        <is>
          <t>I</t>
        </is>
      </c>
      <c r="C4377" s="12" t="inlineStr">
        <is>
          <t>Modular / portable power</t>
        </is>
      </c>
      <c r="D4377" s="12" t="inlineStr">
        <is>
          <t>Instrumentation</t>
        </is>
      </c>
      <c r="E4377" s="12" t="inlineStr"/>
      <c r="F4377" s="12" t="inlineStr">
        <is>
          <t>PCM: power control module</t>
        </is>
      </c>
      <c r="G4377" s="12" t="inlineStr"/>
      <c r="H4377" s="12" t="inlineStr">
        <is>
          <t>CONDITIONAL: BESS black-start alternative</t>
        </is>
      </c>
      <c r="I4377" s="12" t="inlineStr">
        <is>
          <t>Instrumentation</t>
        </is>
      </c>
      <c r="J4377" s="12" t="inlineStr">
        <is>
          <t>Instrumentation PLTC / TC-ER 300 V, #18 twisted shielded pairs, overall shield</t>
        </is>
      </c>
      <c r="K4377" s="12" t="inlineStr">
        <is>
          <t>PLTC|4 pr|18</t>
        </is>
      </c>
      <c r="L4377" s="12" t="inlineStr">
        <is>
          <t>4 pr</t>
        </is>
      </c>
      <c r="M4377" s="12" t="inlineStr">
        <is>
          <t>18</t>
        </is>
      </c>
      <c r="N4377" s="12" t="n">
        <v>1</v>
      </c>
      <c r="O4377" s="12" t="n">
        <v>1</v>
      </c>
      <c r="P4377" s="12" t="n"/>
      <c r="Q4377" s="12" t="n"/>
      <c r="R4377" s="12" t="n"/>
      <c r="S4377" s="12" t="inlineStr">
        <is>
          <t>Duct bank</t>
        </is>
      </c>
      <c r="T4377" s="17" t="n">
        <v>550</v>
      </c>
      <c r="U4377" s="17" t="n">
        <v>32</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I-I-0011</t>
        </is>
      </c>
      <c r="B4378" s="12" t="inlineStr">
        <is>
          <t>I</t>
        </is>
      </c>
      <c r="C4378" s="12" t="inlineStr">
        <is>
          <t>Modular / portable power</t>
        </is>
      </c>
      <c r="D4378" s="12" t="inlineStr">
        <is>
          <t>Thermocouples</t>
        </is>
      </c>
      <c r="E4378" s="12" t="inlineStr"/>
      <c r="F4378" s="12" t="inlineStr">
        <is>
          <t>PCM: power control module</t>
        </is>
      </c>
      <c r="G4378" s="12" t="inlineStr"/>
      <c r="H4378" s="12" t="inlineStr">
        <is>
          <t>CONDITIONAL: BESS black-start alternative</t>
        </is>
      </c>
      <c r="I4378" s="12" t="inlineStr">
        <is>
          <t>Instrumentation</t>
        </is>
      </c>
      <c r="J4378" s="12" t="inlineStr">
        <is>
          <t>Thermocouple extension KX, #16 shielded pairs, PLTC</t>
        </is>
      </c>
      <c r="K4378" s="12" t="inlineStr">
        <is>
          <t>TCX|12 pr|16</t>
        </is>
      </c>
      <c r="L4378" s="12" t="inlineStr">
        <is>
          <t>12 pr</t>
        </is>
      </c>
      <c r="M4378" s="12" t="inlineStr">
        <is>
          <t>16</t>
        </is>
      </c>
      <c r="N4378" s="12" t="n">
        <v>1</v>
      </c>
      <c r="O4378" s="12" t="n">
        <v>1</v>
      </c>
      <c r="P4378" s="12" t="n"/>
      <c r="Q4378" s="12" t="n"/>
      <c r="R4378" s="12" t="n"/>
      <c r="S4378" s="12" t="inlineStr">
        <is>
          <t>Duct bank</t>
        </is>
      </c>
      <c r="T4378" s="17" t="n">
        <v>550</v>
      </c>
      <c r="U4378" s="17" t="n">
        <v>32</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I-I-0012</t>
        </is>
      </c>
      <c r="B4379" s="12" t="inlineStr">
        <is>
          <t>I</t>
        </is>
      </c>
      <c r="C4379" s="12" t="inlineStr">
        <is>
          <t>Modular / portable power</t>
        </is>
      </c>
      <c r="D4379" s="12" t="inlineStr">
        <is>
          <t>Thermocouples</t>
        </is>
      </c>
      <c r="E4379" s="12" t="inlineStr"/>
      <c r="F4379" s="12" t="inlineStr">
        <is>
          <t>PCM: power control module</t>
        </is>
      </c>
      <c r="G4379" s="12" t="inlineStr"/>
      <c r="H4379" s="12" t="inlineStr">
        <is>
          <t>CONDITIONAL: BESS black-start alternative</t>
        </is>
      </c>
      <c r="I4379" s="12" t="inlineStr">
        <is>
          <t>Instrumentation</t>
        </is>
      </c>
      <c r="J4379" s="12" t="inlineStr">
        <is>
          <t>Thermocouple extension KX, #16 shielded pairs, PLTC</t>
        </is>
      </c>
      <c r="K4379" s="12" t="inlineStr">
        <is>
          <t>TCX|12 pr|16</t>
        </is>
      </c>
      <c r="L4379" s="12" t="inlineStr">
        <is>
          <t>12 pr</t>
        </is>
      </c>
      <c r="M4379" s="12" t="inlineStr">
        <is>
          <t>16</t>
        </is>
      </c>
      <c r="N4379" s="12" t="n">
        <v>1</v>
      </c>
      <c r="O4379" s="12" t="n">
        <v>1</v>
      </c>
      <c r="P4379" s="12" t="n"/>
      <c r="Q4379" s="12" t="n"/>
      <c r="R4379" s="12" t="n"/>
      <c r="S4379" s="12" t="inlineStr">
        <is>
          <t>Duct bank</t>
        </is>
      </c>
      <c r="T4379" s="17" t="n">
        <v>550</v>
      </c>
      <c r="U4379" s="17" t="n">
        <v>32</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I-I-0013</t>
        </is>
      </c>
      <c r="B4380" s="12" t="inlineStr">
        <is>
          <t>I</t>
        </is>
      </c>
      <c r="C4380" s="12" t="inlineStr">
        <is>
          <t>Modular / portable power</t>
        </is>
      </c>
      <c r="D4380" s="12" t="inlineStr">
        <is>
          <t>Instrumentation</t>
        </is>
      </c>
      <c r="E4380" s="12" t="inlineStr"/>
      <c r="F4380" s="12" t="inlineStr">
        <is>
          <t>PCM: power control module</t>
        </is>
      </c>
      <c r="G4380" s="12" t="inlineStr"/>
      <c r="H4380" s="12" t="inlineStr">
        <is>
          <t>CONDITIONAL: SC-1 inlet chiller / evaporative cooler</t>
        </is>
      </c>
      <c r="I4380" s="12" t="inlineStr">
        <is>
          <t>Instrumentation</t>
        </is>
      </c>
      <c r="J4380" s="12" t="inlineStr">
        <is>
          <t>Instrumentation PLTC / TC-ER 300 V, #18 twisted shielded pairs, overall shield</t>
        </is>
      </c>
      <c r="K4380" s="12" t="inlineStr">
        <is>
          <t>PLTC|4 pr|18</t>
        </is>
      </c>
      <c r="L4380" s="12" t="inlineStr">
        <is>
          <t>4 pr</t>
        </is>
      </c>
      <c r="M4380" s="12" t="inlineStr">
        <is>
          <t>18</t>
        </is>
      </c>
      <c r="N4380" s="12" t="n">
        <v>1</v>
      </c>
      <c r="O4380" s="12" t="n">
        <v>1</v>
      </c>
      <c r="P4380" s="12" t="n"/>
      <c r="Q4380" s="12" t="n"/>
      <c r="R4380" s="12" t="n"/>
      <c r="S4380" s="12" t="inlineStr">
        <is>
          <t>Duct bank</t>
        </is>
      </c>
      <c r="T4380" s="17" t="n">
        <v>40</v>
      </c>
      <c r="U4380" s="17" t="n">
        <v>52</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I-I-0014</t>
        </is>
      </c>
      <c r="B4381" s="12" t="inlineStr">
        <is>
          <t>I</t>
        </is>
      </c>
      <c r="C4381" s="12" t="inlineStr">
        <is>
          <t>Modular / portable power</t>
        </is>
      </c>
      <c r="D4381" s="12" t="inlineStr">
        <is>
          <t>Thermocouples</t>
        </is>
      </c>
      <c r="E4381" s="12" t="inlineStr"/>
      <c r="F4381" s="12" t="inlineStr">
        <is>
          <t>PCM: power control module</t>
        </is>
      </c>
      <c r="G4381" s="12" t="inlineStr"/>
      <c r="H4381" s="12" t="inlineStr">
        <is>
          <t>CONDITIONAL: SC-1 inlet chiller / evaporative cooler</t>
        </is>
      </c>
      <c r="I4381" s="12" t="inlineStr">
        <is>
          <t>Instrumentation</t>
        </is>
      </c>
      <c r="J4381" s="12" t="inlineStr">
        <is>
          <t>Thermocouple extension KX, #16 shielded pairs, PLTC</t>
        </is>
      </c>
      <c r="K4381" s="12" t="inlineStr">
        <is>
          <t>TCX|12 pr|16</t>
        </is>
      </c>
      <c r="L4381" s="12" t="inlineStr">
        <is>
          <t>12 pr</t>
        </is>
      </c>
      <c r="M4381" s="12" t="inlineStr">
        <is>
          <t>16</t>
        </is>
      </c>
      <c r="N4381" s="12" t="n">
        <v>1</v>
      </c>
      <c r="O4381" s="12" t="n">
        <v>1</v>
      </c>
      <c r="P4381" s="12" t="n"/>
      <c r="Q4381" s="12" t="n"/>
      <c r="R4381" s="12" t="n"/>
      <c r="S4381" s="12" t="inlineStr">
        <is>
          <t>Duct bank</t>
        </is>
      </c>
      <c r="T4381" s="17" t="n">
        <v>40</v>
      </c>
      <c r="U4381" s="17" t="n">
        <v>52</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I-I-0015</t>
        </is>
      </c>
      <c r="B4382" s="12" t="inlineStr">
        <is>
          <t>I</t>
        </is>
      </c>
      <c r="C4382" s="12" t="inlineStr">
        <is>
          <t>Modular / portable power</t>
        </is>
      </c>
      <c r="D4382" s="12" t="inlineStr">
        <is>
          <t>Thermocouples</t>
        </is>
      </c>
      <c r="E4382" s="12" t="inlineStr"/>
      <c r="F4382" s="12" t="inlineStr">
        <is>
          <t>PCM: power control module</t>
        </is>
      </c>
      <c r="G4382" s="12" t="inlineStr"/>
      <c r="H4382" s="12" t="inlineStr">
        <is>
          <t>CONDITIONAL: SC-1 inlet chiller / evaporative cooler</t>
        </is>
      </c>
      <c r="I4382" s="12" t="inlineStr">
        <is>
          <t>Instrumentation</t>
        </is>
      </c>
      <c r="J4382" s="12" t="inlineStr">
        <is>
          <t>Thermocouple extension KX, #16 shielded pairs, PLTC</t>
        </is>
      </c>
      <c r="K4382" s="12" t="inlineStr">
        <is>
          <t>TCX|12 pr|16</t>
        </is>
      </c>
      <c r="L4382" s="12" t="inlineStr">
        <is>
          <t>12 pr</t>
        </is>
      </c>
      <c r="M4382" s="12" t="inlineStr">
        <is>
          <t>16</t>
        </is>
      </c>
      <c r="N4382" s="12" t="n">
        <v>1</v>
      </c>
      <c r="O4382" s="12" t="n">
        <v>1</v>
      </c>
      <c r="P4382" s="12" t="n"/>
      <c r="Q4382" s="12" t="n"/>
      <c r="R4382" s="12" t="n"/>
      <c r="S4382" s="12" t="inlineStr">
        <is>
          <t>Duct bank</t>
        </is>
      </c>
      <c r="T4382" s="17" t="n">
        <v>40</v>
      </c>
      <c r="U4382" s="17" t="n">
        <v>52</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I-I-0016</t>
        </is>
      </c>
      <c r="B4383" s="12" t="inlineStr">
        <is>
          <t>I</t>
        </is>
      </c>
      <c r="C4383" s="12" t="inlineStr">
        <is>
          <t>Modular / portable power</t>
        </is>
      </c>
      <c r="D4383" s="12" t="inlineStr">
        <is>
          <t>Instrumentation</t>
        </is>
      </c>
      <c r="E4383" s="12" t="inlineStr"/>
      <c r="F4383" s="12" t="inlineStr">
        <is>
          <t>PCM: power control module</t>
        </is>
      </c>
      <c r="G4383" s="12" t="inlineStr"/>
      <c r="H4383" s="12" t="inlineStr">
        <is>
          <t>CONDITIONAL: SC-2 inlet chiller / evaporative cooler</t>
        </is>
      </c>
      <c r="I4383" s="12" t="inlineStr">
        <is>
          <t>Instrumentation</t>
        </is>
      </c>
      <c r="J4383" s="12" t="inlineStr">
        <is>
          <t>Instrumentation PLTC / TC-ER 300 V, #18 twisted shielded pairs, overall shield</t>
        </is>
      </c>
      <c r="K4383" s="12" t="inlineStr">
        <is>
          <t>PLTC|4 pr|18</t>
        </is>
      </c>
      <c r="L4383" s="12" t="inlineStr">
        <is>
          <t>4 pr</t>
        </is>
      </c>
      <c r="M4383" s="12" t="inlineStr">
        <is>
          <t>18</t>
        </is>
      </c>
      <c r="N4383" s="12" t="n">
        <v>1</v>
      </c>
      <c r="O4383" s="12" t="n">
        <v>1</v>
      </c>
      <c r="P4383" s="12" t="n"/>
      <c r="Q4383" s="12" t="n"/>
      <c r="R4383" s="12" t="n"/>
      <c r="S4383" s="12" t="inlineStr">
        <is>
          <t>HV duct bank</t>
        </is>
      </c>
      <c r="T4383" s="17" t="n">
        <v>4486</v>
      </c>
      <c r="U4383" s="17" t="n">
        <v>38</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I-I-0017</t>
        </is>
      </c>
      <c r="B4384" s="12" t="inlineStr">
        <is>
          <t>I</t>
        </is>
      </c>
      <c r="C4384" s="12" t="inlineStr">
        <is>
          <t>Modular / portable power</t>
        </is>
      </c>
      <c r="D4384" s="12" t="inlineStr">
        <is>
          <t>Thermocouples</t>
        </is>
      </c>
      <c r="E4384" s="12" t="inlineStr"/>
      <c r="F4384" s="12" t="inlineStr">
        <is>
          <t>PCM: power control module</t>
        </is>
      </c>
      <c r="G4384" s="12" t="inlineStr"/>
      <c r="H4384" s="12" t="inlineStr">
        <is>
          <t>CONDITIONAL: SC-2 inlet chiller / evaporative cooler</t>
        </is>
      </c>
      <c r="I4384" s="12" t="inlineStr">
        <is>
          <t>Instrumentation</t>
        </is>
      </c>
      <c r="J4384" s="12" t="inlineStr">
        <is>
          <t>Thermocouple extension KX, #16 shielded pairs, PLTC</t>
        </is>
      </c>
      <c r="K4384" s="12" t="inlineStr">
        <is>
          <t>TCX|12 pr|16</t>
        </is>
      </c>
      <c r="L4384" s="12" t="inlineStr">
        <is>
          <t>12 pr</t>
        </is>
      </c>
      <c r="M4384" s="12" t="inlineStr">
        <is>
          <t>16</t>
        </is>
      </c>
      <c r="N4384" s="12" t="n">
        <v>1</v>
      </c>
      <c r="O4384" s="12" t="n">
        <v>1</v>
      </c>
      <c r="P4384" s="12" t="n"/>
      <c r="Q4384" s="12" t="n"/>
      <c r="R4384" s="12" t="n"/>
      <c r="S4384" s="12" t="inlineStr">
        <is>
          <t>HV duct bank</t>
        </is>
      </c>
      <c r="T4384" s="17" t="n">
        <v>4486</v>
      </c>
      <c r="U4384" s="17" t="n">
        <v>38</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I-I-0018</t>
        </is>
      </c>
      <c r="B4385" s="12" t="inlineStr">
        <is>
          <t>I</t>
        </is>
      </c>
      <c r="C4385" s="12" t="inlineStr">
        <is>
          <t>Modular / portable power</t>
        </is>
      </c>
      <c r="D4385" s="12" t="inlineStr">
        <is>
          <t>Thermocouples</t>
        </is>
      </c>
      <c r="E4385" s="12" t="inlineStr"/>
      <c r="F4385" s="12" t="inlineStr">
        <is>
          <t>PCM: power control module</t>
        </is>
      </c>
      <c r="G4385" s="12" t="inlineStr"/>
      <c r="H4385" s="12" t="inlineStr">
        <is>
          <t>CONDITIONAL: SC-2 inlet chiller / evaporative cooler</t>
        </is>
      </c>
      <c r="I4385" s="12" t="inlineStr">
        <is>
          <t>Instrumentation</t>
        </is>
      </c>
      <c r="J4385" s="12" t="inlineStr">
        <is>
          <t>Thermocouple extension KX, #16 shielded pairs, PLTC</t>
        </is>
      </c>
      <c r="K4385" s="12" t="inlineStr">
        <is>
          <t>TCX|12 pr|16</t>
        </is>
      </c>
      <c r="L4385" s="12" t="inlineStr">
        <is>
          <t>12 pr</t>
        </is>
      </c>
      <c r="M4385" s="12" t="inlineStr">
        <is>
          <t>16</t>
        </is>
      </c>
      <c r="N4385" s="12" t="n">
        <v>1</v>
      </c>
      <c r="O4385" s="12" t="n">
        <v>1</v>
      </c>
      <c r="P4385" s="12" t="n"/>
      <c r="Q4385" s="12" t="n"/>
      <c r="R4385" s="12" t="n"/>
      <c r="S4385" s="12" t="inlineStr">
        <is>
          <t>HV duct bank</t>
        </is>
      </c>
      <c r="T4385" s="17" t="n">
        <v>4486</v>
      </c>
      <c r="U4385" s="17" t="n">
        <v>38</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I-I-0019</t>
        </is>
      </c>
      <c r="B4386" s="12" t="inlineStr">
        <is>
          <t>I</t>
        </is>
      </c>
      <c r="C4386" s="12" t="inlineStr">
        <is>
          <t>Modular / portable power</t>
        </is>
      </c>
      <c r="D4386" s="12" t="inlineStr">
        <is>
          <t>Analog instrument to JB JB-CONT-1-AI01: 20 x 1 pr (field cables)</t>
        </is>
      </c>
      <c r="E4386" s="12" t="inlineStr">
        <is>
          <t>CONT-1</t>
        </is>
      </c>
      <c r="F4386" s="12" t="inlineStr">
        <is>
          <t>CONT-1: containerized genset 13.8 kV (40 ft)</t>
        </is>
      </c>
      <c r="G4386" s="12" t="inlineStr">
        <is>
          <t>JB-CONT-1-AI01</t>
        </is>
      </c>
      <c r="H4386" s="12" t="inlineStr">
        <is>
          <t>CONT-1: containerized genset 13.8 kV (40 ft)</t>
        </is>
      </c>
      <c r="I4386" s="12" t="inlineStr">
        <is>
          <t>Instrumentation</t>
        </is>
      </c>
      <c r="J4386" s="12" t="inlineStr">
        <is>
          <t>Instrumentation PLTC / TC-ER 300 V, #18 twisted shielded pairs, overall shield</t>
        </is>
      </c>
      <c r="K4386" s="12" t="inlineStr">
        <is>
          <t>PLTC|1 pr|16</t>
        </is>
      </c>
      <c r="L4386" s="12" t="inlineStr">
        <is>
          <t>1 pr</t>
        </is>
      </c>
      <c r="M4386" s="12" t="inlineStr">
        <is>
          <t>16</t>
        </is>
      </c>
      <c r="N4386" s="12" t="n">
        <v>20</v>
      </c>
      <c r="O4386" s="12" t="n">
        <v>1</v>
      </c>
      <c r="P4386" s="12" t="n"/>
      <c r="Q4386" s="12" t="n"/>
      <c r="R4386" s="12" t="n"/>
      <c r="S4386" s="12" t="inlineStr">
        <is>
          <t>Tray / conduit</t>
        </is>
      </c>
      <c r="T4386" s="17" t="n">
        <v>54</v>
      </c>
      <c r="U4386" s="17" t="n">
        <v>10</v>
      </c>
      <c r="V4386" s="17">
        <f>ROUNDUP((T4386+U4386+2*'Read Me'!$B$13)*(1+'Read Me'!$B$12),-1)</f>
        <v/>
      </c>
      <c r="W4386" s="17">
        <f>V4386*N4386*O4386</f>
        <v/>
      </c>
      <c r="X4386" s="12">
        <f>IF(LEFT(I4386,2)="MV",2*N4386*IF(L4386="1/C",O4386,1),0)</f>
        <v/>
      </c>
      <c r="Y4386" s="12">
        <f>IF(OR(LEFT(K4386,4)="LVAX",LEFT(K4386,6)="MV15AX",LEFT(K4386,4)="CTAX",LEFT(K4386,2)="W|"),2*N4386*O4386,0)</f>
        <v/>
      </c>
      <c r="Z4386" s="12" t="inlineStr">
        <is>
          <t>device-to-JB field wiring, one cable per device</t>
        </is>
      </c>
      <c r="AA4386" s="12">
        <f>N4386*O4386</f>
        <v/>
      </c>
    </row>
    <row r="4387">
      <c r="A4387" s="12" t="inlineStr">
        <is>
          <t>I-I-0020</t>
        </is>
      </c>
      <c r="B4387" s="12" t="inlineStr">
        <is>
          <t>I</t>
        </is>
      </c>
      <c r="C4387" s="12" t="inlineStr">
        <is>
          <t>Modular / portable power</t>
        </is>
      </c>
      <c r="D4387" s="12" t="inlineStr">
        <is>
          <t>Home run JB-CONT-1-AI01 to the control / marshalling room</t>
        </is>
      </c>
      <c r="E4387" s="12" t="inlineStr">
        <is>
          <t>PAD-EH</t>
        </is>
      </c>
      <c r="F4387" s="12" t="inlineStr">
        <is>
          <t>PAD-EH 13.8 kV switchgear e-house</t>
        </is>
      </c>
      <c r="G4387" s="12" t="inlineStr">
        <is>
          <t>JB-CONT-1-AI01</t>
        </is>
      </c>
      <c r="H4387" s="12" t="inlineStr">
        <is>
          <t>CONT-1: containerized genset 13.8 kV (40 ft)</t>
        </is>
      </c>
      <c r="I4387" s="12" t="inlineStr">
        <is>
          <t>Instrumentation</t>
        </is>
      </c>
      <c r="J4387" s="12" t="inlineStr">
        <is>
          <t>Instrumentation PLTC / TC-ER 300 V, #18 twisted shielded pairs, overall shield</t>
        </is>
      </c>
      <c r="K4387" s="12" t="inlineStr">
        <is>
          <t>PLTC|24 pr|18</t>
        </is>
      </c>
      <c r="L4387" s="12" t="inlineStr">
        <is>
          <t>24 pr</t>
        </is>
      </c>
      <c r="M4387" s="12" t="inlineStr">
        <is>
          <t>18</t>
        </is>
      </c>
      <c r="N4387" s="12" t="n">
        <v>1</v>
      </c>
      <c r="O4387" s="12" t="n">
        <v>1</v>
      </c>
      <c r="P4387" s="12" t="n"/>
      <c r="Q4387" s="12" t="n"/>
      <c r="R4387" s="12" t="n"/>
      <c r="S4387" s="12" t="inlineStr">
        <is>
          <t>Surface</t>
        </is>
      </c>
      <c r="T4387" s="17" t="n">
        <v>298</v>
      </c>
      <c r="U4387" s="17" t="n">
        <v>37</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I-I-0021</t>
        </is>
      </c>
      <c r="B4388" s="12" t="inlineStr">
        <is>
          <t>I</t>
        </is>
      </c>
      <c r="C4388" s="12" t="inlineStr">
        <is>
          <t>Modular / portable power</t>
        </is>
      </c>
      <c r="D4388" s="12" t="inlineStr">
        <is>
          <t>Discrete device to JB JB-CONT-1-DI01: 20 x 1 pr (field cables)</t>
        </is>
      </c>
      <c r="E4388" s="12" t="inlineStr">
        <is>
          <t>CONT-1</t>
        </is>
      </c>
      <c r="F4388" s="12" t="inlineStr">
        <is>
          <t>CONT-1: containerized genset 13.8 kV (40 ft)</t>
        </is>
      </c>
      <c r="G4388" s="12" t="inlineStr">
        <is>
          <t>JB-CONT-1-DI01</t>
        </is>
      </c>
      <c r="H4388" s="12" t="inlineStr">
        <is>
          <t>CONT-1: containerized genset 13.8 kV (40 ft)</t>
        </is>
      </c>
      <c r="I4388" s="12" t="inlineStr">
        <is>
          <t>Instrumentation</t>
        </is>
      </c>
      <c r="J4388" s="12" t="inlineStr">
        <is>
          <t>Instrumentation PLTC / TC-ER 300 V, #18 twisted shielded pairs, overall shield</t>
        </is>
      </c>
      <c r="K4388" s="12" t="inlineStr">
        <is>
          <t>PLTC|1 pr|16</t>
        </is>
      </c>
      <c r="L4388" s="12" t="inlineStr">
        <is>
          <t>1 pr</t>
        </is>
      </c>
      <c r="M4388" s="12" t="inlineStr">
        <is>
          <t>16</t>
        </is>
      </c>
      <c r="N4388" s="12" t="n">
        <v>20</v>
      </c>
      <c r="O4388" s="12" t="n">
        <v>1</v>
      </c>
      <c r="P4388" s="12" t="n"/>
      <c r="Q4388" s="12" t="n"/>
      <c r="R4388" s="12" t="n"/>
      <c r="S4388" s="12" t="inlineStr">
        <is>
          <t>Tray / conduit</t>
        </is>
      </c>
      <c r="T4388" s="17" t="n">
        <v>54</v>
      </c>
      <c r="U4388" s="17" t="n">
        <v>10</v>
      </c>
      <c r="V4388" s="17">
        <f>ROUNDUP((T4388+U4388+2*'Read Me'!$B$13)*(1+'Read Me'!$B$12),-1)</f>
        <v/>
      </c>
      <c r="W4388" s="17">
        <f>V4388*N4388*O4388</f>
        <v/>
      </c>
      <c r="X4388" s="12">
        <f>IF(LEFT(I4388,2)="MV",2*N4388*IF(L4388="1/C",O4388,1),0)</f>
        <v/>
      </c>
      <c r="Y4388" s="12">
        <f>IF(OR(LEFT(K4388,4)="LVAX",LEFT(K4388,6)="MV15AX",LEFT(K4388,4)="CTAX",LEFT(K4388,2)="W|"),2*N4388*O4388,0)</f>
        <v/>
      </c>
      <c r="Z4388" s="12" t="inlineStr">
        <is>
          <t>device-to-JB field wiring, one cable per device</t>
        </is>
      </c>
      <c r="AA4388" s="12">
        <f>N4388*O4388</f>
        <v/>
      </c>
    </row>
    <row r="4389">
      <c r="A4389" s="12" t="inlineStr">
        <is>
          <t>I-I-0022</t>
        </is>
      </c>
      <c r="B4389" s="12" t="inlineStr">
        <is>
          <t>I</t>
        </is>
      </c>
      <c r="C4389" s="12" t="inlineStr">
        <is>
          <t>Modular / portable power</t>
        </is>
      </c>
      <c r="D4389" s="12" t="inlineStr">
        <is>
          <t>Home run JB-CONT-1-DI01 to the control / marshalling room</t>
        </is>
      </c>
      <c r="E4389" s="12" t="inlineStr">
        <is>
          <t>PAD-EH</t>
        </is>
      </c>
      <c r="F4389" s="12" t="inlineStr">
        <is>
          <t>PAD-EH 13.8 kV switchgear e-house</t>
        </is>
      </c>
      <c r="G4389" s="12" t="inlineStr">
        <is>
          <t>JB-CONT-1-DI01</t>
        </is>
      </c>
      <c r="H4389" s="12" t="inlineStr">
        <is>
          <t>CONT-1: containerized genset 13.8 kV (40 ft)</t>
        </is>
      </c>
      <c r="I4389" s="12" t="inlineStr">
        <is>
          <t>Instrumentation</t>
        </is>
      </c>
      <c r="J4389" s="12" t="inlineStr">
        <is>
          <t>Instrumentation PLTC / TC-ER 300 V, #18 twisted shielded pairs, overall shield</t>
        </is>
      </c>
      <c r="K4389" s="12" t="inlineStr">
        <is>
          <t>PLTC|24 pr|18</t>
        </is>
      </c>
      <c r="L4389" s="12" t="inlineStr">
        <is>
          <t>24 pr</t>
        </is>
      </c>
      <c r="M4389" s="12" t="inlineStr">
        <is>
          <t>18</t>
        </is>
      </c>
      <c r="N4389" s="12" t="n">
        <v>1</v>
      </c>
      <c r="O4389" s="12" t="n">
        <v>1</v>
      </c>
      <c r="P4389" s="12" t="n"/>
      <c r="Q4389" s="12" t="n"/>
      <c r="R4389" s="12" t="n"/>
      <c r="S4389" s="12" t="inlineStr">
        <is>
          <t>Surface</t>
        </is>
      </c>
      <c r="T4389" s="17" t="n">
        <v>298</v>
      </c>
      <c r="U4389" s="17" t="n">
        <v>37</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I-I-0023</t>
        </is>
      </c>
      <c r="B4390" s="12" t="inlineStr">
        <is>
          <t>I</t>
        </is>
      </c>
      <c r="C4390" s="12" t="inlineStr">
        <is>
          <t>Modular / portable power</t>
        </is>
      </c>
      <c r="D4390" s="12" t="inlineStr">
        <is>
          <t>Analog instrument to JB JB-CONT-2-AI01: 20 x 1 pr (field cables)</t>
        </is>
      </c>
      <c r="E4390" s="12" t="inlineStr">
        <is>
          <t>CONT-2</t>
        </is>
      </c>
      <c r="F4390" s="12" t="inlineStr">
        <is>
          <t>CONT-2: containerized genset 13.8 kV (40 ft)</t>
        </is>
      </c>
      <c r="G4390" s="12" t="inlineStr">
        <is>
          <t>JB-CONT-2-AI01</t>
        </is>
      </c>
      <c r="H4390" s="12" t="inlineStr">
        <is>
          <t>CONT-2: containerized genset 13.8 kV (40 ft)</t>
        </is>
      </c>
      <c r="I4390" s="12" t="inlineStr">
        <is>
          <t>Instrumentation</t>
        </is>
      </c>
      <c r="J4390" s="12" t="inlineStr">
        <is>
          <t>Instrumentation PLTC / TC-ER 300 V, #18 twisted shielded pairs, overall shield</t>
        </is>
      </c>
      <c r="K4390" s="12" t="inlineStr">
        <is>
          <t>PLTC|1 pr|16</t>
        </is>
      </c>
      <c r="L4390" s="12" t="inlineStr">
        <is>
          <t>1 pr</t>
        </is>
      </c>
      <c r="M4390" s="12" t="inlineStr">
        <is>
          <t>16</t>
        </is>
      </c>
      <c r="N4390" s="12" t="n">
        <v>20</v>
      </c>
      <c r="O4390" s="12" t="n">
        <v>1</v>
      </c>
      <c r="P4390" s="12" t="n"/>
      <c r="Q4390" s="12" t="n"/>
      <c r="R4390" s="12" t="n"/>
      <c r="S4390" s="12" t="inlineStr">
        <is>
          <t>Tray / conduit</t>
        </is>
      </c>
      <c r="T4390" s="17" t="n">
        <v>54</v>
      </c>
      <c r="U4390" s="17" t="n">
        <v>10</v>
      </c>
      <c r="V4390" s="17">
        <f>ROUNDUP((T4390+U4390+2*'Read Me'!$B$13)*(1+'Read Me'!$B$12),-1)</f>
        <v/>
      </c>
      <c r="W4390" s="17">
        <f>V4390*N4390*O4390</f>
        <v/>
      </c>
      <c r="X4390" s="12">
        <f>IF(LEFT(I4390,2)="MV",2*N4390*IF(L4390="1/C",O4390,1),0)</f>
        <v/>
      </c>
      <c r="Y4390" s="12">
        <f>IF(OR(LEFT(K4390,4)="LVAX",LEFT(K4390,6)="MV15AX",LEFT(K4390,4)="CTAX",LEFT(K4390,2)="W|"),2*N4390*O4390,0)</f>
        <v/>
      </c>
      <c r="Z4390" s="12" t="inlineStr">
        <is>
          <t>device-to-JB field wiring, one cable per device</t>
        </is>
      </c>
      <c r="AA4390" s="12">
        <f>N4390*O4390</f>
        <v/>
      </c>
    </row>
    <row r="4391">
      <c r="A4391" s="12" t="inlineStr">
        <is>
          <t>I-I-0024</t>
        </is>
      </c>
      <c r="B4391" s="12" t="inlineStr">
        <is>
          <t>I</t>
        </is>
      </c>
      <c r="C4391" s="12" t="inlineStr">
        <is>
          <t>Modular / portable power</t>
        </is>
      </c>
      <c r="D4391" s="12" t="inlineStr">
        <is>
          <t>Home run JB-CONT-2-AI01 to the control / marshalling room</t>
        </is>
      </c>
      <c r="E4391" s="12" t="inlineStr">
        <is>
          <t>PAD-EH</t>
        </is>
      </c>
      <c r="F4391" s="12" t="inlineStr">
        <is>
          <t>PAD-EH 13.8 kV switchgear e-house</t>
        </is>
      </c>
      <c r="G4391" s="12" t="inlineStr">
        <is>
          <t>JB-CONT-2-AI01</t>
        </is>
      </c>
      <c r="H4391" s="12" t="inlineStr">
        <is>
          <t>CONT-2: containerized genset 13.8 kV (40 ft)</t>
        </is>
      </c>
      <c r="I4391" s="12" t="inlineStr">
        <is>
          <t>Instrumentation</t>
        </is>
      </c>
      <c r="J4391" s="12" t="inlineStr">
        <is>
          <t>Instrumentation PLTC / TC-ER 300 V, #18 twisted shielded pairs, overall shield</t>
        </is>
      </c>
      <c r="K4391" s="12" t="inlineStr">
        <is>
          <t>PLTC|24 pr|18</t>
        </is>
      </c>
      <c r="L4391" s="12" t="inlineStr">
        <is>
          <t>24 pr</t>
        </is>
      </c>
      <c r="M4391" s="12" t="inlineStr">
        <is>
          <t>18</t>
        </is>
      </c>
      <c r="N4391" s="12" t="n">
        <v>1</v>
      </c>
      <c r="O4391" s="12" t="n">
        <v>1</v>
      </c>
      <c r="P4391" s="12" t="n"/>
      <c r="Q4391" s="12" t="n"/>
      <c r="R4391" s="12" t="n"/>
      <c r="S4391" s="12" t="inlineStr">
        <is>
          <t>Surface</t>
        </is>
      </c>
      <c r="T4391" s="17" t="n">
        <v>267</v>
      </c>
      <c r="U4391" s="17" t="n">
        <v>37</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I-I-0025</t>
        </is>
      </c>
      <c r="B4392" s="12" t="inlineStr">
        <is>
          <t>I</t>
        </is>
      </c>
      <c r="C4392" s="12" t="inlineStr">
        <is>
          <t>Modular / portable power</t>
        </is>
      </c>
      <c r="D4392" s="12" t="inlineStr">
        <is>
          <t>Discrete device to JB JB-CONT-2-DI01: 20 x 1 pr (field cables)</t>
        </is>
      </c>
      <c r="E4392" s="12" t="inlineStr">
        <is>
          <t>CONT-2</t>
        </is>
      </c>
      <c r="F4392" s="12" t="inlineStr">
        <is>
          <t>CONT-2: containerized genset 13.8 kV (40 ft)</t>
        </is>
      </c>
      <c r="G4392" s="12" t="inlineStr">
        <is>
          <t>JB-CONT-2-DI01</t>
        </is>
      </c>
      <c r="H4392" s="12" t="inlineStr">
        <is>
          <t>CONT-2: containerized genset 13.8 kV (40 ft)</t>
        </is>
      </c>
      <c r="I4392" s="12" t="inlineStr">
        <is>
          <t>Instrumentation</t>
        </is>
      </c>
      <c r="J4392" s="12" t="inlineStr">
        <is>
          <t>Instrumentation PLTC / TC-ER 300 V, #18 twisted shielded pairs, overall shield</t>
        </is>
      </c>
      <c r="K4392" s="12" t="inlineStr">
        <is>
          <t>PLTC|1 pr|16</t>
        </is>
      </c>
      <c r="L4392" s="12" t="inlineStr">
        <is>
          <t>1 pr</t>
        </is>
      </c>
      <c r="M4392" s="12" t="inlineStr">
        <is>
          <t>16</t>
        </is>
      </c>
      <c r="N4392" s="12" t="n">
        <v>20</v>
      </c>
      <c r="O4392" s="12" t="n">
        <v>1</v>
      </c>
      <c r="P4392" s="12" t="n"/>
      <c r="Q4392" s="12" t="n"/>
      <c r="R4392" s="12" t="n"/>
      <c r="S4392" s="12" t="inlineStr">
        <is>
          <t>Tray / conduit</t>
        </is>
      </c>
      <c r="T4392" s="17" t="n">
        <v>54</v>
      </c>
      <c r="U4392" s="17" t="n">
        <v>10</v>
      </c>
      <c r="V4392" s="17">
        <f>ROUNDUP((T4392+U4392+2*'Read Me'!$B$13)*(1+'Read Me'!$B$12),-1)</f>
        <v/>
      </c>
      <c r="W4392" s="17">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I-I-0026</t>
        </is>
      </c>
      <c r="B4393" s="12" t="inlineStr">
        <is>
          <t>I</t>
        </is>
      </c>
      <c r="C4393" s="12" t="inlineStr">
        <is>
          <t>Modular / portable power</t>
        </is>
      </c>
      <c r="D4393" s="12" t="inlineStr">
        <is>
          <t>Home run JB-CONT-2-DI01 to the control / marshalling room</t>
        </is>
      </c>
      <c r="E4393" s="12" t="inlineStr">
        <is>
          <t>PAD-EH</t>
        </is>
      </c>
      <c r="F4393" s="12" t="inlineStr">
        <is>
          <t>PAD-EH 13.8 kV switchgear e-house</t>
        </is>
      </c>
      <c r="G4393" s="12" t="inlineStr">
        <is>
          <t>JB-CONT-2-DI01</t>
        </is>
      </c>
      <c r="H4393" s="12" t="inlineStr">
        <is>
          <t>CONT-2: containerized genset 13.8 kV (40 ft)</t>
        </is>
      </c>
      <c r="I4393" s="12" t="inlineStr">
        <is>
          <t>Instrumentation</t>
        </is>
      </c>
      <c r="J4393" s="12" t="inlineStr">
        <is>
          <t>Instrumentation PLTC / TC-ER 300 V, #18 twisted shielded pairs, overall shield</t>
        </is>
      </c>
      <c r="K4393" s="12" t="inlineStr">
        <is>
          <t>PLTC|24 pr|18</t>
        </is>
      </c>
      <c r="L4393" s="12" t="inlineStr">
        <is>
          <t>24 pr</t>
        </is>
      </c>
      <c r="M4393" s="12" t="inlineStr">
        <is>
          <t>18</t>
        </is>
      </c>
      <c r="N4393" s="12" t="n">
        <v>1</v>
      </c>
      <c r="O4393" s="12" t="n">
        <v>1</v>
      </c>
      <c r="P4393" s="12" t="n"/>
      <c r="Q4393" s="12" t="n"/>
      <c r="R4393" s="12" t="n"/>
      <c r="S4393" s="12" t="inlineStr">
        <is>
          <t>Surface</t>
        </is>
      </c>
      <c r="T4393" s="17" t="n">
        <v>267</v>
      </c>
      <c r="U4393" s="17" t="n">
        <v>37</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I-I-0027</t>
        </is>
      </c>
      <c r="B4394" s="12" t="inlineStr">
        <is>
          <t>I</t>
        </is>
      </c>
      <c r="C4394" s="12" t="inlineStr">
        <is>
          <t>Modular / portable power</t>
        </is>
      </c>
      <c r="D4394" s="12" t="inlineStr">
        <is>
          <t>Analog instrument to JB JB-CONT-3-AI01: 20 x 1 pr (field cables)</t>
        </is>
      </c>
      <c r="E4394" s="12" t="inlineStr">
        <is>
          <t>CONT-3</t>
        </is>
      </c>
      <c r="F4394" s="12" t="inlineStr">
        <is>
          <t>CONT-3: containerized gas genset 13.8 kV (40 ft)</t>
        </is>
      </c>
      <c r="G4394" s="12" t="inlineStr">
        <is>
          <t>JB-CONT-3-AI01</t>
        </is>
      </c>
      <c r="H4394" s="12" t="inlineStr">
        <is>
          <t>CONT-3: containerized gas genset 13.8 kV (40 ft)</t>
        </is>
      </c>
      <c r="I4394" s="12" t="inlineStr">
        <is>
          <t>Instrumentation</t>
        </is>
      </c>
      <c r="J4394" s="12" t="inlineStr">
        <is>
          <t>Instrumentation PLTC / TC-ER 300 V, #18 twisted shielded pairs, overall shield</t>
        </is>
      </c>
      <c r="K4394" s="12" t="inlineStr">
        <is>
          <t>PLTC|1 pr|16</t>
        </is>
      </c>
      <c r="L4394" s="12" t="inlineStr">
        <is>
          <t>1 pr</t>
        </is>
      </c>
      <c r="M4394" s="12" t="inlineStr">
        <is>
          <t>16</t>
        </is>
      </c>
      <c r="N4394" s="12" t="n">
        <v>20</v>
      </c>
      <c r="O4394" s="12" t="n">
        <v>1</v>
      </c>
      <c r="P4394" s="12" t="n"/>
      <c r="Q4394" s="12" t="n"/>
      <c r="R4394" s="12" t="n"/>
      <c r="S4394" s="12" t="inlineStr">
        <is>
          <t>Tray / conduit</t>
        </is>
      </c>
      <c r="T4394" s="17" t="n">
        <v>54</v>
      </c>
      <c r="U4394" s="17" t="n">
        <v>10</v>
      </c>
      <c r="V4394" s="17">
        <f>ROUNDUP((T4394+U4394+2*'Read Me'!$B$13)*(1+'Read Me'!$B$12),-1)</f>
        <v/>
      </c>
      <c r="W4394" s="17">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I-I-0028</t>
        </is>
      </c>
      <c r="B4395" s="12" t="inlineStr">
        <is>
          <t>I</t>
        </is>
      </c>
      <c r="C4395" s="12" t="inlineStr">
        <is>
          <t>Modular / portable power</t>
        </is>
      </c>
      <c r="D4395" s="12" t="inlineStr">
        <is>
          <t>Home run JB-CONT-3-AI01 to the control / marshalling room</t>
        </is>
      </c>
      <c r="E4395" s="12" t="inlineStr">
        <is>
          <t>PAD-EH</t>
        </is>
      </c>
      <c r="F4395" s="12" t="inlineStr">
        <is>
          <t>PAD-EH 13.8 kV switchgear e-house</t>
        </is>
      </c>
      <c r="G4395" s="12" t="inlineStr">
        <is>
          <t>JB-CONT-3-AI01</t>
        </is>
      </c>
      <c r="H4395" s="12" t="inlineStr">
        <is>
          <t>CONT-3: containerized gas genset 13.8 kV (40 ft)</t>
        </is>
      </c>
      <c r="I4395" s="12" t="inlineStr">
        <is>
          <t>Instrumentation</t>
        </is>
      </c>
      <c r="J4395" s="12" t="inlineStr">
        <is>
          <t>Instrumentation PLTC / TC-ER 300 V, #18 twisted shielded pairs, overall shield</t>
        </is>
      </c>
      <c r="K4395" s="12" t="inlineStr">
        <is>
          <t>PLTC|24 pr|18</t>
        </is>
      </c>
      <c r="L4395" s="12" t="inlineStr">
        <is>
          <t>24 pr</t>
        </is>
      </c>
      <c r="M4395" s="12" t="inlineStr">
        <is>
          <t>18</t>
        </is>
      </c>
      <c r="N4395" s="12" t="n">
        <v>1</v>
      </c>
      <c r="O4395" s="12" t="n">
        <v>1</v>
      </c>
      <c r="P4395" s="12" t="n"/>
      <c r="Q4395" s="12" t="n"/>
      <c r="R4395" s="12" t="n"/>
      <c r="S4395" s="12" t="inlineStr">
        <is>
          <t>Surface</t>
        </is>
      </c>
      <c r="T4395" s="17" t="n">
        <v>191</v>
      </c>
      <c r="U4395" s="17" t="n">
        <v>32</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I-I-0029</t>
        </is>
      </c>
      <c r="B4396" s="12" t="inlineStr">
        <is>
          <t>I</t>
        </is>
      </c>
      <c r="C4396" s="12" t="inlineStr">
        <is>
          <t>Modular / portable power</t>
        </is>
      </c>
      <c r="D4396" s="12" t="inlineStr">
        <is>
          <t>Discrete device to JB JB-CONT-3-DI01: 20 x 1 pr (field cables)</t>
        </is>
      </c>
      <c r="E4396" s="12" t="inlineStr">
        <is>
          <t>CONT-3</t>
        </is>
      </c>
      <c r="F4396" s="12" t="inlineStr">
        <is>
          <t>CONT-3: containerized gas genset 13.8 kV (40 ft)</t>
        </is>
      </c>
      <c r="G4396" s="12" t="inlineStr">
        <is>
          <t>JB-CONT-3-DI01</t>
        </is>
      </c>
      <c r="H4396" s="12" t="inlineStr">
        <is>
          <t>CONT-3: containerized gas genset 13.8 kV (40 ft)</t>
        </is>
      </c>
      <c r="I4396" s="12" t="inlineStr">
        <is>
          <t>Instrumentation</t>
        </is>
      </c>
      <c r="J4396" s="12" t="inlineStr">
        <is>
          <t>Instrumentation PLTC / TC-ER 300 V, #18 twisted shielded pairs, overall shield</t>
        </is>
      </c>
      <c r="K4396" s="12" t="inlineStr">
        <is>
          <t>PLTC|1 pr|16</t>
        </is>
      </c>
      <c r="L4396" s="12" t="inlineStr">
        <is>
          <t>1 pr</t>
        </is>
      </c>
      <c r="M4396" s="12" t="inlineStr">
        <is>
          <t>16</t>
        </is>
      </c>
      <c r="N4396" s="12" t="n">
        <v>20</v>
      </c>
      <c r="O4396" s="12" t="n">
        <v>1</v>
      </c>
      <c r="P4396" s="12" t="n"/>
      <c r="Q4396" s="12" t="n"/>
      <c r="R4396" s="12" t="n"/>
      <c r="S4396" s="12" t="inlineStr">
        <is>
          <t>Tray / conduit</t>
        </is>
      </c>
      <c r="T4396" s="17" t="n">
        <v>54</v>
      </c>
      <c r="U4396" s="17" t="n">
        <v>10</v>
      </c>
      <c r="V4396" s="17">
        <f>ROUNDUP((T4396+U4396+2*'Read Me'!$B$13)*(1+'Read Me'!$B$12),-1)</f>
        <v/>
      </c>
      <c r="W4396" s="17">
        <f>V4396*N4396*O4396</f>
        <v/>
      </c>
      <c r="X4396" s="12">
        <f>IF(LEFT(I4396,2)="MV",2*N4396*IF(L4396="1/C",O4396,1),0)</f>
        <v/>
      </c>
      <c r="Y4396" s="12">
        <f>IF(OR(LEFT(K4396,4)="LVAX",LEFT(K4396,6)="MV15AX",LEFT(K4396,4)="CTAX",LEFT(K4396,2)="W|"),2*N4396*O4396,0)</f>
        <v/>
      </c>
      <c r="Z4396" s="12" t="inlineStr">
        <is>
          <t>device-to-JB field wiring, one cable per device</t>
        </is>
      </c>
      <c r="AA4396" s="12">
        <f>N4396*O4396</f>
        <v/>
      </c>
    </row>
    <row r="4397">
      <c r="A4397" s="12" t="inlineStr">
        <is>
          <t>I-I-0030</t>
        </is>
      </c>
      <c r="B4397" s="12" t="inlineStr">
        <is>
          <t>I</t>
        </is>
      </c>
      <c r="C4397" s="12" t="inlineStr">
        <is>
          <t>Modular / portable power</t>
        </is>
      </c>
      <c r="D4397" s="12" t="inlineStr">
        <is>
          <t>Home run JB-CONT-3-DI01 to the control / marshalling room</t>
        </is>
      </c>
      <c r="E4397" s="12" t="inlineStr">
        <is>
          <t>PAD-EH</t>
        </is>
      </c>
      <c r="F4397" s="12" t="inlineStr">
        <is>
          <t>PAD-EH 13.8 kV switchgear e-house</t>
        </is>
      </c>
      <c r="G4397" s="12" t="inlineStr">
        <is>
          <t>JB-CONT-3-DI01</t>
        </is>
      </c>
      <c r="H4397" s="12" t="inlineStr">
        <is>
          <t>CONT-3: containerized gas genset 13.8 kV (40 ft)</t>
        </is>
      </c>
      <c r="I4397" s="12" t="inlineStr">
        <is>
          <t>Instrumentation</t>
        </is>
      </c>
      <c r="J4397" s="12" t="inlineStr">
        <is>
          <t>Instrumentation PLTC / TC-ER 300 V, #18 twisted shielded pairs, overall shield</t>
        </is>
      </c>
      <c r="K4397" s="12" t="inlineStr">
        <is>
          <t>PLTC|24 pr|18</t>
        </is>
      </c>
      <c r="L4397" s="12" t="inlineStr">
        <is>
          <t>24 pr</t>
        </is>
      </c>
      <c r="M4397" s="12" t="inlineStr">
        <is>
          <t>18</t>
        </is>
      </c>
      <c r="N4397" s="12" t="n">
        <v>1</v>
      </c>
      <c r="O4397" s="12" t="n">
        <v>1</v>
      </c>
      <c r="P4397" s="12" t="n"/>
      <c r="Q4397" s="12" t="n"/>
      <c r="R4397" s="12" t="n"/>
      <c r="S4397" s="12" t="inlineStr">
        <is>
          <t>Surface</t>
        </is>
      </c>
      <c r="T4397" s="17" t="n">
        <v>191</v>
      </c>
      <c r="U4397" s="17" t="n">
        <v>32</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I-I-0031</t>
        </is>
      </c>
      <c r="B4398" s="12" t="inlineStr">
        <is>
          <t>I</t>
        </is>
      </c>
      <c r="C4398" s="12" t="inlineStr">
        <is>
          <t>Modular / portable power</t>
        </is>
      </c>
      <c r="D4398" s="12" t="inlineStr">
        <is>
          <t>Analog instrument to JB JB-CONT-4-AI01: 20 x 1 pr (field cables)</t>
        </is>
      </c>
      <c r="E4398" s="12" t="inlineStr">
        <is>
          <t>CONT-4</t>
        </is>
      </c>
      <c r="F4398" s="12" t="inlineStr">
        <is>
          <t>CONT-4: containerized gas genset 13.8 kV (40 ft)</t>
        </is>
      </c>
      <c r="G4398" s="12" t="inlineStr">
        <is>
          <t>JB-CONT-4-AI01</t>
        </is>
      </c>
      <c r="H4398" s="12" t="inlineStr">
        <is>
          <t>CONT-4: containerized gas genset 13.8 kV (40 ft)</t>
        </is>
      </c>
      <c r="I4398" s="12" t="inlineStr">
        <is>
          <t>Instrumentation</t>
        </is>
      </c>
      <c r="J4398" s="12" t="inlineStr">
        <is>
          <t>Instrumentation PLTC / TC-ER 300 V, #18 twisted shielded pairs, overall shield</t>
        </is>
      </c>
      <c r="K4398" s="12" t="inlineStr">
        <is>
          <t>PLTC|1 pr|16</t>
        </is>
      </c>
      <c r="L4398" s="12" t="inlineStr">
        <is>
          <t>1 pr</t>
        </is>
      </c>
      <c r="M4398" s="12" t="inlineStr">
        <is>
          <t>16</t>
        </is>
      </c>
      <c r="N4398" s="12" t="n">
        <v>20</v>
      </c>
      <c r="O4398" s="12" t="n">
        <v>1</v>
      </c>
      <c r="P4398" s="12" t="n"/>
      <c r="Q4398" s="12" t="n"/>
      <c r="R4398" s="12" t="n"/>
      <c r="S4398" s="12" t="inlineStr">
        <is>
          <t>Tray / conduit</t>
        </is>
      </c>
      <c r="T4398" s="17" t="n">
        <v>54</v>
      </c>
      <c r="U4398" s="17" t="n">
        <v>10</v>
      </c>
      <c r="V4398" s="17">
        <f>ROUNDUP((T4398+U4398+2*'Read Me'!$B$13)*(1+'Read Me'!$B$12),-1)</f>
        <v/>
      </c>
      <c r="W4398" s="17">
        <f>V4398*N4398*O4398</f>
        <v/>
      </c>
      <c r="X4398" s="12">
        <f>IF(LEFT(I4398,2)="MV",2*N4398*IF(L4398="1/C",O4398,1),0)</f>
        <v/>
      </c>
      <c r="Y4398" s="12">
        <f>IF(OR(LEFT(K4398,4)="LVAX",LEFT(K4398,6)="MV15AX",LEFT(K4398,4)="CTAX",LEFT(K4398,2)="W|"),2*N4398*O4398,0)</f>
        <v/>
      </c>
      <c r="Z4398" s="12" t="inlineStr">
        <is>
          <t>device-to-JB field wiring, one cable per device</t>
        </is>
      </c>
      <c r="AA4398" s="12">
        <f>N4398*O4398</f>
        <v/>
      </c>
    </row>
    <row r="4399">
      <c r="A4399" s="12" t="inlineStr">
        <is>
          <t>I-I-0032</t>
        </is>
      </c>
      <c r="B4399" s="12" t="inlineStr">
        <is>
          <t>I</t>
        </is>
      </c>
      <c r="C4399" s="12" t="inlineStr">
        <is>
          <t>Modular / portable power</t>
        </is>
      </c>
      <c r="D4399" s="12" t="inlineStr">
        <is>
          <t>Home run JB-CONT-4-AI01 to the control / marshalling room</t>
        </is>
      </c>
      <c r="E4399" s="12" t="inlineStr">
        <is>
          <t>PAD-EH</t>
        </is>
      </c>
      <c r="F4399" s="12" t="inlineStr">
        <is>
          <t>PAD-EH 13.8 kV switchgear e-house</t>
        </is>
      </c>
      <c r="G4399" s="12" t="inlineStr">
        <is>
          <t>JB-CONT-4-AI01</t>
        </is>
      </c>
      <c r="H4399" s="12" t="inlineStr">
        <is>
          <t>CONT-4: containerized gas genset 13.8 kV (40 ft)</t>
        </is>
      </c>
      <c r="I4399" s="12" t="inlineStr">
        <is>
          <t>Instrumentation</t>
        </is>
      </c>
      <c r="J4399" s="12" t="inlineStr">
        <is>
          <t>Instrumentation PLTC / TC-ER 300 V, #18 twisted shielded pairs, overall shield</t>
        </is>
      </c>
      <c r="K4399" s="12" t="inlineStr">
        <is>
          <t>PLTC|24 pr|18</t>
        </is>
      </c>
      <c r="L4399" s="12" t="inlineStr">
        <is>
          <t>24 pr</t>
        </is>
      </c>
      <c r="M4399" s="12" t="inlineStr">
        <is>
          <t>18</t>
        </is>
      </c>
      <c r="N4399" s="12" t="n">
        <v>1</v>
      </c>
      <c r="O4399" s="12" t="n">
        <v>1</v>
      </c>
      <c r="P4399" s="12" t="n"/>
      <c r="Q4399" s="12" t="n"/>
      <c r="R4399" s="12" t="n"/>
      <c r="S4399" s="12" t="inlineStr">
        <is>
          <t>Duct bank</t>
        </is>
      </c>
      <c r="T4399" s="17" t="n">
        <v>62</v>
      </c>
      <c r="U4399" s="17" t="n">
        <v>81</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I-I-0033</t>
        </is>
      </c>
      <c r="B4400" s="12" t="inlineStr">
        <is>
          <t>I</t>
        </is>
      </c>
      <c r="C4400" s="12" t="inlineStr">
        <is>
          <t>Modular / portable power</t>
        </is>
      </c>
      <c r="D4400" s="12" t="inlineStr">
        <is>
          <t>Discrete device to JB JB-CONT-4-DI01: 20 x 1 pr (field cables)</t>
        </is>
      </c>
      <c r="E4400" s="12" t="inlineStr">
        <is>
          <t>CONT-4</t>
        </is>
      </c>
      <c r="F4400" s="12" t="inlineStr">
        <is>
          <t>CONT-4: containerized gas genset 13.8 kV (40 ft)</t>
        </is>
      </c>
      <c r="G4400" s="12" t="inlineStr">
        <is>
          <t>JB-CONT-4-DI01</t>
        </is>
      </c>
      <c r="H4400" s="12" t="inlineStr">
        <is>
          <t>CONT-4: containerized gas genset 13.8 kV (40 ft)</t>
        </is>
      </c>
      <c r="I4400" s="12" t="inlineStr">
        <is>
          <t>Instrumentation</t>
        </is>
      </c>
      <c r="J4400" s="12" t="inlineStr">
        <is>
          <t>Instrumentation PLTC / TC-ER 300 V, #18 twisted shielded pairs, overall shield</t>
        </is>
      </c>
      <c r="K4400" s="12" t="inlineStr">
        <is>
          <t>PLTC|1 pr|16</t>
        </is>
      </c>
      <c r="L4400" s="12" t="inlineStr">
        <is>
          <t>1 pr</t>
        </is>
      </c>
      <c r="M4400" s="12" t="inlineStr">
        <is>
          <t>16</t>
        </is>
      </c>
      <c r="N4400" s="12" t="n">
        <v>20</v>
      </c>
      <c r="O4400" s="12" t="n">
        <v>1</v>
      </c>
      <c r="P4400" s="12" t="n"/>
      <c r="Q4400" s="12" t="n"/>
      <c r="R4400" s="12" t="n"/>
      <c r="S4400" s="12" t="inlineStr">
        <is>
          <t>Tray / conduit</t>
        </is>
      </c>
      <c r="T4400" s="17" t="n">
        <v>54</v>
      </c>
      <c r="U4400" s="17" t="n">
        <v>10</v>
      </c>
      <c r="V4400" s="17">
        <f>ROUNDUP((T4400+U4400+2*'Read Me'!$B$13)*(1+'Read Me'!$B$12),-1)</f>
        <v/>
      </c>
      <c r="W4400" s="17">
        <f>V4400*N4400*O4400</f>
        <v/>
      </c>
      <c r="X4400" s="12">
        <f>IF(LEFT(I4400,2)="MV",2*N4400*IF(L4400="1/C",O4400,1),0)</f>
        <v/>
      </c>
      <c r="Y4400" s="12">
        <f>IF(OR(LEFT(K4400,4)="LVAX",LEFT(K4400,6)="MV15AX",LEFT(K4400,4)="CTAX",LEFT(K4400,2)="W|"),2*N4400*O4400,0)</f>
        <v/>
      </c>
      <c r="Z4400" s="12" t="inlineStr">
        <is>
          <t>device-to-JB field wiring, one cable per device</t>
        </is>
      </c>
      <c r="AA4400" s="12">
        <f>N4400*O4400</f>
        <v/>
      </c>
    </row>
    <row r="4401">
      <c r="A4401" s="12" t="inlineStr">
        <is>
          <t>I-I-0034</t>
        </is>
      </c>
      <c r="B4401" s="12" t="inlineStr">
        <is>
          <t>I</t>
        </is>
      </c>
      <c r="C4401" s="12" t="inlineStr">
        <is>
          <t>Modular / portable power</t>
        </is>
      </c>
      <c r="D4401" s="12" t="inlineStr">
        <is>
          <t>Home run JB-CONT-4-DI01 to the control / marshalling room</t>
        </is>
      </c>
      <c r="E4401" s="12" t="inlineStr">
        <is>
          <t>PAD-EH</t>
        </is>
      </c>
      <c r="F4401" s="12" t="inlineStr">
        <is>
          <t>PAD-EH 13.8 kV switchgear e-house</t>
        </is>
      </c>
      <c r="G4401" s="12" t="inlineStr">
        <is>
          <t>JB-CONT-4-DI01</t>
        </is>
      </c>
      <c r="H4401" s="12" t="inlineStr">
        <is>
          <t>CONT-4: containerized gas genset 13.8 kV (40 ft)</t>
        </is>
      </c>
      <c r="I4401" s="12" t="inlineStr">
        <is>
          <t>Instrumentation</t>
        </is>
      </c>
      <c r="J4401" s="12" t="inlineStr">
        <is>
          <t>Instrumentation PLTC / TC-ER 300 V, #18 twisted shielded pairs, overall shield</t>
        </is>
      </c>
      <c r="K4401" s="12" t="inlineStr">
        <is>
          <t>PLTC|24 pr|18</t>
        </is>
      </c>
      <c r="L4401" s="12" t="inlineStr">
        <is>
          <t>24 pr</t>
        </is>
      </c>
      <c r="M4401" s="12" t="inlineStr">
        <is>
          <t>18</t>
        </is>
      </c>
      <c r="N4401" s="12" t="n">
        <v>1</v>
      </c>
      <c r="O4401" s="12" t="n">
        <v>1</v>
      </c>
      <c r="P4401" s="12" t="n"/>
      <c r="Q4401" s="12" t="n"/>
      <c r="R4401" s="12" t="n"/>
      <c r="S4401" s="12" t="inlineStr">
        <is>
          <t>Duct bank</t>
        </is>
      </c>
      <c r="T4401" s="17" t="n">
        <v>62</v>
      </c>
      <c r="U4401" s="17" t="n">
        <v>81</v>
      </c>
      <c r="V4401" s="17">
        <f>ROUNDUP((T4401+U4401+2*'Read Me'!$B$13)*(1+'Read Me'!$B$12),-1)</f>
        <v/>
      </c>
      <c r="W4401" s="17">
        <f>V4401*N4401*O4401</f>
        <v/>
      </c>
      <c r="X4401" s="12">
        <f>IF(LEFT(I4401,2)="MV",2*N4401*IF(L4401="1/C",O4401,1),0)</f>
        <v/>
      </c>
      <c r="Y4401" s="12">
        <f>IF(OR(LEFT(K4401,4)="LVAX",LEFT(K4401,6)="MV15AX",LEFT(K4401,4)="CTAX",LEFT(K4401,2)="W|"),2*N4401*O4401,0)</f>
        <v/>
      </c>
      <c r="Z4401" s="12" t="inlineStr"/>
      <c r="AA4401" s="12">
        <f>N4401*O4401</f>
        <v/>
      </c>
    </row>
    <row r="4402">
      <c r="A4402" s="12" t="inlineStr">
        <is>
          <t>I-I-0035</t>
        </is>
      </c>
      <c r="B4402" s="12" t="inlineStr">
        <is>
          <t>I</t>
        </is>
      </c>
      <c r="C4402" s="12" t="inlineStr">
        <is>
          <t>Modular / portable power</t>
        </is>
      </c>
      <c r="D4402" s="12" t="inlineStr">
        <is>
          <t>Analog instrument to JB JB-CONT-5-AI01: 20 x 1 pr (field cables)</t>
        </is>
      </c>
      <c r="E4402" s="12" t="inlineStr">
        <is>
          <t>CONT-5</t>
        </is>
      </c>
      <c r="F4402" s="12" t="inlineStr">
        <is>
          <t>CONT-5: containerized gas genset 13.8 kV (40 ft)</t>
        </is>
      </c>
      <c r="G4402" s="12" t="inlineStr">
        <is>
          <t>JB-CONT-5-AI01</t>
        </is>
      </c>
      <c r="H4402" s="12" t="inlineStr">
        <is>
          <t>CONT-5: containerized gas genset 13.8 kV (40 ft)</t>
        </is>
      </c>
      <c r="I4402" s="12" t="inlineStr">
        <is>
          <t>Instrumentation</t>
        </is>
      </c>
      <c r="J4402" s="12" t="inlineStr">
        <is>
          <t>Instrumentation PLTC / TC-ER 300 V, #18 twisted shielded pairs, overall shield</t>
        </is>
      </c>
      <c r="K4402" s="12" t="inlineStr">
        <is>
          <t>PLTC|1 pr|16</t>
        </is>
      </c>
      <c r="L4402" s="12" t="inlineStr">
        <is>
          <t>1 pr</t>
        </is>
      </c>
      <c r="M4402" s="12" t="inlineStr">
        <is>
          <t>16</t>
        </is>
      </c>
      <c r="N4402" s="12" t="n">
        <v>20</v>
      </c>
      <c r="O4402" s="12" t="n">
        <v>1</v>
      </c>
      <c r="P4402" s="12" t="n"/>
      <c r="Q4402" s="12" t="n"/>
      <c r="R4402" s="12" t="n"/>
      <c r="S4402" s="12" t="inlineStr">
        <is>
          <t>Tray / conduit</t>
        </is>
      </c>
      <c r="T4402" s="17" t="n">
        <v>54</v>
      </c>
      <c r="U4402" s="17" t="n">
        <v>10</v>
      </c>
      <c r="V4402" s="17">
        <f>ROUNDUP((T4402+U4402+2*'Read Me'!$B$13)*(1+'Read Me'!$B$12),-1)</f>
        <v/>
      </c>
      <c r="W4402" s="17">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I-I-0036</t>
        </is>
      </c>
      <c r="B4403" s="12" t="inlineStr">
        <is>
          <t>I</t>
        </is>
      </c>
      <c r="C4403" s="12" t="inlineStr">
        <is>
          <t>Modular / portable power</t>
        </is>
      </c>
      <c r="D4403" s="12" t="inlineStr">
        <is>
          <t>Home run JB-CONT-5-AI01 to the control / marshalling room</t>
        </is>
      </c>
      <c r="E4403" s="12" t="inlineStr">
        <is>
          <t>PAD-EH</t>
        </is>
      </c>
      <c r="F4403" s="12" t="inlineStr">
        <is>
          <t>PAD-EH 13.8 kV switchgear e-house</t>
        </is>
      </c>
      <c r="G4403" s="12" t="inlineStr">
        <is>
          <t>JB-CONT-5-AI01</t>
        </is>
      </c>
      <c r="H4403" s="12" t="inlineStr">
        <is>
          <t>CONT-5: containerized gas genset 13.8 kV (40 ft)</t>
        </is>
      </c>
      <c r="I4403" s="12" t="inlineStr">
        <is>
          <t>Instrumentation</t>
        </is>
      </c>
      <c r="J4403" s="12" t="inlineStr">
        <is>
          <t>Instrumentation PLTC / TC-ER 300 V, #18 twisted shielded pairs, overall shield</t>
        </is>
      </c>
      <c r="K4403" s="12" t="inlineStr">
        <is>
          <t>PLTC|24 pr|18</t>
        </is>
      </c>
      <c r="L4403" s="12" t="inlineStr">
        <is>
          <t>24 pr</t>
        </is>
      </c>
      <c r="M4403" s="12" t="inlineStr">
        <is>
          <t>18</t>
        </is>
      </c>
      <c r="N4403" s="12" t="n">
        <v>1</v>
      </c>
      <c r="O4403" s="12" t="n">
        <v>1</v>
      </c>
      <c r="P4403" s="12" t="n"/>
      <c r="Q4403" s="12" t="n"/>
      <c r="R4403" s="12" t="n"/>
      <c r="S4403" s="12" t="inlineStr">
        <is>
          <t>Duct bank</t>
        </is>
      </c>
      <c r="T4403" s="17" t="n">
        <v>25</v>
      </c>
      <c r="U4403" s="17" t="n">
        <v>58</v>
      </c>
      <c r="V4403" s="17">
        <f>ROUNDUP((T4403+U4403+2*'Read Me'!$B$13)*(1+'Read Me'!$B$12),-1)</f>
        <v/>
      </c>
      <c r="W4403" s="17">
        <f>V4403*N4403*O4403</f>
        <v/>
      </c>
      <c r="X4403" s="12">
        <f>IF(LEFT(I4403,2)="MV",2*N4403*IF(L4403="1/C",O4403,1),0)</f>
        <v/>
      </c>
      <c r="Y4403" s="12">
        <f>IF(OR(LEFT(K4403,4)="LVAX",LEFT(K4403,6)="MV15AX",LEFT(K4403,4)="CTAX",LEFT(K4403,2)="W|"),2*N4403*O4403,0)</f>
        <v/>
      </c>
      <c r="Z4403" s="12" t="inlineStr"/>
      <c r="AA4403" s="12">
        <f>N4403*O4403</f>
        <v/>
      </c>
    </row>
    <row r="4404">
      <c r="A4404" s="12" t="inlineStr">
        <is>
          <t>I-I-0037</t>
        </is>
      </c>
      <c r="B4404" s="12" t="inlineStr">
        <is>
          <t>I</t>
        </is>
      </c>
      <c r="C4404" s="12" t="inlineStr">
        <is>
          <t>Modular / portable power</t>
        </is>
      </c>
      <c r="D4404" s="12" t="inlineStr">
        <is>
          <t>Discrete device to JB JB-CONT-5-DI01: 20 x 1 pr (field cables)</t>
        </is>
      </c>
      <c r="E4404" s="12" t="inlineStr">
        <is>
          <t>CONT-5</t>
        </is>
      </c>
      <c r="F4404" s="12" t="inlineStr">
        <is>
          <t>CONT-5: containerized gas genset 13.8 kV (40 ft)</t>
        </is>
      </c>
      <c r="G4404" s="12" t="inlineStr">
        <is>
          <t>JB-CONT-5-DI01</t>
        </is>
      </c>
      <c r="H4404" s="12" t="inlineStr">
        <is>
          <t>CONT-5: containerized gas genset 13.8 kV (40 ft)</t>
        </is>
      </c>
      <c r="I4404" s="12" t="inlineStr">
        <is>
          <t>Instrumentation</t>
        </is>
      </c>
      <c r="J4404" s="12" t="inlineStr">
        <is>
          <t>Instrumentation PLTC / TC-ER 300 V, #18 twisted shielded pairs, overall shield</t>
        </is>
      </c>
      <c r="K4404" s="12" t="inlineStr">
        <is>
          <t>PLTC|1 pr|16</t>
        </is>
      </c>
      <c r="L4404" s="12" t="inlineStr">
        <is>
          <t>1 pr</t>
        </is>
      </c>
      <c r="M4404" s="12" t="inlineStr">
        <is>
          <t>16</t>
        </is>
      </c>
      <c r="N4404" s="12" t="n">
        <v>20</v>
      </c>
      <c r="O4404" s="12" t="n">
        <v>1</v>
      </c>
      <c r="P4404" s="12" t="n"/>
      <c r="Q4404" s="12" t="n"/>
      <c r="R4404" s="12" t="n"/>
      <c r="S4404" s="12" t="inlineStr">
        <is>
          <t>Tray / conduit</t>
        </is>
      </c>
      <c r="T4404" s="17" t="n">
        <v>54</v>
      </c>
      <c r="U4404" s="17" t="n">
        <v>10</v>
      </c>
      <c r="V4404" s="17">
        <f>ROUNDUP((T4404+U4404+2*'Read Me'!$B$13)*(1+'Read Me'!$B$12),-1)</f>
        <v/>
      </c>
      <c r="W4404" s="17">
        <f>V4404*N4404*O4404</f>
        <v/>
      </c>
      <c r="X4404" s="12">
        <f>IF(LEFT(I4404,2)="MV",2*N4404*IF(L4404="1/C",O4404,1),0)</f>
        <v/>
      </c>
      <c r="Y4404" s="12">
        <f>IF(OR(LEFT(K4404,4)="LVAX",LEFT(K4404,6)="MV15AX",LEFT(K4404,4)="CTAX",LEFT(K4404,2)="W|"),2*N4404*O4404,0)</f>
        <v/>
      </c>
      <c r="Z4404" s="12" t="inlineStr">
        <is>
          <t>device-to-JB field wiring, one cable per device</t>
        </is>
      </c>
      <c r="AA4404" s="12">
        <f>N4404*O4404</f>
        <v/>
      </c>
    </row>
    <row r="4405">
      <c r="A4405" s="12" t="inlineStr">
        <is>
          <t>I-I-0038</t>
        </is>
      </c>
      <c r="B4405" s="12" t="inlineStr">
        <is>
          <t>I</t>
        </is>
      </c>
      <c r="C4405" s="12" t="inlineStr">
        <is>
          <t>Modular / portable power</t>
        </is>
      </c>
      <c r="D4405" s="12" t="inlineStr">
        <is>
          <t>Home run JB-CONT-5-DI01 to the control / marshalling room</t>
        </is>
      </c>
      <c r="E4405" s="12" t="inlineStr">
        <is>
          <t>PAD-EH</t>
        </is>
      </c>
      <c r="F4405" s="12" t="inlineStr">
        <is>
          <t>PAD-EH 13.8 kV switchgear e-house</t>
        </is>
      </c>
      <c r="G4405" s="12" t="inlineStr">
        <is>
          <t>JB-CONT-5-DI01</t>
        </is>
      </c>
      <c r="H4405" s="12" t="inlineStr">
        <is>
          <t>CONT-5: containerized gas genset 13.8 kV (40 ft)</t>
        </is>
      </c>
      <c r="I4405" s="12" t="inlineStr">
        <is>
          <t>Instrumentation</t>
        </is>
      </c>
      <c r="J4405" s="12" t="inlineStr">
        <is>
          <t>Instrumentation PLTC / TC-ER 300 V, #18 twisted shielded pairs, overall shield</t>
        </is>
      </c>
      <c r="K4405" s="12" t="inlineStr">
        <is>
          <t>PLTC|24 pr|18</t>
        </is>
      </c>
      <c r="L4405" s="12" t="inlineStr">
        <is>
          <t>24 pr</t>
        </is>
      </c>
      <c r="M4405" s="12" t="inlineStr">
        <is>
          <t>18</t>
        </is>
      </c>
      <c r="N4405" s="12" t="n">
        <v>1</v>
      </c>
      <c r="O4405" s="12" t="n">
        <v>1</v>
      </c>
      <c r="P4405" s="12" t="n"/>
      <c r="Q4405" s="12" t="n"/>
      <c r="R4405" s="12" t="n"/>
      <c r="S4405" s="12" t="inlineStr">
        <is>
          <t>Duct bank</t>
        </is>
      </c>
      <c r="T4405" s="17" t="n">
        <v>25</v>
      </c>
      <c r="U4405" s="17" t="n">
        <v>58</v>
      </c>
      <c r="V4405" s="17">
        <f>ROUNDUP((T4405+U4405+2*'Read Me'!$B$13)*(1+'Read Me'!$B$12),-1)</f>
        <v/>
      </c>
      <c r="W4405" s="17">
        <f>V4405*N4405*O4405</f>
        <v/>
      </c>
      <c r="X4405" s="12">
        <f>IF(LEFT(I4405,2)="MV",2*N4405*IF(L4405="1/C",O4405,1),0)</f>
        <v/>
      </c>
      <c r="Y4405" s="12">
        <f>IF(OR(LEFT(K4405,4)="LVAX",LEFT(K4405,6)="MV15AX",LEFT(K4405,4)="CTAX",LEFT(K4405,2)="W|"),2*N4405*O4405,0)</f>
        <v/>
      </c>
      <c r="Z4405" s="12" t="inlineStr"/>
      <c r="AA4405" s="12">
        <f>N4405*O4405</f>
        <v/>
      </c>
    </row>
    <row r="4406">
      <c r="A4406" s="12" t="inlineStr">
        <is>
          <t>I-I-0039</t>
        </is>
      </c>
      <c r="B4406" s="12" t="inlineStr">
        <is>
          <t>I</t>
        </is>
      </c>
      <c r="C4406" s="12" t="inlineStr">
        <is>
          <t>Modular / portable power</t>
        </is>
      </c>
      <c r="D4406" s="12" t="inlineStr">
        <is>
          <t>Analog instrument to JB JB-CONT-6-AI01: 20 x 1 pr (field cables)</t>
        </is>
      </c>
      <c r="E4406" s="12" t="inlineStr">
        <is>
          <t>CONT-6</t>
        </is>
      </c>
      <c r="F4406" s="12" t="inlineStr">
        <is>
          <t>CONT-6: containerized gas genset 13.8 kV (40 ft)</t>
        </is>
      </c>
      <c r="G4406" s="12" t="inlineStr">
        <is>
          <t>JB-CONT-6-AI01</t>
        </is>
      </c>
      <c r="H4406" s="12" t="inlineStr">
        <is>
          <t>CONT-6: containerized gas genset 13.8 kV (40 ft)</t>
        </is>
      </c>
      <c r="I4406" s="12" t="inlineStr">
        <is>
          <t>Instrumentation</t>
        </is>
      </c>
      <c r="J4406" s="12" t="inlineStr">
        <is>
          <t>Instrumentation PLTC / TC-ER 300 V, #18 twisted shielded pairs, overall shield</t>
        </is>
      </c>
      <c r="K4406" s="12" t="inlineStr">
        <is>
          <t>PLTC|1 pr|16</t>
        </is>
      </c>
      <c r="L4406" s="12" t="inlineStr">
        <is>
          <t>1 pr</t>
        </is>
      </c>
      <c r="M4406" s="12" t="inlineStr">
        <is>
          <t>16</t>
        </is>
      </c>
      <c r="N4406" s="12" t="n">
        <v>20</v>
      </c>
      <c r="O4406" s="12" t="n">
        <v>1</v>
      </c>
      <c r="P4406" s="12" t="n"/>
      <c r="Q4406" s="12" t="n"/>
      <c r="R4406" s="12" t="n"/>
      <c r="S4406" s="12" t="inlineStr">
        <is>
          <t>Tray / conduit</t>
        </is>
      </c>
      <c r="T4406" s="17" t="n">
        <v>54</v>
      </c>
      <c r="U4406" s="17" t="n">
        <v>10</v>
      </c>
      <c r="V4406" s="17">
        <f>ROUNDUP((T4406+U4406+2*'Read Me'!$B$13)*(1+'Read Me'!$B$12),-1)</f>
        <v/>
      </c>
      <c r="W4406" s="17">
        <f>V4406*N4406*O4406</f>
        <v/>
      </c>
      <c r="X4406" s="12">
        <f>IF(LEFT(I4406,2)="MV",2*N4406*IF(L4406="1/C",O4406,1),0)</f>
        <v/>
      </c>
      <c r="Y4406" s="12">
        <f>IF(OR(LEFT(K4406,4)="LVAX",LEFT(K4406,6)="MV15AX",LEFT(K4406,4)="CTAX",LEFT(K4406,2)="W|"),2*N4406*O4406,0)</f>
        <v/>
      </c>
      <c r="Z4406" s="12" t="inlineStr">
        <is>
          <t>device-to-JB field wiring, one cable per device</t>
        </is>
      </c>
      <c r="AA4406" s="12">
        <f>N4406*O4406</f>
        <v/>
      </c>
    </row>
    <row r="4407">
      <c r="A4407" s="12" t="inlineStr">
        <is>
          <t>I-I-0040</t>
        </is>
      </c>
      <c r="B4407" s="12" t="inlineStr">
        <is>
          <t>I</t>
        </is>
      </c>
      <c r="C4407" s="12" t="inlineStr">
        <is>
          <t>Modular / portable power</t>
        </is>
      </c>
      <c r="D4407" s="12" t="inlineStr">
        <is>
          <t>Home run JB-CONT-6-AI01 to the control / marshalling room</t>
        </is>
      </c>
      <c r="E4407" s="12" t="inlineStr">
        <is>
          <t>PAD-EH</t>
        </is>
      </c>
      <c r="F4407" s="12" t="inlineStr">
        <is>
          <t>PAD-EH 13.8 kV switchgear e-house</t>
        </is>
      </c>
      <c r="G4407" s="12" t="inlineStr">
        <is>
          <t>JB-CONT-6-AI01</t>
        </is>
      </c>
      <c r="H4407" s="12" t="inlineStr">
        <is>
          <t>CONT-6: containerized gas genset 13.8 kV (40 ft)</t>
        </is>
      </c>
      <c r="I4407" s="12" t="inlineStr">
        <is>
          <t>Instrumentation</t>
        </is>
      </c>
      <c r="J4407" s="12" t="inlineStr">
        <is>
          <t>Instrumentation PLTC / TC-ER 300 V, #18 twisted shielded pairs, overall shield</t>
        </is>
      </c>
      <c r="K4407" s="12" t="inlineStr">
        <is>
          <t>PLTC|24 pr|18</t>
        </is>
      </c>
      <c r="L4407" s="12" t="inlineStr">
        <is>
          <t>24 pr</t>
        </is>
      </c>
      <c r="M4407" s="12" t="inlineStr">
        <is>
          <t>18</t>
        </is>
      </c>
      <c r="N4407" s="12" t="n">
        <v>1</v>
      </c>
      <c r="O4407" s="12" t="n">
        <v>1</v>
      </c>
      <c r="P4407" s="12" t="n"/>
      <c r="Q4407" s="12" t="n"/>
      <c r="R4407" s="12" t="n"/>
      <c r="S4407" s="12" t="inlineStr">
        <is>
          <t>Surface</t>
        </is>
      </c>
      <c r="T4407" s="17" t="n">
        <v>228</v>
      </c>
      <c r="U4407" s="17" t="n">
        <v>46</v>
      </c>
      <c r="V4407" s="17">
        <f>ROUNDUP((T4407+U4407+2*'Read Me'!$B$13)*(1+'Read Me'!$B$12),-1)</f>
        <v/>
      </c>
      <c r="W4407" s="17">
        <f>V4407*N4407*O4407</f>
        <v/>
      </c>
      <c r="X4407" s="12">
        <f>IF(LEFT(I4407,2)="MV",2*N4407*IF(L4407="1/C",O4407,1),0)</f>
        <v/>
      </c>
      <c r="Y4407" s="12">
        <f>IF(OR(LEFT(K4407,4)="LVAX",LEFT(K4407,6)="MV15AX",LEFT(K4407,4)="CTAX",LEFT(K4407,2)="W|"),2*N4407*O4407,0)</f>
        <v/>
      </c>
      <c r="Z4407" s="12" t="inlineStr"/>
      <c r="AA4407" s="12">
        <f>N4407*O4407</f>
        <v/>
      </c>
    </row>
    <row r="4408">
      <c r="A4408" s="12" t="inlineStr">
        <is>
          <t>I-I-0041</t>
        </is>
      </c>
      <c r="B4408" s="12" t="inlineStr">
        <is>
          <t>I</t>
        </is>
      </c>
      <c r="C4408" s="12" t="inlineStr">
        <is>
          <t>Modular / portable power</t>
        </is>
      </c>
      <c r="D4408" s="12" t="inlineStr">
        <is>
          <t>Discrete device to JB JB-CONT-6-DI01: 20 x 1 pr (field cables)</t>
        </is>
      </c>
      <c r="E4408" s="12" t="inlineStr">
        <is>
          <t>CONT-6</t>
        </is>
      </c>
      <c r="F4408" s="12" t="inlineStr">
        <is>
          <t>CONT-6: containerized gas genset 13.8 kV (40 ft)</t>
        </is>
      </c>
      <c r="G4408" s="12" t="inlineStr">
        <is>
          <t>JB-CONT-6-DI01</t>
        </is>
      </c>
      <c r="H4408" s="12" t="inlineStr">
        <is>
          <t>CONT-6: containerized gas genset 13.8 kV (40 ft)</t>
        </is>
      </c>
      <c r="I4408" s="12" t="inlineStr">
        <is>
          <t>Instrumentation</t>
        </is>
      </c>
      <c r="J4408" s="12" t="inlineStr">
        <is>
          <t>Instrumentation PLTC / TC-ER 300 V, #18 twisted shielded pairs, overall shield</t>
        </is>
      </c>
      <c r="K4408" s="12" t="inlineStr">
        <is>
          <t>PLTC|1 pr|16</t>
        </is>
      </c>
      <c r="L4408" s="12" t="inlineStr">
        <is>
          <t>1 pr</t>
        </is>
      </c>
      <c r="M4408" s="12" t="inlineStr">
        <is>
          <t>16</t>
        </is>
      </c>
      <c r="N4408" s="12" t="n">
        <v>20</v>
      </c>
      <c r="O4408" s="12" t="n">
        <v>1</v>
      </c>
      <c r="P4408" s="12" t="n"/>
      <c r="Q4408" s="12" t="n"/>
      <c r="R4408" s="12" t="n"/>
      <c r="S4408" s="12" t="inlineStr">
        <is>
          <t>Tray / conduit</t>
        </is>
      </c>
      <c r="T4408" s="17" t="n">
        <v>54</v>
      </c>
      <c r="U4408" s="17" t="n">
        <v>10</v>
      </c>
      <c r="V4408" s="17">
        <f>ROUNDUP((T4408+U4408+2*'Read Me'!$B$13)*(1+'Read Me'!$B$12),-1)</f>
        <v/>
      </c>
      <c r="W4408" s="17">
        <f>V4408*N4408*O4408</f>
        <v/>
      </c>
      <c r="X4408" s="12">
        <f>IF(LEFT(I4408,2)="MV",2*N4408*IF(L4408="1/C",O4408,1),0)</f>
        <v/>
      </c>
      <c r="Y4408" s="12">
        <f>IF(OR(LEFT(K4408,4)="LVAX",LEFT(K4408,6)="MV15AX",LEFT(K4408,4)="CTAX",LEFT(K4408,2)="W|"),2*N4408*O4408,0)</f>
        <v/>
      </c>
      <c r="Z4408" s="12" t="inlineStr">
        <is>
          <t>device-to-JB field wiring, one cable per device</t>
        </is>
      </c>
      <c r="AA4408" s="12">
        <f>N4408*O4408</f>
        <v/>
      </c>
    </row>
    <row r="4409">
      <c r="A4409" s="12" t="inlineStr">
        <is>
          <t>I-I-0042</t>
        </is>
      </c>
      <c r="B4409" s="12" t="inlineStr">
        <is>
          <t>I</t>
        </is>
      </c>
      <c r="C4409" s="12" t="inlineStr">
        <is>
          <t>Modular / portable power</t>
        </is>
      </c>
      <c r="D4409" s="12" t="inlineStr">
        <is>
          <t>Home run JB-CONT-6-DI01 to the control / marshalling room</t>
        </is>
      </c>
      <c r="E4409" s="12" t="inlineStr">
        <is>
          <t>PAD-EH</t>
        </is>
      </c>
      <c r="F4409" s="12" t="inlineStr">
        <is>
          <t>PAD-EH 13.8 kV switchgear e-house</t>
        </is>
      </c>
      <c r="G4409" s="12" t="inlineStr">
        <is>
          <t>JB-CONT-6-DI01</t>
        </is>
      </c>
      <c r="H4409" s="12" t="inlineStr">
        <is>
          <t>CONT-6: containerized gas genset 13.8 kV (40 ft)</t>
        </is>
      </c>
      <c r="I4409" s="12" t="inlineStr">
        <is>
          <t>Instrumentation</t>
        </is>
      </c>
      <c r="J4409" s="12" t="inlineStr">
        <is>
          <t>Instrumentation PLTC / TC-ER 300 V, #18 twisted shielded pairs, overall shield</t>
        </is>
      </c>
      <c r="K4409" s="12" t="inlineStr">
        <is>
          <t>PLTC|24 pr|18</t>
        </is>
      </c>
      <c r="L4409" s="12" t="inlineStr">
        <is>
          <t>24 pr</t>
        </is>
      </c>
      <c r="M4409" s="12" t="inlineStr">
        <is>
          <t>18</t>
        </is>
      </c>
      <c r="N4409" s="12" t="n">
        <v>1</v>
      </c>
      <c r="O4409" s="12" t="n">
        <v>1</v>
      </c>
      <c r="P4409" s="12" t="n"/>
      <c r="Q4409" s="12" t="n"/>
      <c r="R4409" s="12" t="n"/>
      <c r="S4409" s="12" t="inlineStr">
        <is>
          <t>Surface</t>
        </is>
      </c>
      <c r="T4409" s="17" t="n">
        <v>228</v>
      </c>
      <c r="U4409" s="17" t="n">
        <v>46</v>
      </c>
      <c r="V4409" s="17">
        <f>ROUNDUP((T4409+U4409+2*'Read Me'!$B$13)*(1+'Read Me'!$B$12),-1)</f>
        <v/>
      </c>
      <c r="W4409" s="17">
        <f>V4409*N4409*O4409</f>
        <v/>
      </c>
      <c r="X4409" s="12">
        <f>IF(LEFT(I4409,2)="MV",2*N4409*IF(L4409="1/C",O4409,1),0)</f>
        <v/>
      </c>
      <c r="Y4409" s="12">
        <f>IF(OR(LEFT(K4409,4)="LVAX",LEFT(K4409,6)="MV15AX",LEFT(K4409,4)="CTAX",LEFT(K4409,2)="W|"),2*N4409*O4409,0)</f>
        <v/>
      </c>
      <c r="Z4409" s="12" t="inlineStr"/>
      <c r="AA4409" s="12">
        <f>N4409*O4409</f>
        <v/>
      </c>
    </row>
    <row r="4410">
      <c r="A4410" s="12" t="inlineStr">
        <is>
          <t>I-I-0043</t>
        </is>
      </c>
      <c r="B4410" s="12" t="inlineStr">
        <is>
          <t>I</t>
        </is>
      </c>
      <c r="C4410" s="12" t="inlineStr">
        <is>
          <t>Modular / portable power</t>
        </is>
      </c>
      <c r="D4410" s="12" t="inlineStr">
        <is>
          <t>Analog instrument to JB JB-CONT-7-AI01: 20 x 1 pr (field cables)</t>
        </is>
      </c>
      <c r="E4410" s="12" t="inlineStr">
        <is>
          <t>CONT-7</t>
        </is>
      </c>
      <c r="F4410" s="12" t="inlineStr">
        <is>
          <t>CONT-7: containerized gas genset 13.8 kV (40 ft)</t>
        </is>
      </c>
      <c r="G4410" s="12" t="inlineStr">
        <is>
          <t>JB-CONT-7-AI01</t>
        </is>
      </c>
      <c r="H4410" s="12" t="inlineStr">
        <is>
          <t>CONT-7: containerized gas genset 13.8 kV (40 ft)</t>
        </is>
      </c>
      <c r="I4410" s="12" t="inlineStr">
        <is>
          <t>Instrumentation</t>
        </is>
      </c>
      <c r="J4410" s="12" t="inlineStr">
        <is>
          <t>Instrumentation PLTC / TC-ER 300 V, #18 twisted shielded pairs, overall shield</t>
        </is>
      </c>
      <c r="K4410" s="12" t="inlineStr">
        <is>
          <t>PLTC|1 pr|16</t>
        </is>
      </c>
      <c r="L4410" s="12" t="inlineStr">
        <is>
          <t>1 pr</t>
        </is>
      </c>
      <c r="M4410" s="12" t="inlineStr">
        <is>
          <t>16</t>
        </is>
      </c>
      <c r="N4410" s="12" t="n">
        <v>20</v>
      </c>
      <c r="O4410" s="12" t="n">
        <v>1</v>
      </c>
      <c r="P4410" s="12" t="n"/>
      <c r="Q4410" s="12" t="n"/>
      <c r="R4410" s="12" t="n"/>
      <c r="S4410" s="12" t="inlineStr">
        <is>
          <t>Tray / conduit</t>
        </is>
      </c>
      <c r="T4410" s="17" t="n">
        <v>54</v>
      </c>
      <c r="U4410" s="17" t="n">
        <v>10</v>
      </c>
      <c r="V4410" s="17">
        <f>ROUNDUP((T4410+U4410+2*'Read Me'!$B$13)*(1+'Read Me'!$B$12),-1)</f>
        <v/>
      </c>
      <c r="W4410" s="17">
        <f>V4410*N4410*O4410</f>
        <v/>
      </c>
      <c r="X4410" s="12">
        <f>IF(LEFT(I4410,2)="MV",2*N4410*IF(L4410="1/C",O4410,1),0)</f>
        <v/>
      </c>
      <c r="Y4410" s="12">
        <f>IF(OR(LEFT(K4410,4)="LVAX",LEFT(K4410,6)="MV15AX",LEFT(K4410,4)="CTAX",LEFT(K4410,2)="W|"),2*N4410*O4410,0)</f>
        <v/>
      </c>
      <c r="Z4410" s="12" t="inlineStr">
        <is>
          <t>device-to-JB field wiring, one cable per device</t>
        </is>
      </c>
      <c r="AA4410" s="12">
        <f>N4410*O4410</f>
        <v/>
      </c>
    </row>
    <row r="4411">
      <c r="A4411" s="12" t="inlineStr">
        <is>
          <t>I-I-0044</t>
        </is>
      </c>
      <c r="B4411" s="12" t="inlineStr">
        <is>
          <t>I</t>
        </is>
      </c>
      <c r="C4411" s="12" t="inlineStr">
        <is>
          <t>Modular / portable power</t>
        </is>
      </c>
      <c r="D4411" s="12" t="inlineStr">
        <is>
          <t>Home run JB-CONT-7-AI01 to the control / marshalling room</t>
        </is>
      </c>
      <c r="E4411" s="12" t="inlineStr">
        <is>
          <t>PAD-EH</t>
        </is>
      </c>
      <c r="F4411" s="12" t="inlineStr">
        <is>
          <t>PAD-EH 13.8 kV switchgear e-house</t>
        </is>
      </c>
      <c r="G4411" s="12" t="inlineStr">
        <is>
          <t>JB-CONT-7-AI01</t>
        </is>
      </c>
      <c r="H4411" s="12" t="inlineStr">
        <is>
          <t>CONT-7: containerized gas genset 13.8 kV (40 ft)</t>
        </is>
      </c>
      <c r="I4411" s="12" t="inlineStr">
        <is>
          <t>Instrumentation</t>
        </is>
      </c>
      <c r="J4411" s="12" t="inlineStr">
        <is>
          <t>Instrumentation PLTC / TC-ER 300 V, #18 twisted shielded pairs, overall shield</t>
        </is>
      </c>
      <c r="K4411" s="12" t="inlineStr">
        <is>
          <t>PLTC|24 pr|18</t>
        </is>
      </c>
      <c r="L4411" s="12" t="inlineStr">
        <is>
          <t>24 pr</t>
        </is>
      </c>
      <c r="M4411" s="12" t="inlineStr">
        <is>
          <t>18</t>
        </is>
      </c>
      <c r="N4411" s="12" t="n">
        <v>1</v>
      </c>
      <c r="O4411" s="12" t="n">
        <v>1</v>
      </c>
      <c r="P4411" s="12" t="n"/>
      <c r="Q4411" s="12" t="n"/>
      <c r="R4411" s="12" t="n"/>
      <c r="S4411" s="12" t="inlineStr">
        <is>
          <t>Surface</t>
        </is>
      </c>
      <c r="T4411" s="17" t="n">
        <v>228</v>
      </c>
      <c r="U4411" s="17" t="n">
        <v>46</v>
      </c>
      <c r="V4411" s="17">
        <f>ROUNDUP((T4411+U4411+2*'Read Me'!$B$13)*(1+'Read Me'!$B$12),-1)</f>
        <v/>
      </c>
      <c r="W4411" s="17">
        <f>V4411*N4411*O4411</f>
        <v/>
      </c>
      <c r="X4411" s="12">
        <f>IF(LEFT(I4411,2)="MV",2*N4411*IF(L4411="1/C",O4411,1),0)</f>
        <v/>
      </c>
      <c r="Y4411" s="12">
        <f>IF(OR(LEFT(K4411,4)="LVAX",LEFT(K4411,6)="MV15AX",LEFT(K4411,4)="CTAX",LEFT(K4411,2)="W|"),2*N4411*O4411,0)</f>
        <v/>
      </c>
      <c r="Z4411" s="12" t="inlineStr"/>
      <c r="AA4411" s="12">
        <f>N4411*O4411</f>
        <v/>
      </c>
    </row>
    <row r="4412">
      <c r="A4412" s="12" t="inlineStr">
        <is>
          <t>I-I-0045</t>
        </is>
      </c>
      <c r="B4412" s="12" t="inlineStr">
        <is>
          <t>I</t>
        </is>
      </c>
      <c r="C4412" s="12" t="inlineStr">
        <is>
          <t>Modular / portable power</t>
        </is>
      </c>
      <c r="D4412" s="12" t="inlineStr">
        <is>
          <t>Discrete device to JB JB-CONT-7-DI01: 20 x 1 pr (field cables)</t>
        </is>
      </c>
      <c r="E4412" s="12" t="inlineStr">
        <is>
          <t>CONT-7</t>
        </is>
      </c>
      <c r="F4412" s="12" t="inlineStr">
        <is>
          <t>CONT-7: containerized gas genset 13.8 kV (40 ft)</t>
        </is>
      </c>
      <c r="G4412" s="12" t="inlineStr">
        <is>
          <t>JB-CONT-7-DI01</t>
        </is>
      </c>
      <c r="H4412" s="12" t="inlineStr">
        <is>
          <t>CONT-7: containerized gas genset 13.8 kV (40 ft)</t>
        </is>
      </c>
      <c r="I4412" s="12" t="inlineStr">
        <is>
          <t>Instrumentation</t>
        </is>
      </c>
      <c r="J4412" s="12" t="inlineStr">
        <is>
          <t>Instrumentation PLTC / TC-ER 300 V, #18 twisted shielded pairs, overall shield</t>
        </is>
      </c>
      <c r="K4412" s="12" t="inlineStr">
        <is>
          <t>PLTC|1 pr|16</t>
        </is>
      </c>
      <c r="L4412" s="12" t="inlineStr">
        <is>
          <t>1 pr</t>
        </is>
      </c>
      <c r="M4412" s="12" t="inlineStr">
        <is>
          <t>16</t>
        </is>
      </c>
      <c r="N4412" s="12" t="n">
        <v>20</v>
      </c>
      <c r="O4412" s="12" t="n">
        <v>1</v>
      </c>
      <c r="P4412" s="12" t="n"/>
      <c r="Q4412" s="12" t="n"/>
      <c r="R4412" s="12" t="n"/>
      <c r="S4412" s="12" t="inlineStr">
        <is>
          <t>Tray / conduit</t>
        </is>
      </c>
      <c r="T4412" s="17" t="n">
        <v>54</v>
      </c>
      <c r="U4412" s="17" t="n">
        <v>10</v>
      </c>
      <c r="V4412" s="17">
        <f>ROUNDUP((T4412+U4412+2*'Read Me'!$B$13)*(1+'Read Me'!$B$12),-1)</f>
        <v/>
      </c>
      <c r="W4412" s="17">
        <f>V4412*N4412*O4412</f>
        <v/>
      </c>
      <c r="X4412" s="12">
        <f>IF(LEFT(I4412,2)="MV",2*N4412*IF(L4412="1/C",O4412,1),0)</f>
        <v/>
      </c>
      <c r="Y4412" s="12">
        <f>IF(OR(LEFT(K4412,4)="LVAX",LEFT(K4412,6)="MV15AX",LEFT(K4412,4)="CTAX",LEFT(K4412,2)="W|"),2*N4412*O4412,0)</f>
        <v/>
      </c>
      <c r="Z4412" s="12" t="inlineStr">
        <is>
          <t>device-to-JB field wiring, one cable per device</t>
        </is>
      </c>
      <c r="AA4412" s="12">
        <f>N4412*O4412</f>
        <v/>
      </c>
    </row>
    <row r="4413">
      <c r="A4413" s="12" t="inlineStr">
        <is>
          <t>I-I-0046</t>
        </is>
      </c>
      <c r="B4413" s="12" t="inlineStr">
        <is>
          <t>I</t>
        </is>
      </c>
      <c r="C4413" s="12" t="inlineStr">
        <is>
          <t>Modular / portable power</t>
        </is>
      </c>
      <c r="D4413" s="12" t="inlineStr">
        <is>
          <t>Home run JB-CONT-7-DI01 to the control / marshalling room</t>
        </is>
      </c>
      <c r="E4413" s="12" t="inlineStr">
        <is>
          <t>PAD-EH</t>
        </is>
      </c>
      <c r="F4413" s="12" t="inlineStr">
        <is>
          <t>PAD-EH 13.8 kV switchgear e-house</t>
        </is>
      </c>
      <c r="G4413" s="12" t="inlineStr">
        <is>
          <t>JB-CONT-7-DI01</t>
        </is>
      </c>
      <c r="H4413" s="12" t="inlineStr">
        <is>
          <t>CONT-7: containerized gas genset 13.8 kV (40 ft)</t>
        </is>
      </c>
      <c r="I4413" s="12" t="inlineStr">
        <is>
          <t>Instrumentation</t>
        </is>
      </c>
      <c r="J4413" s="12" t="inlineStr">
        <is>
          <t>Instrumentation PLTC / TC-ER 300 V, #18 twisted shielded pairs, overall shield</t>
        </is>
      </c>
      <c r="K4413" s="12" t="inlineStr">
        <is>
          <t>PLTC|24 pr|18</t>
        </is>
      </c>
      <c r="L4413" s="12" t="inlineStr">
        <is>
          <t>24 pr</t>
        </is>
      </c>
      <c r="M4413" s="12" t="inlineStr">
        <is>
          <t>18</t>
        </is>
      </c>
      <c r="N4413" s="12" t="n">
        <v>1</v>
      </c>
      <c r="O4413" s="12" t="n">
        <v>1</v>
      </c>
      <c r="P4413" s="12" t="n"/>
      <c r="Q4413" s="12" t="n"/>
      <c r="R4413" s="12" t="n"/>
      <c r="S4413" s="12" t="inlineStr">
        <is>
          <t>Surface</t>
        </is>
      </c>
      <c r="T4413" s="17" t="n">
        <v>228</v>
      </c>
      <c r="U4413" s="17" t="n">
        <v>46</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I-I-0047</t>
        </is>
      </c>
      <c r="B4414" s="12" t="inlineStr">
        <is>
          <t>I</t>
        </is>
      </c>
      <c r="C4414" s="12" t="inlineStr">
        <is>
          <t>Modular / portable power</t>
        </is>
      </c>
      <c r="D4414" s="12" t="inlineStr">
        <is>
          <t>Analog instrument to JB JB-CONT-8-AI01: 20 x 1 pr (field cables)</t>
        </is>
      </c>
      <c r="E4414" s="12" t="inlineStr">
        <is>
          <t>CONT-8</t>
        </is>
      </c>
      <c r="F4414" s="12" t="inlineStr">
        <is>
          <t>CONT-8: containerized gas genset 13.8 kV (40 ft)</t>
        </is>
      </c>
      <c r="G4414" s="12" t="inlineStr">
        <is>
          <t>JB-CONT-8-AI01</t>
        </is>
      </c>
      <c r="H4414" s="12" t="inlineStr">
        <is>
          <t>CONT-8: containerized gas genset 13.8 kV (40 ft)</t>
        </is>
      </c>
      <c r="I4414" s="12" t="inlineStr">
        <is>
          <t>Instrumentation</t>
        </is>
      </c>
      <c r="J4414" s="12" t="inlineStr">
        <is>
          <t>Instrumentation PLTC / TC-ER 300 V, #18 twisted shielded pairs, overall shield</t>
        </is>
      </c>
      <c r="K4414" s="12" t="inlineStr">
        <is>
          <t>PLTC|1 pr|16</t>
        </is>
      </c>
      <c r="L4414" s="12" t="inlineStr">
        <is>
          <t>1 pr</t>
        </is>
      </c>
      <c r="M4414" s="12" t="inlineStr">
        <is>
          <t>16</t>
        </is>
      </c>
      <c r="N4414" s="12" t="n">
        <v>20</v>
      </c>
      <c r="O4414" s="12" t="n">
        <v>1</v>
      </c>
      <c r="P4414" s="12" t="n"/>
      <c r="Q4414" s="12" t="n"/>
      <c r="R4414" s="12" t="n"/>
      <c r="S4414" s="12" t="inlineStr">
        <is>
          <t>Tray / conduit</t>
        </is>
      </c>
      <c r="T4414" s="17" t="n">
        <v>54</v>
      </c>
      <c r="U4414" s="17" t="n">
        <v>10</v>
      </c>
      <c r="V4414" s="17">
        <f>ROUNDUP((T4414+U4414+2*'Read Me'!$B$13)*(1+'Read Me'!$B$12),-1)</f>
        <v/>
      </c>
      <c r="W4414" s="17">
        <f>V4414*N4414*O4414</f>
        <v/>
      </c>
      <c r="X4414" s="12">
        <f>IF(LEFT(I4414,2)="MV",2*N4414*IF(L4414="1/C",O4414,1),0)</f>
        <v/>
      </c>
      <c r="Y4414" s="12">
        <f>IF(OR(LEFT(K4414,4)="LVAX",LEFT(K4414,6)="MV15AX",LEFT(K4414,4)="CTAX",LEFT(K4414,2)="W|"),2*N4414*O4414,0)</f>
        <v/>
      </c>
      <c r="Z4414" s="12" t="inlineStr">
        <is>
          <t>device-to-JB field wiring, one cable per device</t>
        </is>
      </c>
      <c r="AA4414" s="12">
        <f>N4414*O4414</f>
        <v/>
      </c>
    </row>
    <row r="4415">
      <c r="A4415" s="12" t="inlineStr">
        <is>
          <t>I-I-0048</t>
        </is>
      </c>
      <c r="B4415" s="12" t="inlineStr">
        <is>
          <t>I</t>
        </is>
      </c>
      <c r="C4415" s="12" t="inlineStr">
        <is>
          <t>Modular / portable power</t>
        </is>
      </c>
      <c r="D4415" s="12" t="inlineStr">
        <is>
          <t>Home run JB-CONT-8-AI01 to the control / marshalling room</t>
        </is>
      </c>
      <c r="E4415" s="12" t="inlineStr">
        <is>
          <t>PAD-EH</t>
        </is>
      </c>
      <c r="F4415" s="12" t="inlineStr">
        <is>
          <t>PAD-EH 13.8 kV switchgear e-house</t>
        </is>
      </c>
      <c r="G4415" s="12" t="inlineStr">
        <is>
          <t>JB-CONT-8-AI01</t>
        </is>
      </c>
      <c r="H4415" s="12" t="inlineStr">
        <is>
          <t>CONT-8: containerized gas genset 13.8 kV (40 ft)</t>
        </is>
      </c>
      <c r="I4415" s="12" t="inlineStr">
        <is>
          <t>Instrumentation</t>
        </is>
      </c>
      <c r="J4415" s="12" t="inlineStr">
        <is>
          <t>Instrumentation PLTC / TC-ER 300 V, #18 twisted shielded pairs, overall shield</t>
        </is>
      </c>
      <c r="K4415" s="12" t="inlineStr">
        <is>
          <t>PLTC|24 pr|18</t>
        </is>
      </c>
      <c r="L4415" s="12" t="inlineStr">
        <is>
          <t>24 pr</t>
        </is>
      </c>
      <c r="M4415" s="12" t="inlineStr">
        <is>
          <t>18</t>
        </is>
      </c>
      <c r="N4415" s="12" t="n">
        <v>1</v>
      </c>
      <c r="O4415" s="12" t="n">
        <v>1</v>
      </c>
      <c r="P4415" s="12" t="n"/>
      <c r="Q4415" s="12" t="n"/>
      <c r="R4415" s="12" t="n"/>
      <c r="S4415" s="12" t="inlineStr">
        <is>
          <t>Surface</t>
        </is>
      </c>
      <c r="T4415" s="17" t="n">
        <v>16</v>
      </c>
      <c r="U4415" s="17" t="n">
        <v>117</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I-I-0049</t>
        </is>
      </c>
      <c r="B4416" s="12" t="inlineStr">
        <is>
          <t>I</t>
        </is>
      </c>
      <c r="C4416" s="12" t="inlineStr">
        <is>
          <t>Modular / portable power</t>
        </is>
      </c>
      <c r="D4416" s="12" t="inlineStr">
        <is>
          <t>Discrete device to JB JB-CONT-8-DI01: 20 x 1 pr (field cables)</t>
        </is>
      </c>
      <c r="E4416" s="12" t="inlineStr">
        <is>
          <t>CONT-8</t>
        </is>
      </c>
      <c r="F4416" s="12" t="inlineStr">
        <is>
          <t>CONT-8: containerized gas genset 13.8 kV (40 ft)</t>
        </is>
      </c>
      <c r="G4416" s="12" t="inlineStr">
        <is>
          <t>JB-CONT-8-DI01</t>
        </is>
      </c>
      <c r="H4416" s="12" t="inlineStr">
        <is>
          <t>CONT-8: containerized gas genset 13.8 kV (40 ft)</t>
        </is>
      </c>
      <c r="I4416" s="12" t="inlineStr">
        <is>
          <t>Instrumentation</t>
        </is>
      </c>
      <c r="J4416" s="12" t="inlineStr">
        <is>
          <t>Instrumentation PLTC / TC-ER 300 V, #18 twisted shielded pairs, overall shield</t>
        </is>
      </c>
      <c r="K4416" s="12" t="inlineStr">
        <is>
          <t>PLTC|1 pr|16</t>
        </is>
      </c>
      <c r="L4416" s="12" t="inlineStr">
        <is>
          <t>1 pr</t>
        </is>
      </c>
      <c r="M4416" s="12" t="inlineStr">
        <is>
          <t>16</t>
        </is>
      </c>
      <c r="N4416" s="12" t="n">
        <v>20</v>
      </c>
      <c r="O4416" s="12" t="n">
        <v>1</v>
      </c>
      <c r="P4416" s="12" t="n"/>
      <c r="Q4416" s="12" t="n"/>
      <c r="R4416" s="12" t="n"/>
      <c r="S4416" s="12" t="inlineStr">
        <is>
          <t>Tray / conduit</t>
        </is>
      </c>
      <c r="T4416" s="17" t="n">
        <v>54</v>
      </c>
      <c r="U4416" s="17" t="n">
        <v>10</v>
      </c>
      <c r="V4416" s="17">
        <f>ROUNDUP((T4416+U4416+2*'Read Me'!$B$13)*(1+'Read Me'!$B$12),-1)</f>
        <v/>
      </c>
      <c r="W4416" s="17">
        <f>V4416*N4416*O4416</f>
        <v/>
      </c>
      <c r="X4416" s="12">
        <f>IF(LEFT(I4416,2)="MV",2*N4416*IF(L4416="1/C",O4416,1),0)</f>
        <v/>
      </c>
      <c r="Y4416" s="12">
        <f>IF(OR(LEFT(K4416,4)="LVAX",LEFT(K4416,6)="MV15AX",LEFT(K4416,4)="CTAX",LEFT(K4416,2)="W|"),2*N4416*O4416,0)</f>
        <v/>
      </c>
      <c r="Z4416" s="12" t="inlineStr">
        <is>
          <t>device-to-JB field wiring, one cable per device</t>
        </is>
      </c>
      <c r="AA4416" s="12">
        <f>N4416*O4416</f>
        <v/>
      </c>
    </row>
    <row r="4417">
      <c r="A4417" s="12" t="inlineStr">
        <is>
          <t>I-I-0050</t>
        </is>
      </c>
      <c r="B4417" s="12" t="inlineStr">
        <is>
          <t>I</t>
        </is>
      </c>
      <c r="C4417" s="12" t="inlineStr">
        <is>
          <t>Modular / portable power</t>
        </is>
      </c>
      <c r="D4417" s="12" t="inlineStr">
        <is>
          <t>Home run JB-CONT-8-DI01 to the control / marshalling room</t>
        </is>
      </c>
      <c r="E4417" s="12" t="inlineStr">
        <is>
          <t>PAD-EH</t>
        </is>
      </c>
      <c r="F4417" s="12" t="inlineStr">
        <is>
          <t>PAD-EH 13.8 kV switchgear e-house</t>
        </is>
      </c>
      <c r="G4417" s="12" t="inlineStr">
        <is>
          <t>JB-CONT-8-DI01</t>
        </is>
      </c>
      <c r="H4417" s="12" t="inlineStr">
        <is>
          <t>CONT-8: containerized gas genset 13.8 kV (40 ft)</t>
        </is>
      </c>
      <c r="I4417" s="12" t="inlineStr">
        <is>
          <t>Instrumentation</t>
        </is>
      </c>
      <c r="J4417" s="12" t="inlineStr">
        <is>
          <t>Instrumentation PLTC / TC-ER 300 V, #18 twisted shielded pairs, overall shield</t>
        </is>
      </c>
      <c r="K4417" s="12" t="inlineStr">
        <is>
          <t>PLTC|24 pr|18</t>
        </is>
      </c>
      <c r="L4417" s="12" t="inlineStr">
        <is>
          <t>24 pr</t>
        </is>
      </c>
      <c r="M4417" s="12" t="inlineStr">
        <is>
          <t>18</t>
        </is>
      </c>
      <c r="N4417" s="12" t="n">
        <v>1</v>
      </c>
      <c r="O4417" s="12" t="n">
        <v>1</v>
      </c>
      <c r="P4417" s="12" t="n"/>
      <c r="Q4417" s="12" t="n"/>
      <c r="R4417" s="12" t="n"/>
      <c r="S4417" s="12" t="inlineStr">
        <is>
          <t>Surface</t>
        </is>
      </c>
      <c r="T4417" s="17" t="n">
        <v>16</v>
      </c>
      <c r="U4417" s="17" t="n">
        <v>117</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I-I-0051</t>
        </is>
      </c>
      <c r="B4418" s="12" t="inlineStr">
        <is>
          <t>I</t>
        </is>
      </c>
      <c r="C4418" s="12" t="inlineStr">
        <is>
          <t>Modular / portable power</t>
        </is>
      </c>
      <c r="D4418" s="12" t="inlineStr">
        <is>
          <t>Analog instrument to JB JB-Demin tank + trail-AI01: 4 x 1 pr (field cables)</t>
        </is>
      </c>
      <c r="E4418" s="12" t="inlineStr"/>
      <c r="F4418" s="12" t="inlineStr">
        <is>
          <t>Demin tank + trailer pad</t>
        </is>
      </c>
      <c r="G4418" s="12" t="inlineStr">
        <is>
          <t>JB-Demin tank + trail-AI01</t>
        </is>
      </c>
      <c r="H4418" s="12" t="inlineStr">
        <is>
          <t>Demin tank + trailer pad</t>
        </is>
      </c>
      <c r="I4418" s="12" t="inlineStr">
        <is>
          <t>Instrumentation</t>
        </is>
      </c>
      <c r="J4418" s="12" t="inlineStr">
        <is>
          <t>Instrumentation PLTC / TC-ER 300 V, #18 twisted shielded pairs, overall shield</t>
        </is>
      </c>
      <c r="K4418" s="12" t="inlineStr">
        <is>
          <t>PLTC|1 pr|16</t>
        </is>
      </c>
      <c r="L4418" s="12" t="inlineStr">
        <is>
          <t>1 pr</t>
        </is>
      </c>
      <c r="M4418" s="12" t="inlineStr">
        <is>
          <t>16</t>
        </is>
      </c>
      <c r="N4418" s="12" t="n">
        <v>4</v>
      </c>
      <c r="O4418" s="12" t="n">
        <v>1</v>
      </c>
      <c r="P4418" s="12" t="n"/>
      <c r="Q4418" s="12" t="n"/>
      <c r="R4418" s="12" t="n"/>
      <c r="S4418" s="12" t="inlineStr">
        <is>
          <t>Tray / conduit</t>
        </is>
      </c>
      <c r="T4418" s="17" t="n">
        <v>78</v>
      </c>
      <c r="U4418" s="17" t="n">
        <v>10</v>
      </c>
      <c r="V4418" s="17">
        <f>ROUNDUP((T4418+U4418+2*'Read Me'!$B$13)*(1+'Read Me'!$B$12),-1)</f>
        <v/>
      </c>
      <c r="W4418" s="17">
        <f>V4418*N4418*O4418</f>
        <v/>
      </c>
      <c r="X4418" s="12">
        <f>IF(LEFT(I4418,2)="MV",2*N4418*IF(L4418="1/C",O4418,1),0)</f>
        <v/>
      </c>
      <c r="Y4418" s="12">
        <f>IF(OR(LEFT(K4418,4)="LVAX",LEFT(K4418,6)="MV15AX",LEFT(K4418,4)="CTAX",LEFT(K4418,2)="W|"),2*N4418*O4418,0)</f>
        <v/>
      </c>
      <c r="Z4418" s="12" t="inlineStr">
        <is>
          <t>device-to-JB field wiring, one cable per device</t>
        </is>
      </c>
      <c r="AA4418" s="12">
        <f>N4418*O4418</f>
        <v/>
      </c>
    </row>
    <row r="4419">
      <c r="A4419" s="12" t="inlineStr">
        <is>
          <t>I-I-0052</t>
        </is>
      </c>
      <c r="B4419" s="12" t="inlineStr">
        <is>
          <t>I</t>
        </is>
      </c>
      <c r="C4419" s="12" t="inlineStr">
        <is>
          <t>Modular / portable power</t>
        </is>
      </c>
      <c r="D4419" s="12" t="inlineStr">
        <is>
          <t>Home run JB-Demin tank + trail-AI01 to the control / marshalling room</t>
        </is>
      </c>
      <c r="E4419" s="12" t="inlineStr"/>
      <c r="F4419" s="12" t="inlineStr">
        <is>
          <t>PCM: power control module</t>
        </is>
      </c>
      <c r="G4419" s="12" t="inlineStr">
        <is>
          <t>JB-Demin tank + trail-AI01</t>
        </is>
      </c>
      <c r="H4419" s="12" t="inlineStr">
        <is>
          <t>Demin tank + trailer pad</t>
        </is>
      </c>
      <c r="I4419" s="12" t="inlineStr">
        <is>
          <t>Instrumentation</t>
        </is>
      </c>
      <c r="J4419" s="12" t="inlineStr">
        <is>
          <t>Instrumentation PLTC / TC-ER 300 V, #18 twisted shielded pairs, overall shield</t>
        </is>
      </c>
      <c r="K4419" s="12" t="inlineStr">
        <is>
          <t>PLTC|24 pr|18</t>
        </is>
      </c>
      <c r="L4419" s="12" t="inlineStr">
        <is>
          <t>24 pr</t>
        </is>
      </c>
      <c r="M4419" s="12" t="inlineStr">
        <is>
          <t>18</t>
        </is>
      </c>
      <c r="N4419" s="12" t="n">
        <v>1</v>
      </c>
      <c r="O4419" s="12" t="n">
        <v>1</v>
      </c>
      <c r="P4419" s="12" t="n"/>
      <c r="Q4419" s="12" t="n"/>
      <c r="R4419" s="12" t="n"/>
      <c r="S4419" s="12" t="inlineStr">
        <is>
          <t>HV duct bank</t>
        </is>
      </c>
      <c r="T4419" s="17" t="n">
        <v>4344</v>
      </c>
      <c r="U4419" s="17" t="n">
        <v>67</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I-I-0053</t>
        </is>
      </c>
      <c r="B4420" s="12" t="inlineStr">
        <is>
          <t>I</t>
        </is>
      </c>
      <c r="C4420" s="12" t="inlineStr">
        <is>
          <t>Modular / portable power</t>
        </is>
      </c>
      <c r="D4420" s="12" t="inlineStr">
        <is>
          <t>Discrete device to JB JB-Demin tank + trail-DI01: 4 x 1 pr (field cables)</t>
        </is>
      </c>
      <c r="E4420" s="12" t="inlineStr"/>
      <c r="F4420" s="12" t="inlineStr">
        <is>
          <t>Demin tank + trailer pad</t>
        </is>
      </c>
      <c r="G4420" s="12" t="inlineStr">
        <is>
          <t>JB-Demin tank + trail-DI01</t>
        </is>
      </c>
      <c r="H4420" s="12" t="inlineStr">
        <is>
          <t>Demin tank + trailer pad</t>
        </is>
      </c>
      <c r="I4420" s="12" t="inlineStr">
        <is>
          <t>Instrumentation</t>
        </is>
      </c>
      <c r="J4420" s="12" t="inlineStr">
        <is>
          <t>Instrumentation PLTC / TC-ER 300 V, #18 twisted shielded pairs, overall shield</t>
        </is>
      </c>
      <c r="K4420" s="12" t="inlineStr">
        <is>
          <t>PLTC|1 pr|16</t>
        </is>
      </c>
      <c r="L4420" s="12" t="inlineStr">
        <is>
          <t>1 pr</t>
        </is>
      </c>
      <c r="M4420" s="12" t="inlineStr">
        <is>
          <t>16</t>
        </is>
      </c>
      <c r="N4420" s="12" t="n">
        <v>4</v>
      </c>
      <c r="O4420" s="12" t="n">
        <v>1</v>
      </c>
      <c r="P4420" s="12" t="n"/>
      <c r="Q4420" s="12" t="n"/>
      <c r="R4420" s="12" t="n"/>
      <c r="S4420" s="12" t="inlineStr">
        <is>
          <t>Tray / conduit</t>
        </is>
      </c>
      <c r="T4420" s="17" t="n">
        <v>78</v>
      </c>
      <c r="U4420" s="17" t="n">
        <v>10</v>
      </c>
      <c r="V4420" s="17">
        <f>ROUNDUP((T4420+U4420+2*'Read Me'!$B$13)*(1+'Read Me'!$B$12),-1)</f>
        <v/>
      </c>
      <c r="W4420" s="17">
        <f>V4420*N4420*O4420</f>
        <v/>
      </c>
      <c r="X4420" s="12">
        <f>IF(LEFT(I4420,2)="MV",2*N4420*IF(L4420="1/C",O4420,1),0)</f>
        <v/>
      </c>
      <c r="Y4420" s="12">
        <f>IF(OR(LEFT(K4420,4)="LVAX",LEFT(K4420,6)="MV15AX",LEFT(K4420,4)="CTAX",LEFT(K4420,2)="W|"),2*N4420*O4420,0)</f>
        <v/>
      </c>
      <c r="Z4420" s="12" t="inlineStr">
        <is>
          <t>device-to-JB field wiring, one cable per device</t>
        </is>
      </c>
      <c r="AA4420" s="12">
        <f>N4420*O4420</f>
        <v/>
      </c>
    </row>
    <row r="4421">
      <c r="A4421" s="12" t="inlineStr">
        <is>
          <t>I-I-0054</t>
        </is>
      </c>
      <c r="B4421" s="12" t="inlineStr">
        <is>
          <t>I</t>
        </is>
      </c>
      <c r="C4421" s="12" t="inlineStr">
        <is>
          <t>Modular / portable power</t>
        </is>
      </c>
      <c r="D4421" s="12" t="inlineStr">
        <is>
          <t>Home run JB-Demin tank + trail-DI01 to the control / marshalling room</t>
        </is>
      </c>
      <c r="E4421" s="12" t="inlineStr"/>
      <c r="F4421" s="12" t="inlineStr">
        <is>
          <t>PCM: power control module</t>
        </is>
      </c>
      <c r="G4421" s="12" t="inlineStr">
        <is>
          <t>JB-Demin tank + trail-DI01</t>
        </is>
      </c>
      <c r="H4421" s="12" t="inlineStr">
        <is>
          <t>Demin tank + trailer pad</t>
        </is>
      </c>
      <c r="I4421" s="12" t="inlineStr">
        <is>
          <t>Instrumentation</t>
        </is>
      </c>
      <c r="J4421" s="12" t="inlineStr">
        <is>
          <t>Instrumentation PLTC / TC-ER 300 V, #18 twisted shielded pairs, overall shield</t>
        </is>
      </c>
      <c r="K4421" s="12" t="inlineStr">
        <is>
          <t>PLTC|24 pr|18</t>
        </is>
      </c>
      <c r="L4421" s="12" t="inlineStr">
        <is>
          <t>24 pr</t>
        </is>
      </c>
      <c r="M4421" s="12" t="inlineStr">
        <is>
          <t>18</t>
        </is>
      </c>
      <c r="N4421" s="12" t="n">
        <v>1</v>
      </c>
      <c r="O4421" s="12" t="n">
        <v>1</v>
      </c>
      <c r="P4421" s="12" t="n"/>
      <c r="Q4421" s="12" t="n"/>
      <c r="R4421" s="12" t="n"/>
      <c r="S4421" s="12" t="inlineStr">
        <is>
          <t>HV duct bank</t>
        </is>
      </c>
      <c r="T4421" s="17" t="n">
        <v>4344</v>
      </c>
      <c r="U4421" s="17" t="n">
        <v>67</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I-I-0055</t>
        </is>
      </c>
      <c r="B4422" s="12" t="inlineStr">
        <is>
          <t>I</t>
        </is>
      </c>
      <c r="C4422" s="12" t="inlineStr">
        <is>
          <t>Modular / portable power</t>
        </is>
      </c>
      <c r="D4422" s="12" t="inlineStr">
        <is>
          <t>Analog instrument to JB JB-FC-10-AI01: 10 x 1 pr (field cables)</t>
        </is>
      </c>
      <c r="E4422" s="12" t="inlineStr">
        <is>
          <t>FC-10</t>
        </is>
      </c>
      <c r="F4422" s="12" t="inlineStr">
        <is>
          <t>FC-10: SOFC module (Bloom ES5 class, 200-300 kW)</t>
        </is>
      </c>
      <c r="G4422" s="12" t="inlineStr">
        <is>
          <t>JB-FC-10-AI01</t>
        </is>
      </c>
      <c r="H4422" s="12" t="inlineStr">
        <is>
          <t>FC-10: SOFC module (Bloom ES5 class, 200-300 kW)</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10</v>
      </c>
      <c r="O4422" s="12" t="n">
        <v>1</v>
      </c>
      <c r="P4422" s="12" t="n"/>
      <c r="Q4422" s="12" t="n"/>
      <c r="R4422" s="12" t="n"/>
      <c r="S4422" s="12" t="inlineStr">
        <is>
          <t>Tray / conduit</t>
        </is>
      </c>
      <c r="T4422" s="17" t="n">
        <v>45</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I-I-0056</t>
        </is>
      </c>
      <c r="B4423" s="12" t="inlineStr">
        <is>
          <t>I</t>
        </is>
      </c>
      <c r="C4423" s="12" t="inlineStr">
        <is>
          <t>Modular / portable power</t>
        </is>
      </c>
      <c r="D4423" s="12" t="inlineStr">
        <is>
          <t>Home run JB-FC-10-AI01 to the control / marshalling room</t>
        </is>
      </c>
      <c r="E4423" s="12" t="inlineStr">
        <is>
          <t>PAD-EH</t>
        </is>
      </c>
      <c r="F4423" s="12" t="inlineStr">
        <is>
          <t>PAD-EH 13.8 kV switchgear e-house</t>
        </is>
      </c>
      <c r="G4423" s="12" t="inlineStr">
        <is>
          <t>JB-FC-10-AI01</t>
        </is>
      </c>
      <c r="H4423" s="12" t="inlineStr">
        <is>
          <t>FC-10: SOFC module (Bloom ES5 class, 200-300 kW)</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Duct bank</t>
        </is>
      </c>
      <c r="T4423" s="17" t="n">
        <v>286</v>
      </c>
      <c r="U4423" s="17" t="n">
        <v>50</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I-I-0057</t>
        </is>
      </c>
      <c r="B4424" s="12" t="inlineStr">
        <is>
          <t>I</t>
        </is>
      </c>
      <c r="C4424" s="12" t="inlineStr">
        <is>
          <t>Modular / portable power</t>
        </is>
      </c>
      <c r="D4424" s="12" t="inlineStr">
        <is>
          <t>Discrete device to JB JB-FC-10-DI01: 10 x 1 pr (field cables)</t>
        </is>
      </c>
      <c r="E4424" s="12" t="inlineStr">
        <is>
          <t>FC-10</t>
        </is>
      </c>
      <c r="F4424" s="12" t="inlineStr">
        <is>
          <t>FC-10: SOFC module (Bloom ES5 class, 200-300 kW)</t>
        </is>
      </c>
      <c r="G4424" s="12" t="inlineStr">
        <is>
          <t>JB-FC-10-DI01</t>
        </is>
      </c>
      <c r="H4424" s="12" t="inlineStr">
        <is>
          <t>FC-10: SOFC module (Bloom ES5 class, 200-300 kW)</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10</v>
      </c>
      <c r="O4424" s="12" t="n">
        <v>1</v>
      </c>
      <c r="P4424" s="12" t="n"/>
      <c r="Q4424" s="12" t="n"/>
      <c r="R4424" s="12" t="n"/>
      <c r="S4424" s="12" t="inlineStr">
        <is>
          <t>Tray / conduit</t>
        </is>
      </c>
      <c r="T4424" s="17" t="n">
        <v>45</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I-I-0058</t>
        </is>
      </c>
      <c r="B4425" s="12" t="inlineStr">
        <is>
          <t>I</t>
        </is>
      </c>
      <c r="C4425" s="12" t="inlineStr">
        <is>
          <t>Modular / portable power</t>
        </is>
      </c>
      <c r="D4425" s="12" t="inlineStr">
        <is>
          <t>Home run JB-FC-10-DI01 to the control / marshalling room</t>
        </is>
      </c>
      <c r="E4425" s="12" t="inlineStr">
        <is>
          <t>PAD-EH</t>
        </is>
      </c>
      <c r="F4425" s="12" t="inlineStr">
        <is>
          <t>PAD-EH 13.8 kV switchgear e-house</t>
        </is>
      </c>
      <c r="G4425" s="12" t="inlineStr">
        <is>
          <t>JB-FC-10-DI01</t>
        </is>
      </c>
      <c r="H4425" s="12" t="inlineStr">
        <is>
          <t>FC-10: SOFC module (Bloom ES5 class, 200-300 kW)</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Duct bank</t>
        </is>
      </c>
      <c r="T4425" s="17" t="n">
        <v>286</v>
      </c>
      <c r="U4425" s="17" t="n">
        <v>50</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I-I-0059</t>
        </is>
      </c>
      <c r="B4426" s="12" t="inlineStr">
        <is>
          <t>I</t>
        </is>
      </c>
      <c r="C4426" s="12" t="inlineStr">
        <is>
          <t>Modular / portable power</t>
        </is>
      </c>
      <c r="D4426" s="12" t="inlineStr">
        <is>
          <t>Analog instrument to JB JB-FC-11-AI01: 10 x 1 pr (field cables)</t>
        </is>
      </c>
      <c r="E4426" s="12" t="inlineStr">
        <is>
          <t>FC-11</t>
        </is>
      </c>
      <c r="F4426" s="12" t="inlineStr">
        <is>
          <t>FC-11: SOFC module (Bloom ES5 class, 200-300 kW)</t>
        </is>
      </c>
      <c r="G4426" s="12" t="inlineStr">
        <is>
          <t>JB-FC-11-AI01</t>
        </is>
      </c>
      <c r="H4426" s="12" t="inlineStr">
        <is>
          <t>FC-11: SOFC module (Bloom ES5 class, 200-300 kW)</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10</v>
      </c>
      <c r="O4426" s="12" t="n">
        <v>1</v>
      </c>
      <c r="P4426" s="12" t="n"/>
      <c r="Q4426" s="12" t="n"/>
      <c r="R4426" s="12" t="n"/>
      <c r="S4426" s="12" t="inlineStr">
        <is>
          <t>Tray / conduit</t>
        </is>
      </c>
      <c r="T4426" s="17" t="n">
        <v>45</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I-I-0060</t>
        </is>
      </c>
      <c r="B4427" s="12" t="inlineStr">
        <is>
          <t>I</t>
        </is>
      </c>
      <c r="C4427" s="12" t="inlineStr">
        <is>
          <t>Modular / portable power</t>
        </is>
      </c>
      <c r="D4427" s="12" t="inlineStr">
        <is>
          <t>Home run JB-FC-11-AI01 to the control / marshalling room</t>
        </is>
      </c>
      <c r="E4427" s="12" t="inlineStr">
        <is>
          <t>PAD-EH</t>
        </is>
      </c>
      <c r="F4427" s="12" t="inlineStr">
        <is>
          <t>PAD-EH 13.8 kV switchgear e-house</t>
        </is>
      </c>
      <c r="G4427" s="12" t="inlineStr">
        <is>
          <t>JB-FC-11-AI01</t>
        </is>
      </c>
      <c r="H4427" s="12" t="inlineStr">
        <is>
          <t>FC-11: SOFC module (Bloom ES5 class, 200-300 kW)</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Duct bank</t>
        </is>
      </c>
      <c r="T4427" s="17" t="n">
        <v>272</v>
      </c>
      <c r="U4427" s="17" t="n">
        <v>50</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I-I-0061</t>
        </is>
      </c>
      <c r="B4428" s="12" t="inlineStr">
        <is>
          <t>I</t>
        </is>
      </c>
      <c r="C4428" s="12" t="inlineStr">
        <is>
          <t>Modular / portable power</t>
        </is>
      </c>
      <c r="D4428" s="12" t="inlineStr">
        <is>
          <t>Discrete device to JB JB-FC-11-DI01: 10 x 1 pr (field cables)</t>
        </is>
      </c>
      <c r="E4428" s="12" t="inlineStr">
        <is>
          <t>FC-11</t>
        </is>
      </c>
      <c r="F4428" s="12" t="inlineStr">
        <is>
          <t>FC-11: SOFC module (Bloom ES5 class, 200-300 kW)</t>
        </is>
      </c>
      <c r="G4428" s="12" t="inlineStr">
        <is>
          <t>JB-FC-11-DI01</t>
        </is>
      </c>
      <c r="H4428" s="12" t="inlineStr">
        <is>
          <t>FC-11: SOFC module (Bloom ES5 class, 200-300 kW)</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10</v>
      </c>
      <c r="O4428" s="12" t="n">
        <v>1</v>
      </c>
      <c r="P4428" s="12" t="n"/>
      <c r="Q4428" s="12" t="n"/>
      <c r="R4428" s="12" t="n"/>
      <c r="S4428" s="12" t="inlineStr">
        <is>
          <t>Tray / conduit</t>
        </is>
      </c>
      <c r="T4428" s="17" t="n">
        <v>45</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I-I-0062</t>
        </is>
      </c>
      <c r="B4429" s="12" t="inlineStr">
        <is>
          <t>I</t>
        </is>
      </c>
      <c r="C4429" s="12" t="inlineStr">
        <is>
          <t>Modular / portable power</t>
        </is>
      </c>
      <c r="D4429" s="12" t="inlineStr">
        <is>
          <t>Home run JB-FC-11-DI01 to the control / marshalling room</t>
        </is>
      </c>
      <c r="E4429" s="12" t="inlineStr">
        <is>
          <t>PAD-EH</t>
        </is>
      </c>
      <c r="F4429" s="12" t="inlineStr">
        <is>
          <t>PAD-EH 13.8 kV switchgear e-house</t>
        </is>
      </c>
      <c r="G4429" s="12" t="inlineStr">
        <is>
          <t>JB-FC-11-DI01</t>
        </is>
      </c>
      <c r="H4429" s="12" t="inlineStr">
        <is>
          <t>FC-11: SOFC module (Bloom ES5 class, 200-300 kW)</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Duct bank</t>
        </is>
      </c>
      <c r="T4429" s="17" t="n">
        <v>272</v>
      </c>
      <c r="U4429" s="17" t="n">
        <v>50</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I-I-0063</t>
        </is>
      </c>
      <c r="B4430" s="12" t="inlineStr">
        <is>
          <t>I</t>
        </is>
      </c>
      <c r="C4430" s="12" t="inlineStr">
        <is>
          <t>Modular / portable power</t>
        </is>
      </c>
      <c r="D4430" s="12" t="inlineStr">
        <is>
          <t>Analog instrument to JB JB-FC-12-AI01: 10 x 1 pr (field cables)</t>
        </is>
      </c>
      <c r="E4430" s="12" t="inlineStr">
        <is>
          <t>FC-12</t>
        </is>
      </c>
      <c r="F4430" s="12" t="inlineStr">
        <is>
          <t>FC-12: SOFC module (Bloom ES5 class, 200-300 kW)</t>
        </is>
      </c>
      <c r="G4430" s="12" t="inlineStr">
        <is>
          <t>JB-FC-12-AI01</t>
        </is>
      </c>
      <c r="H4430" s="12" t="inlineStr">
        <is>
          <t>FC-12: SOFC module (Bloom ES5 class, 200-300 kW)</t>
        </is>
      </c>
      <c r="I4430" s="12" t="inlineStr">
        <is>
          <t>Instrumentation</t>
        </is>
      </c>
      <c r="J4430" s="12" t="inlineStr">
        <is>
          <t>Instrumentation PLTC / TC-ER 300 V, #18 twisted shielded pairs, overall shield</t>
        </is>
      </c>
      <c r="K4430" s="12" t="inlineStr">
        <is>
          <t>PLTC|1 pr|16</t>
        </is>
      </c>
      <c r="L4430" s="12" t="inlineStr">
        <is>
          <t>1 pr</t>
        </is>
      </c>
      <c r="M4430" s="12" t="inlineStr">
        <is>
          <t>16</t>
        </is>
      </c>
      <c r="N4430" s="12" t="n">
        <v>10</v>
      </c>
      <c r="O4430" s="12" t="n">
        <v>1</v>
      </c>
      <c r="P4430" s="12" t="n"/>
      <c r="Q4430" s="12" t="n"/>
      <c r="R4430" s="12" t="n"/>
      <c r="S4430" s="12" t="inlineStr">
        <is>
          <t>Tray / conduit</t>
        </is>
      </c>
      <c r="T4430" s="17" t="n">
        <v>45</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I-I-0064</t>
        </is>
      </c>
      <c r="B4431" s="12" t="inlineStr">
        <is>
          <t>I</t>
        </is>
      </c>
      <c r="C4431" s="12" t="inlineStr">
        <is>
          <t>Modular / portable power</t>
        </is>
      </c>
      <c r="D4431" s="12" t="inlineStr">
        <is>
          <t>Home run JB-FC-12-AI01 to the control / marshalling room</t>
        </is>
      </c>
      <c r="E4431" s="12" t="inlineStr">
        <is>
          <t>PAD-EH</t>
        </is>
      </c>
      <c r="F4431" s="12" t="inlineStr">
        <is>
          <t>PAD-EH 13.8 kV switchgear e-house</t>
        </is>
      </c>
      <c r="G4431" s="12" t="inlineStr">
        <is>
          <t>JB-FC-12-AI01</t>
        </is>
      </c>
      <c r="H4431" s="12" t="inlineStr">
        <is>
          <t>FC-12: SOFC module (Bloom ES5 class, 200-300 kW)</t>
        </is>
      </c>
      <c r="I4431" s="12" t="inlineStr">
        <is>
          <t>Instrumentation</t>
        </is>
      </c>
      <c r="J4431" s="12" t="inlineStr">
        <is>
          <t>Instrumentation PLTC / TC-ER 300 V, #18 twisted shielded pairs, overall shield</t>
        </is>
      </c>
      <c r="K4431" s="12" t="inlineStr">
        <is>
          <t>PLTC|24 pr|18</t>
        </is>
      </c>
      <c r="L4431" s="12" t="inlineStr">
        <is>
          <t>24 pr</t>
        </is>
      </c>
      <c r="M4431" s="12" t="inlineStr">
        <is>
          <t>18</t>
        </is>
      </c>
      <c r="N4431" s="12" t="n">
        <v>1</v>
      </c>
      <c r="O4431" s="12" t="n">
        <v>1</v>
      </c>
      <c r="P4431" s="12" t="n"/>
      <c r="Q4431" s="12" t="n"/>
      <c r="R4431" s="12" t="n"/>
      <c r="S4431" s="12" t="inlineStr">
        <is>
          <t>Duct bank</t>
        </is>
      </c>
      <c r="T4431" s="17" t="n">
        <v>272</v>
      </c>
      <c r="U4431" s="17" t="n">
        <v>41</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I-I-0065</t>
        </is>
      </c>
      <c r="B4432" s="12" t="inlineStr">
        <is>
          <t>I</t>
        </is>
      </c>
      <c r="C4432" s="12" t="inlineStr">
        <is>
          <t>Modular / portable power</t>
        </is>
      </c>
      <c r="D4432" s="12" t="inlineStr">
        <is>
          <t>Discrete device to JB JB-FC-12-DI01: 10 x 1 pr (field cables)</t>
        </is>
      </c>
      <c r="E4432" s="12" t="inlineStr">
        <is>
          <t>FC-12</t>
        </is>
      </c>
      <c r="F4432" s="12" t="inlineStr">
        <is>
          <t>FC-12: SOFC module (Bloom ES5 class, 200-300 kW)</t>
        </is>
      </c>
      <c r="G4432" s="12" t="inlineStr">
        <is>
          <t>JB-FC-12-DI01</t>
        </is>
      </c>
      <c r="H4432" s="12" t="inlineStr">
        <is>
          <t>FC-12: SOFC module (Bloom ES5 class, 200-300 kW)</t>
        </is>
      </c>
      <c r="I4432" s="12" t="inlineStr">
        <is>
          <t>Instrumentation</t>
        </is>
      </c>
      <c r="J4432" s="12" t="inlineStr">
        <is>
          <t>Instrumentation PLTC / TC-ER 300 V, #18 twisted shielded pairs, overall shield</t>
        </is>
      </c>
      <c r="K4432" s="12" t="inlineStr">
        <is>
          <t>PLTC|1 pr|16</t>
        </is>
      </c>
      <c r="L4432" s="12" t="inlineStr">
        <is>
          <t>1 pr</t>
        </is>
      </c>
      <c r="M4432" s="12" t="inlineStr">
        <is>
          <t>16</t>
        </is>
      </c>
      <c r="N4432" s="12" t="n">
        <v>10</v>
      </c>
      <c r="O4432" s="12" t="n">
        <v>1</v>
      </c>
      <c r="P4432" s="12" t="n"/>
      <c r="Q4432" s="12" t="n"/>
      <c r="R4432" s="12" t="n"/>
      <c r="S4432" s="12" t="inlineStr">
        <is>
          <t>Tray / conduit</t>
        </is>
      </c>
      <c r="T4432" s="17" t="n">
        <v>45</v>
      </c>
      <c r="U4432" s="17" t="n">
        <v>10</v>
      </c>
      <c r="V4432" s="17">
        <f>ROUNDUP((T4432+U4432+2*'Read Me'!$B$13)*(1+'Read Me'!$B$12),-1)</f>
        <v/>
      </c>
      <c r="W4432" s="17">
        <f>V4432*N4432*O4432</f>
        <v/>
      </c>
      <c r="X4432" s="12">
        <f>IF(LEFT(I4432,2)="MV",2*N4432*IF(L4432="1/C",O4432,1),0)</f>
        <v/>
      </c>
      <c r="Y4432" s="12">
        <f>IF(OR(LEFT(K4432,4)="LVAX",LEFT(K4432,6)="MV15AX",LEFT(K4432,4)="CTAX",LEFT(K4432,2)="W|"),2*N4432*O4432,0)</f>
        <v/>
      </c>
      <c r="Z4432" s="12" t="inlineStr">
        <is>
          <t>device-to-JB field wiring, one cable per device</t>
        </is>
      </c>
      <c r="AA4432" s="12">
        <f>N4432*O4432</f>
        <v/>
      </c>
    </row>
    <row r="4433">
      <c r="A4433" s="12" t="inlineStr">
        <is>
          <t>I-I-0066</t>
        </is>
      </c>
      <c r="B4433" s="12" t="inlineStr">
        <is>
          <t>I</t>
        </is>
      </c>
      <c r="C4433" s="12" t="inlineStr">
        <is>
          <t>Modular / portable power</t>
        </is>
      </c>
      <c r="D4433" s="12" t="inlineStr">
        <is>
          <t>Home run JB-FC-12-DI01 to the control / marshalling room</t>
        </is>
      </c>
      <c r="E4433" s="12" t="inlineStr">
        <is>
          <t>PAD-EH</t>
        </is>
      </c>
      <c r="F4433" s="12" t="inlineStr">
        <is>
          <t>PAD-EH 13.8 kV switchgear e-house</t>
        </is>
      </c>
      <c r="G4433" s="12" t="inlineStr">
        <is>
          <t>JB-FC-12-DI01</t>
        </is>
      </c>
      <c r="H4433" s="12" t="inlineStr">
        <is>
          <t>FC-12: SOFC module (Bloom ES5 class, 200-300 kW)</t>
        </is>
      </c>
      <c r="I4433" s="12" t="inlineStr">
        <is>
          <t>Instrumentation</t>
        </is>
      </c>
      <c r="J4433" s="12" t="inlineStr">
        <is>
          <t>Instrumentation PLTC / TC-ER 300 V, #18 twisted shielded pairs, overall shield</t>
        </is>
      </c>
      <c r="K4433" s="12" t="inlineStr">
        <is>
          <t>PLTC|24 pr|18</t>
        </is>
      </c>
      <c r="L4433" s="12" t="inlineStr">
        <is>
          <t>24 pr</t>
        </is>
      </c>
      <c r="M4433" s="12" t="inlineStr">
        <is>
          <t>18</t>
        </is>
      </c>
      <c r="N4433" s="12" t="n">
        <v>1</v>
      </c>
      <c r="O4433" s="12" t="n">
        <v>1</v>
      </c>
      <c r="P4433" s="12" t="n"/>
      <c r="Q4433" s="12" t="n"/>
      <c r="R4433" s="12" t="n"/>
      <c r="S4433" s="12" t="inlineStr">
        <is>
          <t>Duct bank</t>
        </is>
      </c>
      <c r="T4433" s="17" t="n">
        <v>272</v>
      </c>
      <c r="U4433" s="17" t="n">
        <v>41</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I-I-0067</t>
        </is>
      </c>
      <c r="B4434" s="12" t="inlineStr">
        <is>
          <t>I</t>
        </is>
      </c>
      <c r="C4434" s="12" t="inlineStr">
        <is>
          <t>Modular / portable power</t>
        </is>
      </c>
      <c r="D4434" s="12" t="inlineStr">
        <is>
          <t>Instrumentation</t>
        </is>
      </c>
      <c r="E4434" s="12" t="inlineStr">
        <is>
          <t>PAD-EH</t>
        </is>
      </c>
      <c r="F4434" s="12" t="inlineStr">
        <is>
          <t>PAD-EH 13.8 kV switchgear e-house</t>
        </is>
      </c>
      <c r="G4434" s="12" t="inlineStr"/>
      <c r="H4434" s="12" t="inlineStr">
        <is>
          <t>FC-5..12 inverter / AC cabinet / desulfurizer</t>
        </is>
      </c>
      <c r="I4434" s="12" t="inlineStr">
        <is>
          <t>Instrumentation</t>
        </is>
      </c>
      <c r="J4434" s="12" t="inlineStr">
        <is>
          <t>Instrumentation PLTC / TC-ER 300 V, #18 twisted shielded pairs, overall shield</t>
        </is>
      </c>
      <c r="K4434" s="12" t="inlineStr">
        <is>
          <t>PLTC|4 pr|18</t>
        </is>
      </c>
      <c r="L4434" s="12" t="inlineStr">
        <is>
          <t>4 pr</t>
        </is>
      </c>
      <c r="M4434" s="12" t="inlineStr">
        <is>
          <t>18</t>
        </is>
      </c>
      <c r="N4434" s="12" t="n">
        <v>1</v>
      </c>
      <c r="O4434" s="12" t="n">
        <v>1</v>
      </c>
      <c r="P4434" s="12" t="n"/>
      <c r="Q4434" s="12" t="n"/>
      <c r="R4434" s="12" t="n"/>
      <c r="S4434" s="12" t="inlineStr">
        <is>
          <t>Surface</t>
        </is>
      </c>
      <c r="T4434" s="17" t="n">
        <v>202</v>
      </c>
      <c r="U4434" s="17" t="n">
        <v>37</v>
      </c>
      <c r="V4434" s="17">
        <f>ROUNDUP((T4434+U4434+2*'Read Me'!$B$13)*(1+'Read Me'!$B$12),-1)</f>
        <v/>
      </c>
      <c r="W4434" s="17">
        <f>V4434*N4434*O4434</f>
        <v/>
      </c>
      <c r="X4434" s="12">
        <f>IF(LEFT(I4434,2)="MV",2*N4434*IF(L4434="1/C",O4434,1),0)</f>
        <v/>
      </c>
      <c r="Y4434" s="12">
        <f>IF(OR(LEFT(K4434,4)="LVAX",LEFT(K4434,6)="MV15AX",LEFT(K4434,4)="CTAX",LEFT(K4434,2)="W|"),2*N4434*O4434,0)</f>
        <v/>
      </c>
      <c r="Z4434" s="12" t="inlineStr"/>
      <c r="AA4434" s="12">
        <f>N4434*O4434</f>
        <v/>
      </c>
    </row>
    <row r="4435">
      <c r="A4435" s="12" t="inlineStr">
        <is>
          <t>I-I-0068</t>
        </is>
      </c>
      <c r="B4435" s="12" t="inlineStr">
        <is>
          <t>I</t>
        </is>
      </c>
      <c r="C4435" s="12" t="inlineStr">
        <is>
          <t>Modular / portable power</t>
        </is>
      </c>
      <c r="D4435" s="12" t="inlineStr">
        <is>
          <t>Thermocouples</t>
        </is>
      </c>
      <c r="E4435" s="12" t="inlineStr">
        <is>
          <t>PAD-EH</t>
        </is>
      </c>
      <c r="F4435" s="12" t="inlineStr">
        <is>
          <t>PAD-EH 13.8 kV switchgear e-house</t>
        </is>
      </c>
      <c r="G4435" s="12" t="inlineStr"/>
      <c r="H4435" s="12" t="inlineStr">
        <is>
          <t>FC-5..12 inverter / AC cabinet / desulfurizer</t>
        </is>
      </c>
      <c r="I4435" s="12" t="inlineStr">
        <is>
          <t>Instrumentation</t>
        </is>
      </c>
      <c r="J4435" s="12" t="inlineStr">
        <is>
          <t>Thermocouple extension KX, #16 shielded pairs, PLTC</t>
        </is>
      </c>
      <c r="K4435" s="12" t="inlineStr">
        <is>
          <t>TCX|12 pr|16</t>
        </is>
      </c>
      <c r="L4435" s="12" t="inlineStr">
        <is>
          <t>12 pr</t>
        </is>
      </c>
      <c r="M4435" s="12" t="inlineStr">
        <is>
          <t>16</t>
        </is>
      </c>
      <c r="N4435" s="12" t="n">
        <v>1</v>
      </c>
      <c r="O4435" s="12" t="n">
        <v>1</v>
      </c>
      <c r="P4435" s="12" t="n"/>
      <c r="Q4435" s="12" t="n"/>
      <c r="R4435" s="12" t="n"/>
      <c r="S4435" s="12" t="inlineStr">
        <is>
          <t>Surface</t>
        </is>
      </c>
      <c r="T4435" s="17" t="n">
        <v>202</v>
      </c>
      <c r="U4435" s="17" t="n">
        <v>37</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I-I-0069</t>
        </is>
      </c>
      <c r="B4436" s="12" t="inlineStr">
        <is>
          <t>I</t>
        </is>
      </c>
      <c r="C4436" s="12" t="inlineStr">
        <is>
          <t>Modular / portable power</t>
        </is>
      </c>
      <c r="D4436" s="12" t="inlineStr">
        <is>
          <t>Thermocouples</t>
        </is>
      </c>
      <c r="E4436" s="12" t="inlineStr">
        <is>
          <t>PAD-EH</t>
        </is>
      </c>
      <c r="F4436" s="12" t="inlineStr">
        <is>
          <t>PAD-EH 13.8 kV switchgear e-house</t>
        </is>
      </c>
      <c r="G4436" s="12" t="inlineStr"/>
      <c r="H4436" s="12" t="inlineStr">
        <is>
          <t>FC-5..12 inverter / AC cabinet / desulfurizer</t>
        </is>
      </c>
      <c r="I4436" s="12" t="inlineStr">
        <is>
          <t>Instrumentation</t>
        </is>
      </c>
      <c r="J4436" s="12" t="inlineStr">
        <is>
          <t>Thermocouple extension KX, #16 shielded pairs, PLTC</t>
        </is>
      </c>
      <c r="K4436" s="12" t="inlineStr">
        <is>
          <t>TCX|12 pr|16</t>
        </is>
      </c>
      <c r="L4436" s="12" t="inlineStr">
        <is>
          <t>12 pr</t>
        </is>
      </c>
      <c r="M4436" s="12" t="inlineStr">
        <is>
          <t>16</t>
        </is>
      </c>
      <c r="N4436" s="12" t="n">
        <v>1</v>
      </c>
      <c r="O4436" s="12" t="n">
        <v>1</v>
      </c>
      <c r="P4436" s="12" t="n"/>
      <c r="Q4436" s="12" t="n"/>
      <c r="R4436" s="12" t="n"/>
      <c r="S4436" s="12" t="inlineStr">
        <is>
          <t>Surface</t>
        </is>
      </c>
      <c r="T4436" s="17" t="n">
        <v>202</v>
      </c>
      <c r="U4436" s="17" t="n">
        <v>37</v>
      </c>
      <c r="V4436" s="17">
        <f>ROUNDUP((T4436+U4436+2*'Read Me'!$B$13)*(1+'Read Me'!$B$12),-1)</f>
        <v/>
      </c>
      <c r="W4436" s="17">
        <f>V4436*N4436*O4436</f>
        <v/>
      </c>
      <c r="X4436" s="12">
        <f>IF(LEFT(I4436,2)="MV",2*N4436*IF(L4436="1/C",O4436,1),0)</f>
        <v/>
      </c>
      <c r="Y4436" s="12">
        <f>IF(OR(LEFT(K4436,4)="LVAX",LEFT(K4436,6)="MV15AX",LEFT(K4436,4)="CTAX",LEFT(K4436,2)="W|"),2*N4436*O4436,0)</f>
        <v/>
      </c>
      <c r="Z4436" s="12" t="inlineStr"/>
      <c r="AA4436" s="12">
        <f>N4436*O4436</f>
        <v/>
      </c>
    </row>
    <row r="4437">
      <c r="A4437" s="12" t="inlineStr">
        <is>
          <t>I-I-0070</t>
        </is>
      </c>
      <c r="B4437" s="12" t="inlineStr">
        <is>
          <t>I</t>
        </is>
      </c>
      <c r="C4437" s="12" t="inlineStr">
        <is>
          <t>Modular / portable power</t>
        </is>
      </c>
      <c r="D4437" s="12" t="inlineStr">
        <is>
          <t>Analog instrument to JB JB-FC-5-AI01: 10 x 1 pr (field cables)</t>
        </is>
      </c>
      <c r="E4437" s="12" t="inlineStr">
        <is>
          <t>FC-5</t>
        </is>
      </c>
      <c r="F4437" s="12" t="inlineStr">
        <is>
          <t>FC-5: SOFC module (Bloom ES5 class, 200-300 kW)</t>
        </is>
      </c>
      <c r="G4437" s="12" t="inlineStr">
        <is>
          <t>JB-FC-5-AI01</t>
        </is>
      </c>
      <c r="H4437" s="12" t="inlineStr">
        <is>
          <t>FC-5: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7" t="n">
        <v>45</v>
      </c>
      <c r="U4437" s="17" t="n">
        <v>10</v>
      </c>
      <c r="V4437" s="17">
        <f>ROUNDUP((T4437+U4437+2*'Read Me'!$B$13)*(1+'Read Me'!$B$12),-1)</f>
        <v/>
      </c>
      <c r="W4437" s="17">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I-I-0071</t>
        </is>
      </c>
      <c r="B4438" s="12" t="inlineStr">
        <is>
          <t>I</t>
        </is>
      </c>
      <c r="C4438" s="12" t="inlineStr">
        <is>
          <t>Modular / portable power</t>
        </is>
      </c>
      <c r="D4438" s="12" t="inlineStr">
        <is>
          <t>Home run JB-FC-5-AI01 to the control / marshalling room</t>
        </is>
      </c>
      <c r="E4438" s="12" t="inlineStr">
        <is>
          <t>PAD-EH</t>
        </is>
      </c>
      <c r="F4438" s="12" t="inlineStr">
        <is>
          <t>PAD-EH 13.8 kV switchgear e-house</t>
        </is>
      </c>
      <c r="G4438" s="12" t="inlineStr">
        <is>
          <t>JB-FC-5-AI01</t>
        </is>
      </c>
      <c r="H4438" s="12" t="inlineStr">
        <is>
          <t>FC-5: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7" t="n">
        <v>356</v>
      </c>
      <c r="U4438" s="17" t="n">
        <v>50</v>
      </c>
      <c r="V4438" s="17">
        <f>ROUNDUP((T4438+U4438+2*'Read Me'!$B$13)*(1+'Read Me'!$B$12),-1)</f>
        <v/>
      </c>
      <c r="W4438" s="17">
        <f>V4438*N4438*O4438</f>
        <v/>
      </c>
      <c r="X4438" s="12">
        <f>IF(LEFT(I4438,2)="MV",2*N4438*IF(L4438="1/C",O4438,1),0)</f>
        <v/>
      </c>
      <c r="Y4438" s="12">
        <f>IF(OR(LEFT(K4438,4)="LVAX",LEFT(K4438,6)="MV15AX",LEFT(K4438,4)="CTAX",LEFT(K4438,2)="W|"),2*N4438*O4438,0)</f>
        <v/>
      </c>
      <c r="Z4438" s="12" t="inlineStr"/>
      <c r="AA4438" s="12">
        <f>N4438*O4438</f>
        <v/>
      </c>
    </row>
    <row r="4439">
      <c r="A4439" s="12" t="inlineStr">
        <is>
          <t>I-I-0072</t>
        </is>
      </c>
      <c r="B4439" s="12" t="inlineStr">
        <is>
          <t>I</t>
        </is>
      </c>
      <c r="C4439" s="12" t="inlineStr">
        <is>
          <t>Modular / portable power</t>
        </is>
      </c>
      <c r="D4439" s="12" t="inlineStr">
        <is>
          <t>Discrete device to JB JB-FC-5-DI01: 10 x 1 pr (field cables)</t>
        </is>
      </c>
      <c r="E4439" s="12" t="inlineStr">
        <is>
          <t>FC-5</t>
        </is>
      </c>
      <c r="F4439" s="12" t="inlineStr">
        <is>
          <t>FC-5: SOFC module (Bloom ES5 class, 200-300 kW)</t>
        </is>
      </c>
      <c r="G4439" s="12" t="inlineStr">
        <is>
          <t>JB-FC-5-DI01</t>
        </is>
      </c>
      <c r="H4439" s="12" t="inlineStr">
        <is>
          <t>FC-5: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7" t="n">
        <v>45</v>
      </c>
      <c r="U4439" s="17" t="n">
        <v>10</v>
      </c>
      <c r="V4439" s="17">
        <f>ROUNDUP((T4439+U4439+2*'Read Me'!$B$13)*(1+'Read Me'!$B$12),-1)</f>
        <v/>
      </c>
      <c r="W4439" s="17">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I-I-0073</t>
        </is>
      </c>
      <c r="B4440" s="12" t="inlineStr">
        <is>
          <t>I</t>
        </is>
      </c>
      <c r="C4440" s="12" t="inlineStr">
        <is>
          <t>Modular / portable power</t>
        </is>
      </c>
      <c r="D4440" s="12" t="inlineStr">
        <is>
          <t>Home run JB-FC-5-DI01 to the control / marshalling room</t>
        </is>
      </c>
      <c r="E4440" s="12" t="inlineStr">
        <is>
          <t>PAD-EH</t>
        </is>
      </c>
      <c r="F4440" s="12" t="inlineStr">
        <is>
          <t>PAD-EH 13.8 kV switchgear e-house</t>
        </is>
      </c>
      <c r="G4440" s="12" t="inlineStr">
        <is>
          <t>JB-FC-5-DI01</t>
        </is>
      </c>
      <c r="H4440" s="12" t="inlineStr">
        <is>
          <t>FC-5: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7" t="n">
        <v>356</v>
      </c>
      <c r="U4440" s="17" t="n">
        <v>50</v>
      </c>
      <c r="V4440" s="17">
        <f>ROUNDUP((T4440+U4440+2*'Read Me'!$B$13)*(1+'Read Me'!$B$12),-1)</f>
        <v/>
      </c>
      <c r="W4440" s="17">
        <f>V4440*N4440*O4440</f>
        <v/>
      </c>
      <c r="X4440" s="12">
        <f>IF(LEFT(I4440,2)="MV",2*N4440*IF(L4440="1/C",O4440,1),0)</f>
        <v/>
      </c>
      <c r="Y4440" s="12">
        <f>IF(OR(LEFT(K4440,4)="LVAX",LEFT(K4440,6)="MV15AX",LEFT(K4440,4)="CTAX",LEFT(K4440,2)="W|"),2*N4440*O4440,0)</f>
        <v/>
      </c>
      <c r="Z4440" s="12" t="inlineStr"/>
      <c r="AA4440" s="12">
        <f>N4440*O4440</f>
        <v/>
      </c>
    </row>
    <row r="4441">
      <c r="A4441" s="12" t="inlineStr">
        <is>
          <t>I-I-0074</t>
        </is>
      </c>
      <c r="B4441" s="12" t="inlineStr">
        <is>
          <t>I</t>
        </is>
      </c>
      <c r="C4441" s="12" t="inlineStr">
        <is>
          <t>Modular / portable power</t>
        </is>
      </c>
      <c r="D4441" s="12" t="inlineStr">
        <is>
          <t>Analog instrument to JB JB-FC-6-AI01: 10 x 1 pr (field cables)</t>
        </is>
      </c>
      <c r="E4441" s="12" t="inlineStr">
        <is>
          <t>FC-6</t>
        </is>
      </c>
      <c r="F4441" s="12" t="inlineStr">
        <is>
          <t>FC-6: SOFC module (Bloom ES5 class, 200-300 kW)</t>
        </is>
      </c>
      <c r="G4441" s="12" t="inlineStr">
        <is>
          <t>JB-FC-6-AI01</t>
        </is>
      </c>
      <c r="H4441" s="12" t="inlineStr">
        <is>
          <t>FC-6: SOFC module (Bloom ES5 class, 200-300 kW)</t>
        </is>
      </c>
      <c r="I4441" s="12" t="inlineStr">
        <is>
          <t>Instrumentation</t>
        </is>
      </c>
      <c r="J4441" s="12" t="inlineStr">
        <is>
          <t>Instrumentation PLTC / TC-ER 300 V, #18 twisted shielded pairs, overall shield</t>
        </is>
      </c>
      <c r="K4441" s="12" t="inlineStr">
        <is>
          <t>PLTC|1 pr|16</t>
        </is>
      </c>
      <c r="L4441" s="12" t="inlineStr">
        <is>
          <t>1 pr</t>
        </is>
      </c>
      <c r="M4441" s="12" t="inlineStr">
        <is>
          <t>16</t>
        </is>
      </c>
      <c r="N4441" s="12" t="n">
        <v>10</v>
      </c>
      <c r="O4441" s="12" t="n">
        <v>1</v>
      </c>
      <c r="P4441" s="12" t="n"/>
      <c r="Q4441" s="12" t="n"/>
      <c r="R4441" s="12" t="n"/>
      <c r="S4441" s="12" t="inlineStr">
        <is>
          <t>Tray / conduit</t>
        </is>
      </c>
      <c r="T4441" s="17" t="n">
        <v>45</v>
      </c>
      <c r="U4441" s="17" t="n">
        <v>10</v>
      </c>
      <c r="V4441" s="17">
        <f>ROUNDUP((T4441+U4441+2*'Read Me'!$B$13)*(1+'Read Me'!$B$12),-1)</f>
        <v/>
      </c>
      <c r="W4441" s="17">
        <f>V4441*N4441*O4441</f>
        <v/>
      </c>
      <c r="X4441" s="12">
        <f>IF(LEFT(I4441,2)="MV",2*N4441*IF(L4441="1/C",O4441,1),0)</f>
        <v/>
      </c>
      <c r="Y4441" s="12">
        <f>IF(OR(LEFT(K4441,4)="LVAX",LEFT(K4441,6)="MV15AX",LEFT(K4441,4)="CTAX",LEFT(K4441,2)="W|"),2*N4441*O4441,0)</f>
        <v/>
      </c>
      <c r="Z4441" s="12" t="inlineStr">
        <is>
          <t>device-to-JB field wiring, one cable per device</t>
        </is>
      </c>
      <c r="AA4441" s="12">
        <f>N4441*O4441</f>
        <v/>
      </c>
    </row>
    <row r="4442">
      <c r="A4442" s="12" t="inlineStr">
        <is>
          <t>I-I-0075</t>
        </is>
      </c>
      <c r="B4442" s="12" t="inlineStr">
        <is>
          <t>I</t>
        </is>
      </c>
      <c r="C4442" s="12" t="inlineStr">
        <is>
          <t>Modular / portable power</t>
        </is>
      </c>
      <c r="D4442" s="12" t="inlineStr">
        <is>
          <t>Home run JB-FC-6-AI01 to the control / marshalling room</t>
        </is>
      </c>
      <c r="E4442" s="12" t="inlineStr">
        <is>
          <t>PAD-EH</t>
        </is>
      </c>
      <c r="F4442" s="12" t="inlineStr">
        <is>
          <t>PAD-EH 13.8 kV switchgear e-house</t>
        </is>
      </c>
      <c r="G4442" s="12" t="inlineStr">
        <is>
          <t>JB-FC-6-AI01</t>
        </is>
      </c>
      <c r="H4442" s="12" t="inlineStr">
        <is>
          <t>FC-6: SOFC module (Bloom ES5 class, 200-300 kW)</t>
        </is>
      </c>
      <c r="I4442" s="12" t="inlineStr">
        <is>
          <t>Instrumentation</t>
        </is>
      </c>
      <c r="J4442" s="12" t="inlineStr">
        <is>
          <t>Instrumentation PLTC / TC-ER 300 V, #18 twisted shielded pairs, overall shield</t>
        </is>
      </c>
      <c r="K4442" s="12" t="inlineStr">
        <is>
          <t>PLTC|24 pr|18</t>
        </is>
      </c>
      <c r="L4442" s="12" t="inlineStr">
        <is>
          <t>24 pr</t>
        </is>
      </c>
      <c r="M4442" s="12" t="inlineStr">
        <is>
          <t>18</t>
        </is>
      </c>
      <c r="N4442" s="12" t="n">
        <v>1</v>
      </c>
      <c r="O4442" s="12" t="n">
        <v>1</v>
      </c>
      <c r="P4442" s="12" t="n"/>
      <c r="Q4442" s="12" t="n"/>
      <c r="R4442" s="12" t="n"/>
      <c r="S4442" s="12" t="inlineStr">
        <is>
          <t>Duct bank</t>
        </is>
      </c>
      <c r="T4442" s="17" t="n">
        <v>342</v>
      </c>
      <c r="U4442" s="17" t="n">
        <v>50</v>
      </c>
      <c r="V4442" s="17">
        <f>ROUNDUP((T4442+U4442+2*'Read Me'!$B$13)*(1+'Read Me'!$B$12),-1)</f>
        <v/>
      </c>
      <c r="W4442" s="17">
        <f>V4442*N4442*O4442</f>
        <v/>
      </c>
      <c r="X4442" s="12">
        <f>IF(LEFT(I4442,2)="MV",2*N4442*IF(L4442="1/C",O4442,1),0)</f>
        <v/>
      </c>
      <c r="Y4442" s="12">
        <f>IF(OR(LEFT(K4442,4)="LVAX",LEFT(K4442,6)="MV15AX",LEFT(K4442,4)="CTAX",LEFT(K4442,2)="W|"),2*N4442*O4442,0)</f>
        <v/>
      </c>
      <c r="Z4442" s="12" t="inlineStr"/>
      <c r="AA4442" s="12">
        <f>N4442*O4442</f>
        <v/>
      </c>
    </row>
    <row r="4443">
      <c r="A4443" s="12" t="inlineStr">
        <is>
          <t>I-I-0076</t>
        </is>
      </c>
      <c r="B4443" s="12" t="inlineStr">
        <is>
          <t>I</t>
        </is>
      </c>
      <c r="C4443" s="12" t="inlineStr">
        <is>
          <t>Modular / portable power</t>
        </is>
      </c>
      <c r="D4443" s="12" t="inlineStr">
        <is>
          <t>Discrete device to JB JB-FC-6-DI01: 10 x 1 pr (field cables)</t>
        </is>
      </c>
      <c r="E4443" s="12" t="inlineStr">
        <is>
          <t>FC-6</t>
        </is>
      </c>
      <c r="F4443" s="12" t="inlineStr">
        <is>
          <t>FC-6: SOFC module (Bloom ES5 class, 200-300 kW)</t>
        </is>
      </c>
      <c r="G4443" s="12" t="inlineStr">
        <is>
          <t>JB-FC-6-DI01</t>
        </is>
      </c>
      <c r="H4443" s="12" t="inlineStr">
        <is>
          <t>FC-6: SOFC module (Bloom ES5 class, 200-300 kW)</t>
        </is>
      </c>
      <c r="I4443" s="12" t="inlineStr">
        <is>
          <t>Instrumentation</t>
        </is>
      </c>
      <c r="J4443" s="12" t="inlineStr">
        <is>
          <t>Instrumentation PLTC / TC-ER 300 V, #18 twisted shielded pairs, overall shield</t>
        </is>
      </c>
      <c r="K4443" s="12" t="inlineStr">
        <is>
          <t>PLTC|1 pr|16</t>
        </is>
      </c>
      <c r="L4443" s="12" t="inlineStr">
        <is>
          <t>1 pr</t>
        </is>
      </c>
      <c r="M4443" s="12" t="inlineStr">
        <is>
          <t>16</t>
        </is>
      </c>
      <c r="N4443" s="12" t="n">
        <v>10</v>
      </c>
      <c r="O4443" s="12" t="n">
        <v>1</v>
      </c>
      <c r="P4443" s="12" t="n"/>
      <c r="Q4443" s="12" t="n"/>
      <c r="R4443" s="12" t="n"/>
      <c r="S4443" s="12" t="inlineStr">
        <is>
          <t>Tray / conduit</t>
        </is>
      </c>
      <c r="T4443" s="17" t="n">
        <v>45</v>
      </c>
      <c r="U4443" s="17" t="n">
        <v>10</v>
      </c>
      <c r="V4443" s="17">
        <f>ROUNDUP((T4443+U4443+2*'Read Me'!$B$13)*(1+'Read Me'!$B$12),-1)</f>
        <v/>
      </c>
      <c r="W4443" s="17">
        <f>V4443*N4443*O4443</f>
        <v/>
      </c>
      <c r="X4443" s="12">
        <f>IF(LEFT(I4443,2)="MV",2*N4443*IF(L4443="1/C",O4443,1),0)</f>
        <v/>
      </c>
      <c r="Y4443" s="12">
        <f>IF(OR(LEFT(K4443,4)="LVAX",LEFT(K4443,6)="MV15AX",LEFT(K4443,4)="CTAX",LEFT(K4443,2)="W|"),2*N4443*O4443,0)</f>
        <v/>
      </c>
      <c r="Z4443" s="12" t="inlineStr">
        <is>
          <t>device-to-JB field wiring, one cable per device</t>
        </is>
      </c>
      <c r="AA4443" s="12">
        <f>N4443*O4443</f>
        <v/>
      </c>
    </row>
    <row r="4444">
      <c r="A4444" s="12" t="inlineStr">
        <is>
          <t>I-I-0077</t>
        </is>
      </c>
      <c r="B4444" s="12" t="inlineStr">
        <is>
          <t>I</t>
        </is>
      </c>
      <c r="C4444" s="12" t="inlineStr">
        <is>
          <t>Modular / portable power</t>
        </is>
      </c>
      <c r="D4444" s="12" t="inlineStr">
        <is>
          <t>Home run JB-FC-6-DI01 to the control / marshalling room</t>
        </is>
      </c>
      <c r="E4444" s="12" t="inlineStr">
        <is>
          <t>PAD-EH</t>
        </is>
      </c>
      <c r="F4444" s="12" t="inlineStr">
        <is>
          <t>PAD-EH 13.8 kV switchgear e-house</t>
        </is>
      </c>
      <c r="G4444" s="12" t="inlineStr">
        <is>
          <t>JB-FC-6-DI01</t>
        </is>
      </c>
      <c r="H4444" s="12" t="inlineStr">
        <is>
          <t>FC-6: SOFC module (Bloom ES5 class, 200-300 kW)</t>
        </is>
      </c>
      <c r="I4444" s="12" t="inlineStr">
        <is>
          <t>Instrumentation</t>
        </is>
      </c>
      <c r="J4444" s="12" t="inlineStr">
        <is>
          <t>Instrumentation PLTC / TC-ER 300 V, #18 twisted shielded pairs, overall shield</t>
        </is>
      </c>
      <c r="K4444" s="12" t="inlineStr">
        <is>
          <t>PLTC|24 pr|18</t>
        </is>
      </c>
      <c r="L4444" s="12" t="inlineStr">
        <is>
          <t>24 pr</t>
        </is>
      </c>
      <c r="M4444" s="12" t="inlineStr">
        <is>
          <t>18</t>
        </is>
      </c>
      <c r="N4444" s="12" t="n">
        <v>1</v>
      </c>
      <c r="O4444" s="12" t="n">
        <v>1</v>
      </c>
      <c r="P4444" s="12" t="n"/>
      <c r="Q4444" s="12" t="n"/>
      <c r="R4444" s="12" t="n"/>
      <c r="S4444" s="12" t="inlineStr">
        <is>
          <t>Duct bank</t>
        </is>
      </c>
      <c r="T4444" s="17" t="n">
        <v>342</v>
      </c>
      <c r="U4444" s="17" t="n">
        <v>50</v>
      </c>
      <c r="V4444" s="17">
        <f>ROUNDUP((T4444+U4444+2*'Read Me'!$B$13)*(1+'Read Me'!$B$12),-1)</f>
        <v/>
      </c>
      <c r="W4444" s="17">
        <f>V4444*N4444*O4444</f>
        <v/>
      </c>
      <c r="X4444" s="12">
        <f>IF(LEFT(I4444,2)="MV",2*N4444*IF(L4444="1/C",O4444,1),0)</f>
        <v/>
      </c>
      <c r="Y4444" s="12">
        <f>IF(OR(LEFT(K4444,4)="LVAX",LEFT(K4444,6)="MV15AX",LEFT(K4444,4)="CTAX",LEFT(K4444,2)="W|"),2*N4444*O4444,0)</f>
        <v/>
      </c>
      <c r="Z4444" s="12" t="inlineStr"/>
      <c r="AA4444" s="12">
        <f>N4444*O4444</f>
        <v/>
      </c>
    </row>
    <row r="4445">
      <c r="A4445" s="12" t="inlineStr">
        <is>
          <t>I-I-0078</t>
        </is>
      </c>
      <c r="B4445" s="12" t="inlineStr">
        <is>
          <t>I</t>
        </is>
      </c>
      <c r="C4445" s="12" t="inlineStr">
        <is>
          <t>Modular / portable power</t>
        </is>
      </c>
      <c r="D4445" s="12" t="inlineStr">
        <is>
          <t>Analog instrument to JB JB-FC-7-AI01: 10 x 1 pr (field cables)</t>
        </is>
      </c>
      <c r="E4445" s="12" t="inlineStr">
        <is>
          <t>FC-7</t>
        </is>
      </c>
      <c r="F4445" s="12" t="inlineStr">
        <is>
          <t>FC-7: SOFC module (Bloom ES5 class, 200-300 kW)</t>
        </is>
      </c>
      <c r="G4445" s="12" t="inlineStr">
        <is>
          <t>JB-FC-7-AI01</t>
        </is>
      </c>
      <c r="H4445" s="12" t="inlineStr">
        <is>
          <t>FC-7: SOFC module (Bloom ES5 class, 200-300 kW)</t>
        </is>
      </c>
      <c r="I4445" s="12" t="inlineStr">
        <is>
          <t>Instrumentation</t>
        </is>
      </c>
      <c r="J4445" s="12" t="inlineStr">
        <is>
          <t>Instrumentation PLTC / TC-ER 300 V, #18 twisted shielded pairs, overall shield</t>
        </is>
      </c>
      <c r="K4445" s="12" t="inlineStr">
        <is>
          <t>PLTC|1 pr|16</t>
        </is>
      </c>
      <c r="L4445" s="12" t="inlineStr">
        <is>
          <t>1 pr</t>
        </is>
      </c>
      <c r="M4445" s="12" t="inlineStr">
        <is>
          <t>16</t>
        </is>
      </c>
      <c r="N4445" s="12" t="n">
        <v>10</v>
      </c>
      <c r="O4445" s="12" t="n">
        <v>1</v>
      </c>
      <c r="P4445" s="12" t="n"/>
      <c r="Q4445" s="12" t="n"/>
      <c r="R4445" s="12" t="n"/>
      <c r="S4445" s="12" t="inlineStr">
        <is>
          <t>Tray / conduit</t>
        </is>
      </c>
      <c r="T4445" s="17" t="n">
        <v>45</v>
      </c>
      <c r="U4445" s="17" t="n">
        <v>10</v>
      </c>
      <c r="V4445" s="17">
        <f>ROUNDUP((T4445+U4445+2*'Read Me'!$B$13)*(1+'Read Me'!$B$12),-1)</f>
        <v/>
      </c>
      <c r="W4445" s="17">
        <f>V4445*N4445*O4445</f>
        <v/>
      </c>
      <c r="X4445" s="12">
        <f>IF(LEFT(I4445,2)="MV",2*N4445*IF(L4445="1/C",O4445,1),0)</f>
        <v/>
      </c>
      <c r="Y4445" s="12">
        <f>IF(OR(LEFT(K4445,4)="LVAX",LEFT(K4445,6)="MV15AX",LEFT(K4445,4)="CTAX",LEFT(K4445,2)="W|"),2*N4445*O4445,0)</f>
        <v/>
      </c>
      <c r="Z4445" s="12" t="inlineStr">
        <is>
          <t>device-to-JB field wiring, one cable per device</t>
        </is>
      </c>
      <c r="AA4445" s="12">
        <f>N4445*O4445</f>
        <v/>
      </c>
    </row>
    <row r="4446">
      <c r="A4446" s="12" t="inlineStr">
        <is>
          <t>I-I-0079</t>
        </is>
      </c>
      <c r="B4446" s="12" t="inlineStr">
        <is>
          <t>I</t>
        </is>
      </c>
      <c r="C4446" s="12" t="inlineStr">
        <is>
          <t>Modular / portable power</t>
        </is>
      </c>
      <c r="D4446" s="12" t="inlineStr">
        <is>
          <t>Home run JB-FC-7-AI01 to the control / marshalling room</t>
        </is>
      </c>
      <c r="E4446" s="12" t="inlineStr">
        <is>
          <t>PAD-EH</t>
        </is>
      </c>
      <c r="F4446" s="12" t="inlineStr">
        <is>
          <t>PAD-EH 13.8 kV switchgear e-house</t>
        </is>
      </c>
      <c r="G4446" s="12" t="inlineStr">
        <is>
          <t>JB-FC-7-AI01</t>
        </is>
      </c>
      <c r="H4446" s="12" t="inlineStr">
        <is>
          <t>FC-7: SOFC module (Bloom ES5 class, 200-300 kW)</t>
        </is>
      </c>
      <c r="I4446" s="12" t="inlineStr">
        <is>
          <t>Instrumentation</t>
        </is>
      </c>
      <c r="J4446" s="12" t="inlineStr">
        <is>
          <t>Instrumentation PLTC / TC-ER 300 V, #18 twisted shielded pairs, overall shield</t>
        </is>
      </c>
      <c r="K4446" s="12" t="inlineStr">
        <is>
          <t>PLTC|24 pr|18</t>
        </is>
      </c>
      <c r="L4446" s="12" t="inlineStr">
        <is>
          <t>24 pr</t>
        </is>
      </c>
      <c r="M4446" s="12" t="inlineStr">
        <is>
          <t>18</t>
        </is>
      </c>
      <c r="N4446" s="12" t="n">
        <v>1</v>
      </c>
      <c r="O4446" s="12" t="n">
        <v>1</v>
      </c>
      <c r="P4446" s="12" t="n"/>
      <c r="Q4446" s="12" t="n"/>
      <c r="R4446" s="12" t="n"/>
      <c r="S4446" s="12" t="inlineStr">
        <is>
          <t>Duct bank</t>
        </is>
      </c>
      <c r="T4446" s="17" t="n">
        <v>328</v>
      </c>
      <c r="U4446" s="17" t="n">
        <v>50</v>
      </c>
      <c r="V4446" s="17">
        <f>ROUNDUP((T4446+U4446+2*'Read Me'!$B$13)*(1+'Read Me'!$B$12),-1)</f>
        <v/>
      </c>
      <c r="W4446" s="17">
        <f>V4446*N4446*O4446</f>
        <v/>
      </c>
      <c r="X4446" s="12">
        <f>IF(LEFT(I4446,2)="MV",2*N4446*IF(L4446="1/C",O4446,1),0)</f>
        <v/>
      </c>
      <c r="Y4446" s="12">
        <f>IF(OR(LEFT(K4446,4)="LVAX",LEFT(K4446,6)="MV15AX",LEFT(K4446,4)="CTAX",LEFT(K4446,2)="W|"),2*N4446*O4446,0)</f>
        <v/>
      </c>
      <c r="Z4446" s="12" t="inlineStr"/>
      <c r="AA4446" s="12">
        <f>N4446*O4446</f>
        <v/>
      </c>
    </row>
    <row r="4447">
      <c r="A4447" s="12" t="inlineStr">
        <is>
          <t>I-I-0080</t>
        </is>
      </c>
      <c r="B4447" s="12" t="inlineStr">
        <is>
          <t>I</t>
        </is>
      </c>
      <c r="C4447" s="12" t="inlineStr">
        <is>
          <t>Modular / portable power</t>
        </is>
      </c>
      <c r="D4447" s="12" t="inlineStr">
        <is>
          <t>Discrete device to JB JB-FC-7-DI01: 10 x 1 pr (field cables)</t>
        </is>
      </c>
      <c r="E4447" s="12" t="inlineStr">
        <is>
          <t>FC-7</t>
        </is>
      </c>
      <c r="F4447" s="12" t="inlineStr">
        <is>
          <t>FC-7: SOFC module (Bloom ES5 class, 200-300 kW)</t>
        </is>
      </c>
      <c r="G4447" s="12" t="inlineStr">
        <is>
          <t>JB-FC-7-DI01</t>
        </is>
      </c>
      <c r="H4447" s="12" t="inlineStr">
        <is>
          <t>FC-7: SOFC module (Bloom ES5 class, 200-300 kW)</t>
        </is>
      </c>
      <c r="I4447" s="12" t="inlineStr">
        <is>
          <t>Instrumentation</t>
        </is>
      </c>
      <c r="J4447" s="12" t="inlineStr">
        <is>
          <t>Instrumentation PLTC / TC-ER 300 V, #18 twisted shielded pairs, overall shield</t>
        </is>
      </c>
      <c r="K4447" s="12" t="inlineStr">
        <is>
          <t>PLTC|1 pr|16</t>
        </is>
      </c>
      <c r="L4447" s="12" t="inlineStr">
        <is>
          <t>1 pr</t>
        </is>
      </c>
      <c r="M4447" s="12" t="inlineStr">
        <is>
          <t>16</t>
        </is>
      </c>
      <c r="N4447" s="12" t="n">
        <v>10</v>
      </c>
      <c r="O4447" s="12" t="n">
        <v>1</v>
      </c>
      <c r="P4447" s="12" t="n"/>
      <c r="Q4447" s="12" t="n"/>
      <c r="R4447" s="12" t="n"/>
      <c r="S4447" s="12" t="inlineStr">
        <is>
          <t>Tray / conduit</t>
        </is>
      </c>
      <c r="T4447" s="17" t="n">
        <v>45</v>
      </c>
      <c r="U4447" s="17" t="n">
        <v>10</v>
      </c>
      <c r="V4447" s="17">
        <f>ROUNDUP((T4447+U4447+2*'Read Me'!$B$13)*(1+'Read Me'!$B$12),-1)</f>
        <v/>
      </c>
      <c r="W4447" s="17">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I-I-0081</t>
        </is>
      </c>
      <c r="B4448" s="12" t="inlineStr">
        <is>
          <t>I</t>
        </is>
      </c>
      <c r="C4448" s="12" t="inlineStr">
        <is>
          <t>Modular / portable power</t>
        </is>
      </c>
      <c r="D4448" s="12" t="inlineStr">
        <is>
          <t>Home run JB-FC-7-DI01 to the control / marshalling room</t>
        </is>
      </c>
      <c r="E4448" s="12" t="inlineStr">
        <is>
          <t>PAD-EH</t>
        </is>
      </c>
      <c r="F4448" s="12" t="inlineStr">
        <is>
          <t>PAD-EH 13.8 kV switchgear e-house</t>
        </is>
      </c>
      <c r="G4448" s="12" t="inlineStr">
        <is>
          <t>JB-FC-7-DI01</t>
        </is>
      </c>
      <c r="H4448" s="12" t="inlineStr">
        <is>
          <t>FC-7: SOFC module (Bloom ES5 class, 200-300 kW)</t>
        </is>
      </c>
      <c r="I4448" s="12" t="inlineStr">
        <is>
          <t>Instrumentation</t>
        </is>
      </c>
      <c r="J4448" s="12" t="inlineStr">
        <is>
          <t>Instrumentation PLTC / TC-ER 300 V, #18 twisted shielded pairs, overall shield</t>
        </is>
      </c>
      <c r="K4448" s="12" t="inlineStr">
        <is>
          <t>PLTC|24 pr|18</t>
        </is>
      </c>
      <c r="L4448" s="12" t="inlineStr">
        <is>
          <t>24 pr</t>
        </is>
      </c>
      <c r="M4448" s="12" t="inlineStr">
        <is>
          <t>18</t>
        </is>
      </c>
      <c r="N4448" s="12" t="n">
        <v>1</v>
      </c>
      <c r="O4448" s="12" t="n">
        <v>1</v>
      </c>
      <c r="P4448" s="12" t="n"/>
      <c r="Q4448" s="12" t="n"/>
      <c r="R4448" s="12" t="n"/>
      <c r="S4448" s="12" t="inlineStr">
        <is>
          <t>Duct bank</t>
        </is>
      </c>
      <c r="T4448" s="17" t="n">
        <v>328</v>
      </c>
      <c r="U4448" s="17" t="n">
        <v>50</v>
      </c>
      <c r="V4448" s="17">
        <f>ROUNDUP((T4448+U4448+2*'Read Me'!$B$13)*(1+'Read Me'!$B$12),-1)</f>
        <v/>
      </c>
      <c r="W4448" s="17">
        <f>V4448*N4448*O4448</f>
        <v/>
      </c>
      <c r="X4448" s="12">
        <f>IF(LEFT(I4448,2)="MV",2*N4448*IF(L4448="1/C",O4448,1),0)</f>
        <v/>
      </c>
      <c r="Y4448" s="12">
        <f>IF(OR(LEFT(K4448,4)="LVAX",LEFT(K4448,6)="MV15AX",LEFT(K4448,4)="CTAX",LEFT(K4448,2)="W|"),2*N4448*O4448,0)</f>
        <v/>
      </c>
      <c r="Z4448" s="12" t="inlineStr"/>
      <c r="AA4448" s="12">
        <f>N4448*O4448</f>
        <v/>
      </c>
    </row>
    <row r="4449">
      <c r="A4449" s="12" t="inlineStr">
        <is>
          <t>I-I-0082</t>
        </is>
      </c>
      <c r="B4449" s="12" t="inlineStr">
        <is>
          <t>I</t>
        </is>
      </c>
      <c r="C4449" s="12" t="inlineStr">
        <is>
          <t>Modular / portable power</t>
        </is>
      </c>
      <c r="D4449" s="12" t="inlineStr">
        <is>
          <t>Analog instrument to JB JB-FC-8-AI01: 10 x 1 pr (field cables)</t>
        </is>
      </c>
      <c r="E4449" s="12" t="inlineStr">
        <is>
          <t>FC-8</t>
        </is>
      </c>
      <c r="F4449" s="12" t="inlineStr">
        <is>
          <t>FC-8: SOFC module (Bloom ES5 class, 200-300 kW)</t>
        </is>
      </c>
      <c r="G4449" s="12" t="inlineStr">
        <is>
          <t>JB-FC-8-AI01</t>
        </is>
      </c>
      <c r="H4449" s="12" t="inlineStr">
        <is>
          <t>FC-8: SOFC module (Bloom ES5 class, 200-300 kW)</t>
        </is>
      </c>
      <c r="I4449" s="12" t="inlineStr">
        <is>
          <t>Instrumentation</t>
        </is>
      </c>
      <c r="J4449" s="12" t="inlineStr">
        <is>
          <t>Instrumentation PLTC / TC-ER 300 V, #18 twisted shielded pairs, overall shield</t>
        </is>
      </c>
      <c r="K4449" s="12" t="inlineStr">
        <is>
          <t>PLTC|1 pr|16</t>
        </is>
      </c>
      <c r="L4449" s="12" t="inlineStr">
        <is>
          <t>1 pr</t>
        </is>
      </c>
      <c r="M4449" s="12" t="inlineStr">
        <is>
          <t>16</t>
        </is>
      </c>
      <c r="N4449" s="12" t="n">
        <v>10</v>
      </c>
      <c r="O4449" s="12" t="n">
        <v>1</v>
      </c>
      <c r="P4449" s="12" t="n"/>
      <c r="Q4449" s="12" t="n"/>
      <c r="R4449" s="12" t="n"/>
      <c r="S4449" s="12" t="inlineStr">
        <is>
          <t>Tray / conduit</t>
        </is>
      </c>
      <c r="T4449" s="17" t="n">
        <v>45</v>
      </c>
      <c r="U4449" s="17" t="n">
        <v>10</v>
      </c>
      <c r="V4449" s="17">
        <f>ROUNDUP((T4449+U4449+2*'Read Me'!$B$13)*(1+'Read Me'!$B$12),-1)</f>
        <v/>
      </c>
      <c r="W4449" s="17">
        <f>V4449*N4449*O4449</f>
        <v/>
      </c>
      <c r="X4449" s="12">
        <f>IF(LEFT(I4449,2)="MV",2*N4449*IF(L4449="1/C",O4449,1),0)</f>
        <v/>
      </c>
      <c r="Y4449" s="12">
        <f>IF(OR(LEFT(K4449,4)="LVAX",LEFT(K4449,6)="MV15AX",LEFT(K4449,4)="CTAX",LEFT(K4449,2)="W|"),2*N4449*O4449,0)</f>
        <v/>
      </c>
      <c r="Z4449" s="12" t="inlineStr">
        <is>
          <t>device-to-JB field wiring, one cable per device</t>
        </is>
      </c>
      <c r="AA4449" s="12">
        <f>N4449*O4449</f>
        <v/>
      </c>
    </row>
    <row r="4450">
      <c r="A4450" s="12" t="inlineStr">
        <is>
          <t>I-I-0083</t>
        </is>
      </c>
      <c r="B4450" s="12" t="inlineStr">
        <is>
          <t>I</t>
        </is>
      </c>
      <c r="C4450" s="12" t="inlineStr">
        <is>
          <t>Modular / portable power</t>
        </is>
      </c>
      <c r="D4450" s="12" t="inlineStr">
        <is>
          <t>Home run JB-FC-8-AI01 to the control / marshalling room</t>
        </is>
      </c>
      <c r="E4450" s="12" t="inlineStr">
        <is>
          <t>PAD-EH</t>
        </is>
      </c>
      <c r="F4450" s="12" t="inlineStr">
        <is>
          <t>PAD-EH 13.8 kV switchgear e-house</t>
        </is>
      </c>
      <c r="G4450" s="12" t="inlineStr">
        <is>
          <t>JB-FC-8-AI01</t>
        </is>
      </c>
      <c r="H4450" s="12" t="inlineStr">
        <is>
          <t>FC-8: SOFC module (Bloom ES5 class, 200-300 kW)</t>
        </is>
      </c>
      <c r="I4450" s="12" t="inlineStr">
        <is>
          <t>Instrumentation</t>
        </is>
      </c>
      <c r="J4450" s="12" t="inlineStr">
        <is>
          <t>Instrumentation PLTC / TC-ER 300 V, #18 twisted shielded pairs, overall shield</t>
        </is>
      </c>
      <c r="K4450" s="12" t="inlineStr">
        <is>
          <t>PLTC|24 pr|18</t>
        </is>
      </c>
      <c r="L4450" s="12" t="inlineStr">
        <is>
          <t>24 pr</t>
        </is>
      </c>
      <c r="M4450" s="12" t="inlineStr">
        <is>
          <t>18</t>
        </is>
      </c>
      <c r="N4450" s="12" t="n">
        <v>1</v>
      </c>
      <c r="O4450" s="12" t="n">
        <v>1</v>
      </c>
      <c r="P4450" s="12" t="n"/>
      <c r="Q4450" s="12" t="n"/>
      <c r="R4450" s="12" t="n"/>
      <c r="S4450" s="12" t="inlineStr">
        <is>
          <t>Duct bank</t>
        </is>
      </c>
      <c r="T4450" s="17" t="n">
        <v>314</v>
      </c>
      <c r="U4450" s="17" t="n">
        <v>50</v>
      </c>
      <c r="V4450" s="17">
        <f>ROUNDUP((T4450+U4450+2*'Read Me'!$B$13)*(1+'Read Me'!$B$12),-1)</f>
        <v/>
      </c>
      <c r="W4450" s="17">
        <f>V4450*N4450*O4450</f>
        <v/>
      </c>
      <c r="X4450" s="12">
        <f>IF(LEFT(I4450,2)="MV",2*N4450*IF(L4450="1/C",O4450,1),0)</f>
        <v/>
      </c>
      <c r="Y4450" s="12">
        <f>IF(OR(LEFT(K4450,4)="LVAX",LEFT(K4450,6)="MV15AX",LEFT(K4450,4)="CTAX",LEFT(K4450,2)="W|"),2*N4450*O4450,0)</f>
        <v/>
      </c>
      <c r="Z4450" s="12" t="inlineStr"/>
      <c r="AA4450" s="12">
        <f>N4450*O4450</f>
        <v/>
      </c>
    </row>
    <row r="4451">
      <c r="A4451" s="12" t="inlineStr">
        <is>
          <t>I-I-0084</t>
        </is>
      </c>
      <c r="B4451" s="12" t="inlineStr">
        <is>
          <t>I</t>
        </is>
      </c>
      <c r="C4451" s="12" t="inlineStr">
        <is>
          <t>Modular / portable power</t>
        </is>
      </c>
      <c r="D4451" s="12" t="inlineStr">
        <is>
          <t>Discrete device to JB JB-FC-8-DI01: 10 x 1 pr (field cables)</t>
        </is>
      </c>
      <c r="E4451" s="12" t="inlineStr">
        <is>
          <t>FC-8</t>
        </is>
      </c>
      <c r="F4451" s="12" t="inlineStr">
        <is>
          <t>FC-8: SOFC module (Bloom ES5 class, 200-300 kW)</t>
        </is>
      </c>
      <c r="G4451" s="12" t="inlineStr">
        <is>
          <t>JB-FC-8-DI01</t>
        </is>
      </c>
      <c r="H4451" s="12" t="inlineStr">
        <is>
          <t>FC-8: SOFC module (Bloom ES5 class, 200-300 kW)</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10</v>
      </c>
      <c r="O4451" s="12" t="n">
        <v>1</v>
      </c>
      <c r="P4451" s="12" t="n"/>
      <c r="Q4451" s="12" t="n"/>
      <c r="R4451" s="12" t="n"/>
      <c r="S4451" s="12" t="inlineStr">
        <is>
          <t>Tray / conduit</t>
        </is>
      </c>
      <c r="T4451" s="17" t="n">
        <v>45</v>
      </c>
      <c r="U4451" s="17" t="n">
        <v>10</v>
      </c>
      <c r="V4451" s="17">
        <f>ROUNDUP((T4451+U4451+2*'Read Me'!$B$13)*(1+'Read Me'!$B$12),-1)</f>
        <v/>
      </c>
      <c r="W4451" s="17">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I-I-0085</t>
        </is>
      </c>
      <c r="B4452" s="12" t="inlineStr">
        <is>
          <t>I</t>
        </is>
      </c>
      <c r="C4452" s="12" t="inlineStr">
        <is>
          <t>Modular / portable power</t>
        </is>
      </c>
      <c r="D4452" s="12" t="inlineStr">
        <is>
          <t>Home run JB-FC-8-DI01 to the control / marshalling room</t>
        </is>
      </c>
      <c r="E4452" s="12" t="inlineStr">
        <is>
          <t>PAD-EH</t>
        </is>
      </c>
      <c r="F4452" s="12" t="inlineStr">
        <is>
          <t>PAD-EH 13.8 kV switchgear e-house</t>
        </is>
      </c>
      <c r="G4452" s="12" t="inlineStr">
        <is>
          <t>JB-FC-8-DI01</t>
        </is>
      </c>
      <c r="H4452" s="12" t="inlineStr">
        <is>
          <t>FC-8: SOFC module (Bloom ES5 class, 200-300 kW)</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Duct bank</t>
        </is>
      </c>
      <c r="T4452" s="17" t="n">
        <v>314</v>
      </c>
      <c r="U4452" s="17" t="n">
        <v>50</v>
      </c>
      <c r="V4452" s="17">
        <f>ROUNDUP((T4452+U4452+2*'Read Me'!$B$13)*(1+'Read Me'!$B$12),-1)</f>
        <v/>
      </c>
      <c r="W4452" s="17">
        <f>V4452*N4452*O4452</f>
        <v/>
      </c>
      <c r="X4452" s="12">
        <f>IF(LEFT(I4452,2)="MV",2*N4452*IF(L4452="1/C",O4452,1),0)</f>
        <v/>
      </c>
      <c r="Y4452" s="12">
        <f>IF(OR(LEFT(K4452,4)="LVAX",LEFT(K4452,6)="MV15AX",LEFT(K4452,4)="CTAX",LEFT(K4452,2)="W|"),2*N4452*O4452,0)</f>
        <v/>
      </c>
      <c r="Z4452" s="12" t="inlineStr"/>
      <c r="AA4452" s="12">
        <f>N4452*O4452</f>
        <v/>
      </c>
    </row>
    <row r="4453">
      <c r="A4453" s="12" t="inlineStr">
        <is>
          <t>I-I-0086</t>
        </is>
      </c>
      <c r="B4453" s="12" t="inlineStr">
        <is>
          <t>I</t>
        </is>
      </c>
      <c r="C4453" s="12" t="inlineStr">
        <is>
          <t>Modular / portable power</t>
        </is>
      </c>
      <c r="D4453" s="12" t="inlineStr">
        <is>
          <t>Analog instrument to JB JB-FC-9-AI01: 10 x 1 pr (field cables)</t>
        </is>
      </c>
      <c r="E4453" s="12" t="inlineStr">
        <is>
          <t>FC-9</t>
        </is>
      </c>
      <c r="F4453" s="12" t="inlineStr">
        <is>
          <t>FC-9: SOFC module (Bloom ES5 class, 200-300 kW)</t>
        </is>
      </c>
      <c r="G4453" s="12" t="inlineStr">
        <is>
          <t>JB-FC-9-AI01</t>
        </is>
      </c>
      <c r="H4453" s="12" t="inlineStr">
        <is>
          <t>FC-9: SOFC module (Bloom ES5 class, 200-300 kW)</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10</v>
      </c>
      <c r="O4453" s="12" t="n">
        <v>1</v>
      </c>
      <c r="P4453" s="12" t="n"/>
      <c r="Q4453" s="12" t="n"/>
      <c r="R4453" s="12" t="n"/>
      <c r="S4453" s="12" t="inlineStr">
        <is>
          <t>Tray / conduit</t>
        </is>
      </c>
      <c r="T4453" s="17" t="n">
        <v>45</v>
      </c>
      <c r="U4453" s="17" t="n">
        <v>10</v>
      </c>
      <c r="V4453" s="17">
        <f>ROUNDUP((T4453+U4453+2*'Read Me'!$B$13)*(1+'Read Me'!$B$12),-1)</f>
        <v/>
      </c>
      <c r="W4453" s="17">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I-I-0087</t>
        </is>
      </c>
      <c r="B4454" s="12" t="inlineStr">
        <is>
          <t>I</t>
        </is>
      </c>
      <c r="C4454" s="12" t="inlineStr">
        <is>
          <t>Modular / portable power</t>
        </is>
      </c>
      <c r="D4454" s="12" t="inlineStr">
        <is>
          <t>Home run JB-FC-9-AI01 to the control / marshalling room</t>
        </is>
      </c>
      <c r="E4454" s="12" t="inlineStr">
        <is>
          <t>PAD-EH</t>
        </is>
      </c>
      <c r="F4454" s="12" t="inlineStr">
        <is>
          <t>PAD-EH 13.8 kV switchgear e-house</t>
        </is>
      </c>
      <c r="G4454" s="12" t="inlineStr">
        <is>
          <t>JB-FC-9-AI01</t>
        </is>
      </c>
      <c r="H4454" s="12" t="inlineStr">
        <is>
          <t>FC-9: SOFC module (Bloom ES5 class, 200-300 kW)</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Duct bank</t>
        </is>
      </c>
      <c r="T4454" s="17" t="n">
        <v>300</v>
      </c>
      <c r="U4454" s="17" t="n">
        <v>50</v>
      </c>
      <c r="V4454" s="17">
        <f>ROUNDUP((T4454+U4454+2*'Read Me'!$B$13)*(1+'Read Me'!$B$12),-1)</f>
        <v/>
      </c>
      <c r="W4454" s="17">
        <f>V4454*N4454*O4454</f>
        <v/>
      </c>
      <c r="X4454" s="12">
        <f>IF(LEFT(I4454,2)="MV",2*N4454*IF(L4454="1/C",O4454,1),0)</f>
        <v/>
      </c>
      <c r="Y4454" s="12">
        <f>IF(OR(LEFT(K4454,4)="LVAX",LEFT(K4454,6)="MV15AX",LEFT(K4454,4)="CTAX",LEFT(K4454,2)="W|"),2*N4454*O4454,0)</f>
        <v/>
      </c>
      <c r="Z4454" s="12" t="inlineStr"/>
      <c r="AA4454" s="12">
        <f>N4454*O4454</f>
        <v/>
      </c>
    </row>
    <row r="4455">
      <c r="A4455" s="12" t="inlineStr">
        <is>
          <t>I-I-0088</t>
        </is>
      </c>
      <c r="B4455" s="12" t="inlineStr">
        <is>
          <t>I</t>
        </is>
      </c>
      <c r="C4455" s="12" t="inlineStr">
        <is>
          <t>Modular / portable power</t>
        </is>
      </c>
      <c r="D4455" s="12" t="inlineStr">
        <is>
          <t>Discrete device to JB JB-FC-9-DI01: 10 x 1 pr (field cables)</t>
        </is>
      </c>
      <c r="E4455" s="12" t="inlineStr">
        <is>
          <t>FC-9</t>
        </is>
      </c>
      <c r="F4455" s="12" t="inlineStr">
        <is>
          <t>FC-9: SOFC module (Bloom ES5 class, 200-300 kW)</t>
        </is>
      </c>
      <c r="G4455" s="12" t="inlineStr">
        <is>
          <t>JB-FC-9-DI01</t>
        </is>
      </c>
      <c r="H4455" s="12" t="inlineStr">
        <is>
          <t>FC-9: SOFC module (Bloom ES5 class, 200-300 kW)</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10</v>
      </c>
      <c r="O4455" s="12" t="n">
        <v>1</v>
      </c>
      <c r="P4455" s="12" t="n"/>
      <c r="Q4455" s="12" t="n"/>
      <c r="R4455" s="12" t="n"/>
      <c r="S4455" s="12" t="inlineStr">
        <is>
          <t>Tray / conduit</t>
        </is>
      </c>
      <c r="T4455" s="17" t="n">
        <v>45</v>
      </c>
      <c r="U4455" s="17" t="n">
        <v>10</v>
      </c>
      <c r="V4455" s="17">
        <f>ROUNDUP((T4455+U4455+2*'Read Me'!$B$13)*(1+'Read Me'!$B$12),-1)</f>
        <v/>
      </c>
      <c r="W4455" s="17">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I-I-0089</t>
        </is>
      </c>
      <c r="B4456" s="12" t="inlineStr">
        <is>
          <t>I</t>
        </is>
      </c>
      <c r="C4456" s="12" t="inlineStr">
        <is>
          <t>Modular / portable power</t>
        </is>
      </c>
      <c r="D4456" s="12" t="inlineStr">
        <is>
          <t>Home run JB-FC-9-DI01 to the control / marshalling room</t>
        </is>
      </c>
      <c r="E4456" s="12" t="inlineStr">
        <is>
          <t>PAD-EH</t>
        </is>
      </c>
      <c r="F4456" s="12" t="inlineStr">
        <is>
          <t>PAD-EH 13.8 kV switchgear e-house</t>
        </is>
      </c>
      <c r="G4456" s="12" t="inlineStr">
        <is>
          <t>JB-FC-9-DI01</t>
        </is>
      </c>
      <c r="H4456" s="12" t="inlineStr">
        <is>
          <t>FC-9: SOFC module (Bloom ES5 class, 200-300 kW)</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Duct bank</t>
        </is>
      </c>
      <c r="T4456" s="17" t="n">
        <v>300</v>
      </c>
      <c r="U4456" s="17" t="n">
        <v>50</v>
      </c>
      <c r="V4456" s="17">
        <f>ROUNDUP((T4456+U4456+2*'Read Me'!$B$13)*(1+'Read Me'!$B$12),-1)</f>
        <v/>
      </c>
      <c r="W4456" s="17">
        <f>V4456*N4456*O4456</f>
        <v/>
      </c>
      <c r="X4456" s="12">
        <f>IF(LEFT(I4456,2)="MV",2*N4456*IF(L4456="1/C",O4456,1),0)</f>
        <v/>
      </c>
      <c r="Y4456" s="12">
        <f>IF(OR(LEFT(K4456,4)="LVAX",LEFT(K4456,6)="MV15AX",LEFT(K4456,4)="CTAX",LEFT(K4456,2)="W|"),2*N4456*O4456,0)</f>
        <v/>
      </c>
      <c r="Z4456" s="12" t="inlineStr"/>
      <c r="AA4456" s="12">
        <f>N4456*O4456</f>
        <v/>
      </c>
    </row>
    <row r="4457">
      <c r="A4457" s="12" t="inlineStr">
        <is>
          <t>I-I-0090</t>
        </is>
      </c>
      <c r="B4457" s="12" t="inlineStr">
        <is>
          <t>I</t>
        </is>
      </c>
      <c r="C4457" s="12" t="inlineStr">
        <is>
          <t>Modular / portable power</t>
        </is>
      </c>
      <c r="D4457" s="12" t="inlineStr">
        <is>
          <t>Analog instrument to JB JB-Fuel-gas compresso-AI01: 20 x 1 pr (field cables)</t>
        </is>
      </c>
      <c r="E4457" s="12" t="inlineStr"/>
      <c r="F4457" s="12" t="inlineStr">
        <is>
          <t>Fuel-gas compressors 3 x 100% electric</t>
        </is>
      </c>
      <c r="G4457" s="12" t="inlineStr">
        <is>
          <t>JB-Fuel-gas compresso-AI01</t>
        </is>
      </c>
      <c r="H4457" s="12" t="inlineStr">
        <is>
          <t>Fuel-gas compressors 3 x 100% electric</t>
        </is>
      </c>
      <c r="I4457" s="12" t="inlineStr">
        <is>
          <t>Instrumentation</t>
        </is>
      </c>
      <c r="J4457" s="12" t="inlineStr">
        <is>
          <t>Instrumentation ITC / PLTC, IS, #18 shielded pairs, blue jacket</t>
        </is>
      </c>
      <c r="K4457" s="12" t="inlineStr">
        <is>
          <t>ITC|1 pr|16</t>
        </is>
      </c>
      <c r="L4457" s="12" t="inlineStr">
        <is>
          <t>1 pr</t>
        </is>
      </c>
      <c r="M4457" s="12" t="inlineStr">
        <is>
          <t>16</t>
        </is>
      </c>
      <c r="N4457" s="12" t="n">
        <v>20</v>
      </c>
      <c r="O4457" s="12" t="n">
        <v>1</v>
      </c>
      <c r="P4457" s="12" t="n"/>
      <c r="Q4457" s="12" t="n"/>
      <c r="R4457" s="12" t="n"/>
      <c r="S4457" s="12" t="inlineStr">
        <is>
          <t>Tray / conduit</t>
        </is>
      </c>
      <c r="T4457" s="17" t="n">
        <v>103</v>
      </c>
      <c r="U4457" s="17" t="n">
        <v>10</v>
      </c>
      <c r="V4457" s="17">
        <f>ROUNDUP((T4457+U4457+2*'Read Me'!$B$13)*(1+'Read Me'!$B$12),-1)</f>
        <v/>
      </c>
      <c r="W4457" s="17">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I-I-0091</t>
        </is>
      </c>
      <c r="B4458" s="12" t="inlineStr">
        <is>
          <t>I</t>
        </is>
      </c>
      <c r="C4458" s="12" t="inlineStr">
        <is>
          <t>Modular / portable power</t>
        </is>
      </c>
      <c r="D4458" s="12" t="inlineStr">
        <is>
          <t>Home run JB-Fuel-gas compresso-AI01 to the control / marshalling room</t>
        </is>
      </c>
      <c r="E4458" s="12" t="inlineStr"/>
      <c r="F4458" s="12" t="inlineStr">
        <is>
          <t>PCM: power control module</t>
        </is>
      </c>
      <c r="G4458" s="12" t="inlineStr">
        <is>
          <t>JB-Fuel-gas compresso-AI01</t>
        </is>
      </c>
      <c r="H4458" s="12" t="inlineStr">
        <is>
          <t>Fuel-gas compressors 3 x 100% electric</t>
        </is>
      </c>
      <c r="I4458" s="12" t="inlineStr">
        <is>
          <t>Instrumentation</t>
        </is>
      </c>
      <c r="J4458" s="12" t="inlineStr">
        <is>
          <t>Instrumentation ITC / PLTC, IS, #18 shielded pairs, blue jacket</t>
        </is>
      </c>
      <c r="K4458" s="12" t="inlineStr">
        <is>
          <t>ITC|24 pr|18</t>
        </is>
      </c>
      <c r="L4458" s="12" t="inlineStr">
        <is>
          <t>24 pr</t>
        </is>
      </c>
      <c r="M4458" s="12" t="inlineStr">
        <is>
          <t>18</t>
        </is>
      </c>
      <c r="N4458" s="12" t="n">
        <v>1</v>
      </c>
      <c r="O4458" s="12" t="n">
        <v>1</v>
      </c>
      <c r="P4458" s="12" t="n"/>
      <c r="Q4458" s="12" t="n"/>
      <c r="R4458" s="12" t="n"/>
      <c r="S4458" s="12" t="inlineStr">
        <is>
          <t>HV duct bank</t>
        </is>
      </c>
      <c r="T4458" s="17" t="n">
        <v>4397</v>
      </c>
      <c r="U4458" s="17" t="n">
        <v>114</v>
      </c>
      <c r="V4458" s="17">
        <f>ROUNDUP((T4458+U4458+2*'Read Me'!$B$13)*(1+'Read Me'!$B$12),-1)</f>
        <v/>
      </c>
      <c r="W4458" s="17">
        <f>V4458*N4458*O4458</f>
        <v/>
      </c>
      <c r="X4458" s="12">
        <f>IF(LEFT(I4458,2)="MV",2*N4458*IF(L4458="1/C",O4458,1),0)</f>
        <v/>
      </c>
      <c r="Y4458" s="12">
        <f>IF(OR(LEFT(K4458,4)="LVAX",LEFT(K4458,6)="MV15AX",LEFT(K4458,4)="CTAX",LEFT(K4458,2)="W|"),2*N4458*O4458,0)</f>
        <v/>
      </c>
      <c r="Z4458" s="12" t="inlineStr"/>
      <c r="AA4458" s="12">
        <f>N4458*O4458</f>
        <v/>
      </c>
    </row>
    <row r="4459">
      <c r="A4459" s="12" t="inlineStr">
        <is>
          <t>I-I-0092</t>
        </is>
      </c>
      <c r="B4459" s="12" t="inlineStr">
        <is>
          <t>I</t>
        </is>
      </c>
      <c r="C4459" s="12" t="inlineStr">
        <is>
          <t>Modular / portable power</t>
        </is>
      </c>
      <c r="D4459" s="12" t="inlineStr">
        <is>
          <t>Analog instrument to JB JB-Fuel-gas compresso-AI02: 10 x 1 pr (field cables)</t>
        </is>
      </c>
      <c r="E4459" s="12" t="inlineStr"/>
      <c r="F4459" s="12" t="inlineStr">
        <is>
          <t>Fuel-gas compressors 3 x 100% electric</t>
        </is>
      </c>
      <c r="G4459" s="12" t="inlineStr">
        <is>
          <t>JB-Fuel-gas compresso-AI02</t>
        </is>
      </c>
      <c r="H4459" s="12" t="inlineStr">
        <is>
          <t>Fuel-gas compressors 3 x 100% electric</t>
        </is>
      </c>
      <c r="I4459" s="12" t="inlineStr">
        <is>
          <t>Instrumentation</t>
        </is>
      </c>
      <c r="J4459" s="12" t="inlineStr">
        <is>
          <t>Instrumentation ITC / PLTC, IS, #18 shielded pairs, blue jacket</t>
        </is>
      </c>
      <c r="K4459" s="12" t="inlineStr">
        <is>
          <t>ITC|1 pr|16</t>
        </is>
      </c>
      <c r="L4459" s="12" t="inlineStr">
        <is>
          <t>1 pr</t>
        </is>
      </c>
      <c r="M4459" s="12" t="inlineStr">
        <is>
          <t>16</t>
        </is>
      </c>
      <c r="N4459" s="12" t="n">
        <v>10</v>
      </c>
      <c r="O4459" s="12" t="n">
        <v>1</v>
      </c>
      <c r="P4459" s="12" t="n"/>
      <c r="Q4459" s="12" t="n"/>
      <c r="R4459" s="12" t="n"/>
      <c r="S4459" s="12" t="inlineStr">
        <is>
          <t>Tray / conduit</t>
        </is>
      </c>
      <c r="T4459" s="17" t="n">
        <v>103</v>
      </c>
      <c r="U4459" s="17" t="n">
        <v>10</v>
      </c>
      <c r="V4459" s="17">
        <f>ROUNDUP((T4459+U4459+2*'Read Me'!$B$13)*(1+'Read Me'!$B$12),-1)</f>
        <v/>
      </c>
      <c r="W4459" s="17">
        <f>V4459*N4459*O4459</f>
        <v/>
      </c>
      <c r="X4459" s="12">
        <f>IF(LEFT(I4459,2)="MV",2*N4459*IF(L4459="1/C",O4459,1),0)</f>
        <v/>
      </c>
      <c r="Y4459" s="12">
        <f>IF(OR(LEFT(K4459,4)="LVAX",LEFT(K4459,6)="MV15AX",LEFT(K4459,4)="CTAX",LEFT(K4459,2)="W|"),2*N4459*O4459,0)</f>
        <v/>
      </c>
      <c r="Z4459" s="12" t="inlineStr">
        <is>
          <t>device-to-JB field wiring, one cable per device</t>
        </is>
      </c>
      <c r="AA4459" s="12">
        <f>N4459*O4459</f>
        <v/>
      </c>
    </row>
    <row r="4460">
      <c r="A4460" s="12" t="inlineStr">
        <is>
          <t>I-I-0093</t>
        </is>
      </c>
      <c r="B4460" s="12" t="inlineStr">
        <is>
          <t>I</t>
        </is>
      </c>
      <c r="C4460" s="12" t="inlineStr">
        <is>
          <t>Modular / portable power</t>
        </is>
      </c>
      <c r="D4460" s="12" t="inlineStr">
        <is>
          <t>Home run JB-Fuel-gas compresso-AI02 to the control / marshalling room</t>
        </is>
      </c>
      <c r="E4460" s="12" t="inlineStr"/>
      <c r="F4460" s="12" t="inlineStr">
        <is>
          <t>PCM: power control module</t>
        </is>
      </c>
      <c r="G4460" s="12" t="inlineStr">
        <is>
          <t>JB-Fuel-gas compresso-AI02</t>
        </is>
      </c>
      <c r="H4460" s="12" t="inlineStr">
        <is>
          <t>Fuel-gas compressors 3 x 100% electric</t>
        </is>
      </c>
      <c r="I4460" s="12" t="inlineStr">
        <is>
          <t>Instrumentation</t>
        </is>
      </c>
      <c r="J4460" s="12" t="inlineStr">
        <is>
          <t>Instrumentation ITC / PLTC, IS, #18 shielded pairs, blue jacket</t>
        </is>
      </c>
      <c r="K4460" s="12" t="inlineStr">
        <is>
          <t>ITC|24 pr|18</t>
        </is>
      </c>
      <c r="L4460" s="12" t="inlineStr">
        <is>
          <t>24 pr</t>
        </is>
      </c>
      <c r="M4460" s="12" t="inlineStr">
        <is>
          <t>18</t>
        </is>
      </c>
      <c r="N4460" s="12" t="n">
        <v>1</v>
      </c>
      <c r="O4460" s="12" t="n">
        <v>1</v>
      </c>
      <c r="P4460" s="12" t="n"/>
      <c r="Q4460" s="12" t="n"/>
      <c r="R4460" s="12" t="n"/>
      <c r="S4460" s="12" t="inlineStr">
        <is>
          <t>HV duct bank</t>
        </is>
      </c>
      <c r="T4460" s="17" t="n">
        <v>4397</v>
      </c>
      <c r="U4460" s="17" t="n">
        <v>114</v>
      </c>
      <c r="V4460" s="17">
        <f>ROUNDUP((T4460+U4460+2*'Read Me'!$B$13)*(1+'Read Me'!$B$12),-1)</f>
        <v/>
      </c>
      <c r="W4460" s="17">
        <f>V4460*N4460*O4460</f>
        <v/>
      </c>
      <c r="X4460" s="12">
        <f>IF(LEFT(I4460,2)="MV",2*N4460*IF(L4460="1/C",O4460,1),0)</f>
        <v/>
      </c>
      <c r="Y4460" s="12">
        <f>IF(OR(LEFT(K4460,4)="LVAX",LEFT(K4460,6)="MV15AX",LEFT(K4460,4)="CTAX",LEFT(K4460,2)="W|"),2*N4460*O4460,0)</f>
        <v/>
      </c>
      <c r="Z4460" s="12" t="inlineStr"/>
      <c r="AA4460" s="12">
        <f>N4460*O4460</f>
        <v/>
      </c>
    </row>
    <row r="4461">
      <c r="A4461" s="12" t="inlineStr">
        <is>
          <t>I-I-0094</t>
        </is>
      </c>
      <c r="B4461" s="12" t="inlineStr">
        <is>
          <t>I</t>
        </is>
      </c>
      <c r="C4461" s="12" t="inlineStr">
        <is>
          <t>Modular / portable power</t>
        </is>
      </c>
      <c r="D4461" s="12" t="inlineStr">
        <is>
          <t>Discrete device to JB JB-Fuel-gas compresso-DI01: 20 x 1 pr (field cables)</t>
        </is>
      </c>
      <c r="E4461" s="12" t="inlineStr"/>
      <c r="F4461" s="12" t="inlineStr">
        <is>
          <t>Fuel-gas compressors 3 x 100% electric</t>
        </is>
      </c>
      <c r="G4461" s="12" t="inlineStr">
        <is>
          <t>JB-Fuel-gas compresso-DI01</t>
        </is>
      </c>
      <c r="H4461" s="12" t="inlineStr">
        <is>
          <t>Fuel-gas compressors 3 x 100% electric</t>
        </is>
      </c>
      <c r="I4461" s="12" t="inlineStr">
        <is>
          <t>Instrumentation</t>
        </is>
      </c>
      <c r="J4461" s="12" t="inlineStr">
        <is>
          <t>Instrumentation ITC / PLTC, IS, #18 shielded pairs, blue jacket</t>
        </is>
      </c>
      <c r="K4461" s="12" t="inlineStr">
        <is>
          <t>ITC|1 pr|16</t>
        </is>
      </c>
      <c r="L4461" s="12" t="inlineStr">
        <is>
          <t>1 pr</t>
        </is>
      </c>
      <c r="M4461" s="12" t="inlineStr">
        <is>
          <t>16</t>
        </is>
      </c>
      <c r="N4461" s="12" t="n">
        <v>20</v>
      </c>
      <c r="O4461" s="12" t="n">
        <v>1</v>
      </c>
      <c r="P4461" s="12" t="n"/>
      <c r="Q4461" s="12" t="n"/>
      <c r="R4461" s="12" t="n"/>
      <c r="S4461" s="12" t="inlineStr">
        <is>
          <t>Tray / conduit</t>
        </is>
      </c>
      <c r="T4461" s="17" t="n">
        <v>103</v>
      </c>
      <c r="U4461" s="17" t="n">
        <v>10</v>
      </c>
      <c r="V4461" s="17">
        <f>ROUNDUP((T4461+U4461+2*'Read Me'!$B$13)*(1+'Read Me'!$B$12),-1)</f>
        <v/>
      </c>
      <c r="W4461" s="17">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I-I-0095</t>
        </is>
      </c>
      <c r="B4462" s="12" t="inlineStr">
        <is>
          <t>I</t>
        </is>
      </c>
      <c r="C4462" s="12" t="inlineStr">
        <is>
          <t>Modular / portable power</t>
        </is>
      </c>
      <c r="D4462" s="12" t="inlineStr">
        <is>
          <t>Home run JB-Fuel-gas compresso-DI01 to the control / marshalling room</t>
        </is>
      </c>
      <c r="E4462" s="12" t="inlineStr"/>
      <c r="F4462" s="12" t="inlineStr">
        <is>
          <t>PCM: power control module</t>
        </is>
      </c>
      <c r="G4462" s="12" t="inlineStr">
        <is>
          <t>JB-Fuel-gas compresso-DI01</t>
        </is>
      </c>
      <c r="H4462" s="12" t="inlineStr">
        <is>
          <t>Fuel-gas compressors 3 x 100% electric</t>
        </is>
      </c>
      <c r="I4462" s="12" t="inlineStr">
        <is>
          <t>Instrumentation</t>
        </is>
      </c>
      <c r="J4462" s="12" t="inlineStr">
        <is>
          <t>Instrumentation ITC / PLTC, IS, #18 shielded pairs, blue jacket</t>
        </is>
      </c>
      <c r="K4462" s="12" t="inlineStr">
        <is>
          <t>ITC|24 pr|18</t>
        </is>
      </c>
      <c r="L4462" s="12" t="inlineStr">
        <is>
          <t>24 pr</t>
        </is>
      </c>
      <c r="M4462" s="12" t="inlineStr">
        <is>
          <t>18</t>
        </is>
      </c>
      <c r="N4462" s="12" t="n">
        <v>1</v>
      </c>
      <c r="O4462" s="12" t="n">
        <v>1</v>
      </c>
      <c r="P4462" s="12" t="n"/>
      <c r="Q4462" s="12" t="n"/>
      <c r="R4462" s="12" t="n"/>
      <c r="S4462" s="12" t="inlineStr">
        <is>
          <t>HV duct bank</t>
        </is>
      </c>
      <c r="T4462" s="17" t="n">
        <v>4397</v>
      </c>
      <c r="U4462" s="17" t="n">
        <v>114</v>
      </c>
      <c r="V4462" s="17">
        <f>ROUNDUP((T4462+U4462+2*'Read Me'!$B$13)*(1+'Read Me'!$B$12),-1)</f>
        <v/>
      </c>
      <c r="W4462" s="17">
        <f>V4462*N4462*O4462</f>
        <v/>
      </c>
      <c r="X4462" s="12">
        <f>IF(LEFT(I4462,2)="MV",2*N4462*IF(L4462="1/C",O4462,1),0)</f>
        <v/>
      </c>
      <c r="Y4462" s="12">
        <f>IF(OR(LEFT(K4462,4)="LVAX",LEFT(K4462,6)="MV15AX",LEFT(K4462,4)="CTAX",LEFT(K4462,2)="W|"),2*N4462*O4462,0)</f>
        <v/>
      </c>
      <c r="Z4462" s="12" t="inlineStr"/>
      <c r="AA4462" s="12">
        <f>N4462*O4462</f>
        <v/>
      </c>
    </row>
    <row r="4463">
      <c r="A4463" s="12" t="inlineStr">
        <is>
          <t>I-I-0096</t>
        </is>
      </c>
      <c r="B4463" s="12" t="inlineStr">
        <is>
          <t>I</t>
        </is>
      </c>
      <c r="C4463" s="12" t="inlineStr">
        <is>
          <t>Modular / portable power</t>
        </is>
      </c>
      <c r="D4463" s="12" t="inlineStr">
        <is>
          <t>RTD to JB JB-Fuel-gas compresso-RTD01: 10 x 1 tri (field cables)</t>
        </is>
      </c>
      <c r="E4463" s="12" t="inlineStr"/>
      <c r="F4463" s="12" t="inlineStr">
        <is>
          <t>Fuel-gas compressors 3 x 100% electric</t>
        </is>
      </c>
      <c r="G4463" s="12" t="inlineStr">
        <is>
          <t>JB-Fuel-gas compresso-RTD01</t>
        </is>
      </c>
      <c r="H4463" s="12" t="inlineStr">
        <is>
          <t>Fuel-gas compressors 3 x 100% electric</t>
        </is>
      </c>
      <c r="I4463" s="12" t="inlineStr">
        <is>
          <t>Instrumentation</t>
        </is>
      </c>
      <c r="J4463" s="12" t="inlineStr">
        <is>
          <t>RTD cable, #18 shielded triads, PLTC</t>
        </is>
      </c>
      <c r="K4463" s="12" t="inlineStr">
        <is>
          <t>RTD|1 tri|18</t>
        </is>
      </c>
      <c r="L4463" s="12" t="inlineStr">
        <is>
          <t>1 tri</t>
        </is>
      </c>
      <c r="M4463" s="12" t="inlineStr">
        <is>
          <t>18</t>
        </is>
      </c>
      <c r="N4463" s="12" t="n">
        <v>10</v>
      </c>
      <c r="O4463" s="12" t="n">
        <v>1</v>
      </c>
      <c r="P4463" s="12" t="n"/>
      <c r="Q4463" s="12" t="n"/>
      <c r="R4463" s="12" t="n"/>
      <c r="S4463" s="12" t="inlineStr">
        <is>
          <t>Tray / conduit</t>
        </is>
      </c>
      <c r="T4463" s="17" t="n">
        <v>103</v>
      </c>
      <c r="U4463" s="17" t="n">
        <v>10</v>
      </c>
      <c r="V4463" s="17">
        <f>ROUNDUP((T4463+U4463+2*'Read Me'!$B$13)*(1+'Read Me'!$B$12),-1)</f>
        <v/>
      </c>
      <c r="W4463" s="17">
        <f>V4463*N4463*O4463</f>
        <v/>
      </c>
      <c r="X4463" s="12">
        <f>IF(LEFT(I4463,2)="MV",2*N4463*IF(L4463="1/C",O4463,1),0)</f>
        <v/>
      </c>
      <c r="Y4463" s="12">
        <f>IF(OR(LEFT(K4463,4)="LVAX",LEFT(K4463,6)="MV15AX",LEFT(K4463,4)="CTAX",LEFT(K4463,2)="W|"),2*N4463*O4463,0)</f>
        <v/>
      </c>
      <c r="Z4463" s="12" t="inlineStr">
        <is>
          <t>device-to-JB field wiring, one cable per device</t>
        </is>
      </c>
      <c r="AA4463" s="12">
        <f>N4463*O4463</f>
        <v/>
      </c>
    </row>
    <row r="4464">
      <c r="A4464" s="12" t="inlineStr">
        <is>
          <t>I-I-0097</t>
        </is>
      </c>
      <c r="B4464" s="12" t="inlineStr">
        <is>
          <t>I</t>
        </is>
      </c>
      <c r="C4464" s="12" t="inlineStr">
        <is>
          <t>Modular / portable power</t>
        </is>
      </c>
      <c r="D4464" s="12" t="inlineStr">
        <is>
          <t>Home run JB-Fuel-gas compresso-RTD01 to the control / marshalling room</t>
        </is>
      </c>
      <c r="E4464" s="12" t="inlineStr"/>
      <c r="F4464" s="12" t="inlineStr">
        <is>
          <t>PCM: power control module</t>
        </is>
      </c>
      <c r="G4464" s="12" t="inlineStr">
        <is>
          <t>JB-Fuel-gas compresso-RTD01</t>
        </is>
      </c>
      <c r="H4464" s="12" t="inlineStr">
        <is>
          <t>Fuel-gas compressors 3 x 100% electric</t>
        </is>
      </c>
      <c r="I4464" s="12" t="inlineStr">
        <is>
          <t>Instrumentation</t>
        </is>
      </c>
      <c r="J4464" s="12" t="inlineStr">
        <is>
          <t>RTD cable, #18 shielded triads, PLTC</t>
        </is>
      </c>
      <c r="K4464" s="12" t="inlineStr">
        <is>
          <t>RTD|12 tri|18</t>
        </is>
      </c>
      <c r="L4464" s="12" t="inlineStr">
        <is>
          <t>12 tri</t>
        </is>
      </c>
      <c r="M4464" s="12" t="inlineStr">
        <is>
          <t>18</t>
        </is>
      </c>
      <c r="N4464" s="12" t="n">
        <v>1</v>
      </c>
      <c r="O4464" s="12" t="n">
        <v>1</v>
      </c>
      <c r="P4464" s="12" t="n"/>
      <c r="Q4464" s="12" t="n"/>
      <c r="R4464" s="12" t="n"/>
      <c r="S4464" s="12" t="inlineStr">
        <is>
          <t>HV duct bank</t>
        </is>
      </c>
      <c r="T4464" s="17" t="n">
        <v>4397</v>
      </c>
      <c r="U4464" s="17" t="n">
        <v>114</v>
      </c>
      <c r="V4464" s="17">
        <f>ROUNDUP((T4464+U4464+2*'Read Me'!$B$13)*(1+'Read Me'!$B$12),-1)</f>
        <v/>
      </c>
      <c r="W4464" s="17">
        <f>V4464*N4464*O4464</f>
        <v/>
      </c>
      <c r="X4464" s="12">
        <f>IF(LEFT(I4464,2)="MV",2*N4464*IF(L4464="1/C",O4464,1),0)</f>
        <v/>
      </c>
      <c r="Y4464" s="12">
        <f>IF(OR(LEFT(K4464,4)="LVAX",LEFT(K4464,6)="MV15AX",LEFT(K4464,4)="CTAX",LEFT(K4464,2)="W|"),2*N4464*O4464,0)</f>
        <v/>
      </c>
      <c r="Z4464" s="12" t="inlineStr"/>
      <c r="AA4464" s="12">
        <f>N4464*O4464</f>
        <v/>
      </c>
    </row>
    <row r="4465">
      <c r="A4465" s="12" t="inlineStr">
        <is>
          <t>I-I-0098</t>
        </is>
      </c>
      <c r="B4465" s="12" t="inlineStr">
        <is>
          <t>I</t>
        </is>
      </c>
      <c r="C4465" s="12" t="inlineStr">
        <is>
          <t>Modular / portable power</t>
        </is>
      </c>
      <c r="D4465" s="12" t="inlineStr">
        <is>
          <t>RTD to JB JB-Fuel-gas compresso-RTD02: 2 x 1 tri (field cables)</t>
        </is>
      </c>
      <c r="E4465" s="12" t="inlineStr"/>
      <c r="F4465" s="12" t="inlineStr">
        <is>
          <t>Fuel-gas compressors 3 x 100% electric</t>
        </is>
      </c>
      <c r="G4465" s="12" t="inlineStr">
        <is>
          <t>JB-Fuel-gas compresso-RTD02</t>
        </is>
      </c>
      <c r="H4465" s="12" t="inlineStr">
        <is>
          <t>Fuel-gas compressors 3 x 100% electric</t>
        </is>
      </c>
      <c r="I4465" s="12" t="inlineStr">
        <is>
          <t>Instrumentation</t>
        </is>
      </c>
      <c r="J4465" s="12" t="inlineStr">
        <is>
          <t>RTD cable, #18 shielded triads, PLTC</t>
        </is>
      </c>
      <c r="K4465" s="12" t="inlineStr">
        <is>
          <t>RTD|1 tri|18</t>
        </is>
      </c>
      <c r="L4465" s="12" t="inlineStr">
        <is>
          <t>1 tri</t>
        </is>
      </c>
      <c r="M4465" s="12" t="inlineStr">
        <is>
          <t>18</t>
        </is>
      </c>
      <c r="N4465" s="12" t="n">
        <v>2</v>
      </c>
      <c r="O4465" s="12" t="n">
        <v>1</v>
      </c>
      <c r="P4465" s="12" t="n"/>
      <c r="Q4465" s="12" t="n"/>
      <c r="R4465" s="12" t="n"/>
      <c r="S4465" s="12" t="inlineStr">
        <is>
          <t>Tray / conduit</t>
        </is>
      </c>
      <c r="T4465" s="17" t="n">
        <v>103</v>
      </c>
      <c r="U4465" s="17" t="n">
        <v>10</v>
      </c>
      <c r="V4465" s="17">
        <f>ROUNDUP((T4465+U4465+2*'Read Me'!$B$13)*(1+'Read Me'!$B$12),-1)</f>
        <v/>
      </c>
      <c r="W4465" s="17">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I-I-0099</t>
        </is>
      </c>
      <c r="B4466" s="12" t="inlineStr">
        <is>
          <t>I</t>
        </is>
      </c>
      <c r="C4466" s="12" t="inlineStr">
        <is>
          <t>Modular / portable power</t>
        </is>
      </c>
      <c r="D4466" s="12" t="inlineStr">
        <is>
          <t>Home run JB-Fuel-gas compresso-RTD02 to the control / marshalling room</t>
        </is>
      </c>
      <c r="E4466" s="12" t="inlineStr"/>
      <c r="F4466" s="12" t="inlineStr">
        <is>
          <t>PCM: power control module</t>
        </is>
      </c>
      <c r="G4466" s="12" t="inlineStr">
        <is>
          <t>JB-Fuel-gas compresso-RTD02</t>
        </is>
      </c>
      <c r="H4466" s="12" t="inlineStr">
        <is>
          <t>Fuel-gas compressors 3 x 100% electric</t>
        </is>
      </c>
      <c r="I4466" s="12" t="inlineStr">
        <is>
          <t>Instrumentation</t>
        </is>
      </c>
      <c r="J4466" s="12" t="inlineStr">
        <is>
          <t>RTD cable, #18 shielded triads, PLTC</t>
        </is>
      </c>
      <c r="K4466" s="12" t="inlineStr">
        <is>
          <t>RTD|12 tri|18</t>
        </is>
      </c>
      <c r="L4466" s="12" t="inlineStr">
        <is>
          <t>12 tri</t>
        </is>
      </c>
      <c r="M4466" s="12" t="inlineStr">
        <is>
          <t>18</t>
        </is>
      </c>
      <c r="N4466" s="12" t="n">
        <v>1</v>
      </c>
      <c r="O4466" s="12" t="n">
        <v>1</v>
      </c>
      <c r="P4466" s="12" t="n"/>
      <c r="Q4466" s="12" t="n"/>
      <c r="R4466" s="12" t="n"/>
      <c r="S4466" s="12" t="inlineStr">
        <is>
          <t>HV duct bank</t>
        </is>
      </c>
      <c r="T4466" s="17" t="n">
        <v>4397</v>
      </c>
      <c r="U4466" s="17" t="n">
        <v>114</v>
      </c>
      <c r="V4466" s="17">
        <f>ROUNDUP((T4466+U4466+2*'Read Me'!$B$13)*(1+'Read Me'!$B$12),-1)</f>
        <v/>
      </c>
      <c r="W4466" s="17">
        <f>V4466*N4466*O4466</f>
        <v/>
      </c>
      <c r="X4466" s="12">
        <f>IF(LEFT(I4466,2)="MV",2*N4466*IF(L4466="1/C",O4466,1),0)</f>
        <v/>
      </c>
      <c r="Y4466" s="12">
        <f>IF(OR(LEFT(K4466,4)="LVAX",LEFT(K4466,6)="MV15AX",LEFT(K4466,4)="CTAX",LEFT(K4466,2)="W|"),2*N4466*O4466,0)</f>
        <v/>
      </c>
      <c r="Z4466" s="12" t="inlineStr"/>
      <c r="AA4466" s="12">
        <f>N4466*O4466</f>
        <v/>
      </c>
    </row>
    <row r="4467">
      <c r="A4467" s="12" t="inlineStr">
        <is>
          <t>I-I-0100</t>
        </is>
      </c>
      <c r="B4467" s="12" t="inlineStr">
        <is>
          <t>I</t>
        </is>
      </c>
      <c r="C4467" s="12" t="inlineStr">
        <is>
          <t>Modular / portable power</t>
        </is>
      </c>
      <c r="D4467" s="12" t="inlineStr">
        <is>
          <t>Analog instrument to JB JB-GEN-E-AI01: 20 x 1 pr (field cables)</t>
        </is>
      </c>
      <c r="E4467" s="12" t="inlineStr">
        <is>
          <t>GEN-E</t>
        </is>
      </c>
      <c r="F4467" s="12" t="inlineStr">
        <is>
          <t>GEN-E: enclosed industrial gas genset 2 MW</t>
        </is>
      </c>
      <c r="G4467" s="12" t="inlineStr">
        <is>
          <t>JB-GEN-E-AI01</t>
        </is>
      </c>
      <c r="H4467" s="12" t="inlineStr">
        <is>
          <t>GEN-E: enclosed industrial gas genset 2 MW</t>
        </is>
      </c>
      <c r="I4467" s="12" t="inlineStr">
        <is>
          <t>Instrumentation</t>
        </is>
      </c>
      <c r="J4467" s="12" t="inlineStr">
        <is>
          <t>Instrumentation PLTC / TC-ER 300 V, #18 twisted shielded pairs, overall shield</t>
        </is>
      </c>
      <c r="K4467" s="12" t="inlineStr">
        <is>
          <t>PLTC|1 pr|16</t>
        </is>
      </c>
      <c r="L4467" s="12" t="inlineStr">
        <is>
          <t>1 pr</t>
        </is>
      </c>
      <c r="M4467" s="12" t="inlineStr">
        <is>
          <t>16</t>
        </is>
      </c>
      <c r="N4467" s="12" t="n">
        <v>20</v>
      </c>
      <c r="O4467" s="12" t="n">
        <v>1</v>
      </c>
      <c r="P4467" s="12" t="n"/>
      <c r="Q4467" s="12" t="n"/>
      <c r="R4467" s="12" t="n"/>
      <c r="S4467" s="12" t="inlineStr">
        <is>
          <t>Tray / conduit</t>
        </is>
      </c>
      <c r="T4467" s="17" t="n">
        <v>60</v>
      </c>
      <c r="U4467" s="17" t="n">
        <v>10</v>
      </c>
      <c r="V4467" s="17">
        <f>ROUNDUP((T4467+U4467+2*'Read Me'!$B$13)*(1+'Read Me'!$B$12),-1)</f>
        <v/>
      </c>
      <c r="W4467" s="17">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I-I-0101</t>
        </is>
      </c>
      <c r="B4468" s="12" t="inlineStr">
        <is>
          <t>I</t>
        </is>
      </c>
      <c r="C4468" s="12" t="inlineStr">
        <is>
          <t>Modular / portable power</t>
        </is>
      </c>
      <c r="D4468" s="12" t="inlineStr">
        <is>
          <t>Home run JB-GEN-E-AI01 to the control / marshalling room</t>
        </is>
      </c>
      <c r="E4468" s="12" t="inlineStr">
        <is>
          <t>PAD-EH</t>
        </is>
      </c>
      <c r="F4468" s="12" t="inlineStr">
        <is>
          <t>PAD-EH 13.8 kV switchgear e-house</t>
        </is>
      </c>
      <c r="G4468" s="12" t="inlineStr">
        <is>
          <t>JB-GEN-E-AI01</t>
        </is>
      </c>
      <c r="H4468" s="12" t="inlineStr">
        <is>
          <t>GEN-E: enclosed industrial gas genset 2 MW</t>
        </is>
      </c>
      <c r="I4468" s="12" t="inlineStr">
        <is>
          <t>Instrumentation</t>
        </is>
      </c>
      <c r="J4468" s="12" t="inlineStr">
        <is>
          <t>Instrumentation PLTC / TC-ER 300 V, #18 twisted shielded pairs, overall shield</t>
        </is>
      </c>
      <c r="K4468" s="12" t="inlineStr">
        <is>
          <t>PLTC|24 pr|18</t>
        </is>
      </c>
      <c r="L4468" s="12" t="inlineStr">
        <is>
          <t>24 pr</t>
        </is>
      </c>
      <c r="M4468" s="12" t="inlineStr">
        <is>
          <t>18</t>
        </is>
      </c>
      <c r="N4468" s="12" t="n">
        <v>1</v>
      </c>
      <c r="O4468" s="12" t="n">
        <v>1</v>
      </c>
      <c r="P4468" s="12" t="n"/>
      <c r="Q4468" s="12" t="n"/>
      <c r="R4468" s="12" t="n"/>
      <c r="S4468" s="12" t="inlineStr">
        <is>
          <t>Surface</t>
        </is>
      </c>
      <c r="T4468" s="17" t="n">
        <v>153</v>
      </c>
      <c r="U4468" s="17" t="n">
        <v>32</v>
      </c>
      <c r="V4468" s="17">
        <f>ROUNDUP((T4468+U4468+2*'Read Me'!$B$13)*(1+'Read Me'!$B$12),-1)</f>
        <v/>
      </c>
      <c r="W4468" s="17">
        <f>V4468*N4468*O4468</f>
        <v/>
      </c>
      <c r="X4468" s="12">
        <f>IF(LEFT(I4468,2)="MV",2*N4468*IF(L4468="1/C",O4468,1),0)</f>
        <v/>
      </c>
      <c r="Y4468" s="12">
        <f>IF(OR(LEFT(K4468,4)="LVAX",LEFT(K4468,6)="MV15AX",LEFT(K4468,4)="CTAX",LEFT(K4468,2)="W|"),2*N4468*O4468,0)</f>
        <v/>
      </c>
      <c r="Z4468" s="12" t="inlineStr"/>
      <c r="AA4468" s="12">
        <f>N4468*O4468</f>
        <v/>
      </c>
    </row>
    <row r="4469">
      <c r="A4469" s="12" t="inlineStr">
        <is>
          <t>I-I-0102</t>
        </is>
      </c>
      <c r="B4469" s="12" t="inlineStr">
        <is>
          <t>I</t>
        </is>
      </c>
      <c r="C4469" s="12" t="inlineStr">
        <is>
          <t>Modular / portable power</t>
        </is>
      </c>
      <c r="D4469" s="12" t="inlineStr">
        <is>
          <t>Discrete device to JB JB-GEN-E-DI01: 20 x 1 pr (field cables)</t>
        </is>
      </c>
      <c r="E4469" s="12" t="inlineStr">
        <is>
          <t>GEN-E</t>
        </is>
      </c>
      <c r="F4469" s="12" t="inlineStr">
        <is>
          <t>GEN-E: enclosed industrial gas genset 2 MW</t>
        </is>
      </c>
      <c r="G4469" s="12" t="inlineStr">
        <is>
          <t>JB-GEN-E-DI01</t>
        </is>
      </c>
      <c r="H4469" s="12" t="inlineStr">
        <is>
          <t>GEN-E: enclosed industrial gas genset 2 MW</t>
        </is>
      </c>
      <c r="I4469" s="12" t="inlineStr">
        <is>
          <t>Instrumentation</t>
        </is>
      </c>
      <c r="J4469" s="12" t="inlineStr">
        <is>
          <t>Instrumentation PLTC / TC-ER 300 V, #18 twisted shielded pairs, overall shield</t>
        </is>
      </c>
      <c r="K4469" s="12" t="inlineStr">
        <is>
          <t>PLTC|1 pr|16</t>
        </is>
      </c>
      <c r="L4469" s="12" t="inlineStr">
        <is>
          <t>1 pr</t>
        </is>
      </c>
      <c r="M4469" s="12" t="inlineStr">
        <is>
          <t>16</t>
        </is>
      </c>
      <c r="N4469" s="12" t="n">
        <v>20</v>
      </c>
      <c r="O4469" s="12" t="n">
        <v>1</v>
      </c>
      <c r="P4469" s="12" t="n"/>
      <c r="Q4469" s="12" t="n"/>
      <c r="R4469" s="12" t="n"/>
      <c r="S4469" s="12" t="inlineStr">
        <is>
          <t>Tray / conduit</t>
        </is>
      </c>
      <c r="T4469" s="17" t="n">
        <v>60</v>
      </c>
      <c r="U4469" s="17" t="n">
        <v>10</v>
      </c>
      <c r="V4469" s="17">
        <f>ROUNDUP((T4469+U4469+2*'Read Me'!$B$13)*(1+'Read Me'!$B$12),-1)</f>
        <v/>
      </c>
      <c r="W4469" s="17">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I-I-0103</t>
        </is>
      </c>
      <c r="B4470" s="12" t="inlineStr">
        <is>
          <t>I</t>
        </is>
      </c>
      <c r="C4470" s="12" t="inlineStr">
        <is>
          <t>Modular / portable power</t>
        </is>
      </c>
      <c r="D4470" s="12" t="inlineStr">
        <is>
          <t>Home run JB-GEN-E-DI01 to the control / marshalling room</t>
        </is>
      </c>
      <c r="E4470" s="12" t="inlineStr">
        <is>
          <t>PAD-EH</t>
        </is>
      </c>
      <c r="F4470" s="12" t="inlineStr">
        <is>
          <t>PAD-EH 13.8 kV switchgear e-house</t>
        </is>
      </c>
      <c r="G4470" s="12" t="inlineStr">
        <is>
          <t>JB-GEN-E-DI01</t>
        </is>
      </c>
      <c r="H4470" s="12" t="inlineStr">
        <is>
          <t>GEN-E: enclosed industrial gas genset 2 MW</t>
        </is>
      </c>
      <c r="I4470" s="12" t="inlineStr">
        <is>
          <t>Instrumentation</t>
        </is>
      </c>
      <c r="J4470" s="12" t="inlineStr">
        <is>
          <t>Instrumentation PLTC / TC-ER 300 V, #18 twisted shielded pairs, overall shield</t>
        </is>
      </c>
      <c r="K4470" s="12" t="inlineStr">
        <is>
          <t>PLTC|24 pr|18</t>
        </is>
      </c>
      <c r="L4470" s="12" t="inlineStr">
        <is>
          <t>24 pr</t>
        </is>
      </c>
      <c r="M4470" s="12" t="inlineStr">
        <is>
          <t>18</t>
        </is>
      </c>
      <c r="N4470" s="12" t="n">
        <v>1</v>
      </c>
      <c r="O4470" s="12" t="n">
        <v>1</v>
      </c>
      <c r="P4470" s="12" t="n"/>
      <c r="Q4470" s="12" t="n"/>
      <c r="R4470" s="12" t="n"/>
      <c r="S4470" s="12" t="inlineStr">
        <is>
          <t>Surface</t>
        </is>
      </c>
      <c r="T4470" s="17" t="n">
        <v>153</v>
      </c>
      <c r="U4470" s="17" t="n">
        <v>32</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I-I-0104</t>
        </is>
      </c>
      <c r="B4471" s="12" t="inlineStr">
        <is>
          <t>I</t>
        </is>
      </c>
      <c r="C4471" s="12" t="inlineStr">
        <is>
          <t>Modular / portable power</t>
        </is>
      </c>
      <c r="D4471" s="12" t="inlineStr">
        <is>
          <t>Analog instrument to JB JB-GEN-O-AI01: 20 x 1 pr (field cables)</t>
        </is>
      </c>
      <c r="E4471" s="12" t="inlineStr">
        <is>
          <t>GEN-O</t>
        </is>
      </c>
      <c r="F4471" s="12" t="inlineStr">
        <is>
          <t>GEN-O: open engine-generator skid</t>
        </is>
      </c>
      <c r="G4471" s="12" t="inlineStr">
        <is>
          <t>JB-GEN-O-AI01</t>
        </is>
      </c>
      <c r="H4471" s="12" t="inlineStr">
        <is>
          <t>GEN-O: open engine-generator skid</t>
        </is>
      </c>
      <c r="I4471" s="12" t="inlineStr">
        <is>
          <t>Instrumentation</t>
        </is>
      </c>
      <c r="J4471" s="12" t="inlineStr">
        <is>
          <t>Instrumentation PLTC / TC-ER 300 V, #18 twisted shielded pairs, overall shield</t>
        </is>
      </c>
      <c r="K4471" s="12" t="inlineStr">
        <is>
          <t>PLTC|1 pr|16</t>
        </is>
      </c>
      <c r="L4471" s="12" t="inlineStr">
        <is>
          <t>1 pr</t>
        </is>
      </c>
      <c r="M4471" s="12" t="inlineStr">
        <is>
          <t>16</t>
        </is>
      </c>
      <c r="N4471" s="12" t="n">
        <v>20</v>
      </c>
      <c r="O4471" s="12" t="n">
        <v>1</v>
      </c>
      <c r="P4471" s="12" t="n"/>
      <c r="Q4471" s="12" t="n"/>
      <c r="R4471" s="12" t="n"/>
      <c r="S4471" s="12" t="inlineStr">
        <is>
          <t>Tray / conduit</t>
        </is>
      </c>
      <c r="T4471" s="17" t="n">
        <v>45</v>
      </c>
      <c r="U4471" s="17" t="n">
        <v>10</v>
      </c>
      <c r="V4471" s="17">
        <f>ROUNDUP((T4471+U4471+2*'Read Me'!$B$13)*(1+'Read Me'!$B$12),-1)</f>
        <v/>
      </c>
      <c r="W4471" s="17">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I-I-0105</t>
        </is>
      </c>
      <c r="B4472" s="12" t="inlineStr">
        <is>
          <t>I</t>
        </is>
      </c>
      <c r="C4472" s="12" t="inlineStr">
        <is>
          <t>Modular / portable power</t>
        </is>
      </c>
      <c r="D4472" s="12" t="inlineStr">
        <is>
          <t>Home run JB-GEN-O-AI01 to the control / marshalling room</t>
        </is>
      </c>
      <c r="E4472" s="12" t="inlineStr">
        <is>
          <t>PAD-EH</t>
        </is>
      </c>
      <c r="F4472" s="12" t="inlineStr">
        <is>
          <t>PAD-EH 13.8 kV switchgear e-house</t>
        </is>
      </c>
      <c r="G4472" s="12" t="inlineStr">
        <is>
          <t>JB-GEN-O-AI01</t>
        </is>
      </c>
      <c r="H4472" s="12" t="inlineStr">
        <is>
          <t>GEN-O: open engine-generator skid</t>
        </is>
      </c>
      <c r="I4472" s="12" t="inlineStr">
        <is>
          <t>Instrumentation</t>
        </is>
      </c>
      <c r="J4472" s="12" t="inlineStr">
        <is>
          <t>Instrumentation PLTC / TC-ER 300 V, #18 twisted shielded pairs, overall shield</t>
        </is>
      </c>
      <c r="K4472" s="12" t="inlineStr">
        <is>
          <t>PLTC|24 pr|18</t>
        </is>
      </c>
      <c r="L4472" s="12" t="inlineStr">
        <is>
          <t>24 pr</t>
        </is>
      </c>
      <c r="M4472" s="12" t="inlineStr">
        <is>
          <t>18</t>
        </is>
      </c>
      <c r="N4472" s="12" t="n">
        <v>1</v>
      </c>
      <c r="O4472" s="12" t="n">
        <v>1</v>
      </c>
      <c r="P4472" s="12" t="n"/>
      <c r="Q4472" s="12" t="n"/>
      <c r="R4472" s="12" t="n"/>
      <c r="S4472" s="12" t="inlineStr">
        <is>
          <t>Surface</t>
        </is>
      </c>
      <c r="T4472" s="17" t="n">
        <v>153</v>
      </c>
      <c r="U4472" s="17" t="n">
        <v>79</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I-I-0106</t>
        </is>
      </c>
      <c r="B4473" s="12" t="inlineStr">
        <is>
          <t>I</t>
        </is>
      </c>
      <c r="C4473" s="12" t="inlineStr">
        <is>
          <t>Modular / portable power</t>
        </is>
      </c>
      <c r="D4473" s="12" t="inlineStr">
        <is>
          <t>Discrete device to JB JB-GEN-O-DI01: 20 x 1 pr (field cables)</t>
        </is>
      </c>
      <c r="E4473" s="12" t="inlineStr">
        <is>
          <t>GEN-O</t>
        </is>
      </c>
      <c r="F4473" s="12" t="inlineStr">
        <is>
          <t>GEN-O: open engine-generator skid</t>
        </is>
      </c>
      <c r="G4473" s="12" t="inlineStr">
        <is>
          <t>JB-GEN-O-DI01</t>
        </is>
      </c>
      <c r="H4473" s="12" t="inlineStr">
        <is>
          <t>GEN-O: open engine-generator skid</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20</v>
      </c>
      <c r="O4473" s="12" t="n">
        <v>1</v>
      </c>
      <c r="P4473" s="12" t="n"/>
      <c r="Q4473" s="12" t="n"/>
      <c r="R4473" s="12" t="n"/>
      <c r="S4473" s="12" t="inlineStr">
        <is>
          <t>Tray / conduit</t>
        </is>
      </c>
      <c r="T4473" s="17" t="n">
        <v>45</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I-I-0107</t>
        </is>
      </c>
      <c r="B4474" s="12" t="inlineStr">
        <is>
          <t>I</t>
        </is>
      </c>
      <c r="C4474" s="12" t="inlineStr">
        <is>
          <t>Modular / portable power</t>
        </is>
      </c>
      <c r="D4474" s="12" t="inlineStr">
        <is>
          <t>Home run JB-GEN-O-DI01 to the control / marshalling room</t>
        </is>
      </c>
      <c r="E4474" s="12" t="inlineStr">
        <is>
          <t>PAD-EH</t>
        </is>
      </c>
      <c r="F4474" s="12" t="inlineStr">
        <is>
          <t>PAD-EH 13.8 kV switchgear e-house</t>
        </is>
      </c>
      <c r="G4474" s="12" t="inlineStr">
        <is>
          <t>JB-GEN-O-DI01</t>
        </is>
      </c>
      <c r="H4474" s="12" t="inlineStr">
        <is>
          <t>GEN-O: open engine-generator skid</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Surface</t>
        </is>
      </c>
      <c r="T4474" s="17" t="n">
        <v>153</v>
      </c>
      <c r="U4474" s="17" t="n">
        <v>79</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I-I-0108</t>
        </is>
      </c>
      <c r="B4475" s="12" t="inlineStr">
        <is>
          <t>I</t>
        </is>
      </c>
      <c r="C4475" s="12" t="inlineStr">
        <is>
          <t>Modular / portable power</t>
        </is>
      </c>
      <c r="D4475" s="12" t="inlineStr">
        <is>
          <t>Instrumentation</t>
        </is>
      </c>
      <c r="E4475" s="12" t="inlineStr"/>
      <c r="F4475" s="12" t="inlineStr">
        <is>
          <t>PCM: power control module</t>
        </is>
      </c>
      <c r="G4475" s="12" t="inlineStr"/>
      <c r="H4475" s="12" t="inlineStr">
        <is>
          <t>Gas conditioning skid</t>
        </is>
      </c>
      <c r="I4475" s="12" t="inlineStr">
        <is>
          <t>Instrumentation</t>
        </is>
      </c>
      <c r="J4475" s="12" t="inlineStr">
        <is>
          <t>Instrumentation ITC / PLTC, IS, #18 shielded pairs, blue jacket</t>
        </is>
      </c>
      <c r="K4475" s="12" t="inlineStr">
        <is>
          <t>ITC|4 pr|18</t>
        </is>
      </c>
      <c r="L4475" s="12" t="inlineStr">
        <is>
          <t>4 pr</t>
        </is>
      </c>
      <c r="M4475" s="12" t="inlineStr">
        <is>
          <t>18</t>
        </is>
      </c>
      <c r="N4475" s="12" t="n">
        <v>1</v>
      </c>
      <c r="O4475" s="12" t="n">
        <v>1</v>
      </c>
      <c r="P4475" s="12" t="n"/>
      <c r="Q4475" s="12" t="n"/>
      <c r="R4475" s="12" t="n"/>
      <c r="S4475" s="12" t="inlineStr">
        <is>
          <t>Tray</t>
        </is>
      </c>
      <c r="T4475" s="17" t="n">
        <v>40</v>
      </c>
      <c r="U4475" s="17" t="n">
        <v>94</v>
      </c>
      <c r="V4475" s="17">
        <f>ROUNDUP((T4475+U4475+2*'Read Me'!$B$13)*(1+'Read Me'!$B$12),-1)</f>
        <v/>
      </c>
      <c r="W4475" s="17">
        <f>V4475*N4475*O4475</f>
        <v/>
      </c>
      <c r="X4475" s="12">
        <f>IF(LEFT(I4475,2)="MV",2*N4475*IF(L4475="1/C",O4475,1),0)</f>
        <v/>
      </c>
      <c r="Y4475" s="12">
        <f>IF(OR(LEFT(K4475,4)="LVAX",LEFT(K4475,6)="MV15AX",LEFT(K4475,4)="CTAX",LEFT(K4475,2)="W|"),2*N4475*O4475,0)</f>
        <v/>
      </c>
      <c r="Z4475" s="12" t="inlineStr"/>
      <c r="AA4475" s="12">
        <f>N4475*O4475</f>
        <v/>
      </c>
    </row>
    <row r="4476">
      <c r="A4476" s="12" t="inlineStr">
        <is>
          <t>I-I-0109</t>
        </is>
      </c>
      <c r="B4476" s="12" t="inlineStr">
        <is>
          <t>I</t>
        </is>
      </c>
      <c r="C4476" s="12" t="inlineStr">
        <is>
          <t>Modular / portable power</t>
        </is>
      </c>
      <c r="D4476" s="12" t="inlineStr">
        <is>
          <t>Instrumentation</t>
        </is>
      </c>
      <c r="E4476" s="12" t="inlineStr"/>
      <c r="F4476" s="12" t="inlineStr">
        <is>
          <t>PCM: power control module</t>
        </is>
      </c>
      <c r="G4476" s="12" t="inlineStr"/>
      <c r="H4476" s="12" t="inlineStr">
        <is>
          <t>Gas conditioning skid</t>
        </is>
      </c>
      <c r="I4476" s="12" t="inlineStr">
        <is>
          <t>Instrumentation</t>
        </is>
      </c>
      <c r="J4476" s="12" t="inlineStr">
        <is>
          <t>Instrumentation ITC / PLTC, IS, #18 shielded pairs, blue jacket</t>
        </is>
      </c>
      <c r="K4476" s="12" t="inlineStr">
        <is>
          <t>ITC|12 pr|18</t>
        </is>
      </c>
      <c r="L4476" s="12" t="inlineStr">
        <is>
          <t>12 pr</t>
        </is>
      </c>
      <c r="M4476" s="12" t="inlineStr">
        <is>
          <t>18</t>
        </is>
      </c>
      <c r="N4476" s="12" t="n">
        <v>1</v>
      </c>
      <c r="O4476" s="12" t="n">
        <v>1</v>
      </c>
      <c r="P4476" s="12" t="n"/>
      <c r="Q4476" s="12" t="n"/>
      <c r="R4476" s="12" t="n"/>
      <c r="S4476" s="12" t="inlineStr">
        <is>
          <t>Tray</t>
        </is>
      </c>
      <c r="T4476" s="17" t="n">
        <v>40</v>
      </c>
      <c r="U4476" s="17" t="n">
        <v>94</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I-I-0110</t>
        </is>
      </c>
      <c r="B4477" s="12" t="inlineStr">
        <is>
          <t>I</t>
        </is>
      </c>
      <c r="C4477" s="12" t="inlineStr">
        <is>
          <t>Modular / portable power</t>
        </is>
      </c>
      <c r="D4477" s="12" t="inlineStr">
        <is>
          <t>Analog instrument to JB JB-MOB-1-AI01: 20 x 1 pr (field cables)</t>
        </is>
      </c>
      <c r="E4477" s="12" t="inlineStr">
        <is>
          <t>MOB-1</t>
        </is>
      </c>
      <c r="F4477" s="12" t="inlineStr">
        <is>
          <t>MOB-1: trailer genset</t>
        </is>
      </c>
      <c r="G4477" s="12" t="inlineStr">
        <is>
          <t>JB-MOB-1-AI01</t>
        </is>
      </c>
      <c r="H4477" s="12" t="inlineStr">
        <is>
          <t>MOB-1: trailer genset</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7" t="n">
        <v>61</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I-I-0111</t>
        </is>
      </c>
      <c r="B4478" s="12" t="inlineStr">
        <is>
          <t>I</t>
        </is>
      </c>
      <c r="C4478" s="12" t="inlineStr">
        <is>
          <t>Modular / portable power</t>
        </is>
      </c>
      <c r="D4478" s="12" t="inlineStr">
        <is>
          <t>Home run JB-MOB-1-AI01 to the control / marshalling room</t>
        </is>
      </c>
      <c r="E4478" s="12" t="inlineStr">
        <is>
          <t>PAD-EH</t>
        </is>
      </c>
      <c r="F4478" s="12" t="inlineStr">
        <is>
          <t>PAD-EH 13.8 kV switchgear e-house</t>
        </is>
      </c>
      <c r="G4478" s="12" t="inlineStr">
        <is>
          <t>JB-MOB-1-AI01</t>
        </is>
      </c>
      <c r="H4478" s="12" t="inlineStr">
        <is>
          <t>MOB-1: trailer genset</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7" t="n">
        <v>113</v>
      </c>
      <c r="U4478" s="17" t="n">
        <v>160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I-I-0112</t>
        </is>
      </c>
      <c r="B4479" s="12" t="inlineStr">
        <is>
          <t>I</t>
        </is>
      </c>
      <c r="C4479" s="12" t="inlineStr">
        <is>
          <t>Modular / portable power</t>
        </is>
      </c>
      <c r="D4479" s="12" t="inlineStr">
        <is>
          <t>Discrete device to JB JB-MOB-1-DI01: 20 x 1 pr (field cables)</t>
        </is>
      </c>
      <c r="E4479" s="12" t="inlineStr">
        <is>
          <t>MOB-1</t>
        </is>
      </c>
      <c r="F4479" s="12" t="inlineStr">
        <is>
          <t>MOB-1: trailer genset</t>
        </is>
      </c>
      <c r="G4479" s="12" t="inlineStr">
        <is>
          <t>JB-MOB-1-DI01</t>
        </is>
      </c>
      <c r="H4479" s="12" t="inlineStr">
        <is>
          <t>MOB-1: trailer genset</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7" t="n">
        <v>61</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I-I-0113</t>
        </is>
      </c>
      <c r="B4480" s="12" t="inlineStr">
        <is>
          <t>I</t>
        </is>
      </c>
      <c r="C4480" s="12" t="inlineStr">
        <is>
          <t>Modular / portable power</t>
        </is>
      </c>
      <c r="D4480" s="12" t="inlineStr">
        <is>
          <t>Home run JB-MOB-1-DI01 to the control / marshalling room</t>
        </is>
      </c>
      <c r="E4480" s="12" t="inlineStr">
        <is>
          <t>PAD-EH</t>
        </is>
      </c>
      <c r="F4480" s="12" t="inlineStr">
        <is>
          <t>PAD-EH 13.8 kV switchgear e-house</t>
        </is>
      </c>
      <c r="G4480" s="12" t="inlineStr">
        <is>
          <t>JB-MOB-1-DI01</t>
        </is>
      </c>
      <c r="H4480" s="12" t="inlineStr">
        <is>
          <t>MOB-1: trailer genset</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7" t="n">
        <v>113</v>
      </c>
      <c r="U4480" s="17" t="n">
        <v>160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I-I-0114</t>
        </is>
      </c>
      <c r="B4481" s="12" t="inlineStr">
        <is>
          <t>I</t>
        </is>
      </c>
      <c r="C4481" s="12" t="inlineStr">
        <is>
          <t>Modular / portable power</t>
        </is>
      </c>
      <c r="D4481" s="12" t="inlineStr">
        <is>
          <t>Instrumentation</t>
        </is>
      </c>
      <c r="E4481" s="12" t="inlineStr"/>
      <c r="F4481" s="12" t="inlineStr">
        <is>
          <t>PCM: power control module</t>
        </is>
      </c>
      <c r="G4481" s="12" t="inlineStr"/>
      <c r="H4481" s="12" t="inlineStr">
        <is>
          <t>MOD-LV 480 V board + 480 V : 13.8 kV step-up</t>
        </is>
      </c>
      <c r="I4481" s="12" t="inlineStr">
        <is>
          <t>Instrumentation</t>
        </is>
      </c>
      <c r="J4481" s="12" t="inlineStr">
        <is>
          <t>Instrumentation PLTC / TC-ER 300 V, #18 twisted shielded pairs, overall shield</t>
        </is>
      </c>
      <c r="K4481" s="12" t="inlineStr">
        <is>
          <t>PLTC|4 pr|18</t>
        </is>
      </c>
      <c r="L4481" s="12" t="inlineStr">
        <is>
          <t>4 pr</t>
        </is>
      </c>
      <c r="M4481" s="12" t="inlineStr">
        <is>
          <t>18</t>
        </is>
      </c>
      <c r="N4481" s="12" t="n">
        <v>1</v>
      </c>
      <c r="O4481" s="12" t="n">
        <v>1</v>
      </c>
      <c r="P4481" s="12" t="n"/>
      <c r="Q4481" s="12" t="n"/>
      <c r="R4481" s="12" t="n"/>
      <c r="S4481" s="12" t="inlineStr">
        <is>
          <t>Duct bank</t>
        </is>
      </c>
      <c r="T4481" s="17" t="n">
        <v>757</v>
      </c>
      <c r="U4481" s="17" t="n">
        <v>32</v>
      </c>
      <c r="V4481" s="17">
        <f>ROUNDUP((T4481+U4481+2*'Read Me'!$B$13)*(1+'Read Me'!$B$12),-1)</f>
        <v/>
      </c>
      <c r="W4481" s="17">
        <f>V4481*N4481*O4481</f>
        <v/>
      </c>
      <c r="X4481" s="12">
        <f>IF(LEFT(I4481,2)="MV",2*N4481*IF(L4481="1/C",O4481,1),0)</f>
        <v/>
      </c>
      <c r="Y4481" s="12">
        <f>IF(OR(LEFT(K4481,4)="LVAX",LEFT(K4481,6)="MV15AX",LEFT(K4481,4)="CTAX",LEFT(K4481,2)="W|"),2*N4481*O4481,0)</f>
        <v/>
      </c>
      <c r="Z4481" s="12" t="inlineStr"/>
      <c r="AA4481" s="12">
        <f>N4481*O4481</f>
        <v/>
      </c>
    </row>
    <row r="4482">
      <c r="A4482" s="12" t="inlineStr">
        <is>
          <t>I-I-0115</t>
        </is>
      </c>
      <c r="B4482" s="12" t="inlineStr">
        <is>
          <t>I</t>
        </is>
      </c>
      <c r="C4482" s="12" t="inlineStr">
        <is>
          <t>Modular / portable power</t>
        </is>
      </c>
      <c r="D4482" s="12" t="inlineStr">
        <is>
          <t>Analog instrument to JB JB-MT-4-AI01: 6 x 1 pr (field cables)</t>
        </is>
      </c>
      <c r="E4482" s="12" t="inlineStr">
        <is>
          <t>MT-4</t>
        </is>
      </c>
      <c r="F4482" s="12" t="inlineStr">
        <is>
          <t>MT-4: microturbine 1 MW (Capstone C1000 class)</t>
        </is>
      </c>
      <c r="G4482" s="12" t="inlineStr">
        <is>
          <t>JB-MT-4-AI01</t>
        </is>
      </c>
      <c r="H4482" s="12" t="inlineStr">
        <is>
          <t>MT-4: microturbine 1 MW (Capstone C1000 class)</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6</v>
      </c>
      <c r="O4482" s="12" t="n">
        <v>1</v>
      </c>
      <c r="P4482" s="12" t="n"/>
      <c r="Q4482" s="12" t="n"/>
      <c r="R4482" s="12" t="n"/>
      <c r="S4482" s="12" t="inlineStr">
        <is>
          <t>Tray / conduit</t>
        </is>
      </c>
      <c r="T4482" s="17" t="n">
        <v>47</v>
      </c>
      <c r="U4482" s="17" t="n">
        <v>10</v>
      </c>
      <c r="V4482" s="17">
        <f>ROUNDUP((T4482+U4482+2*'Read Me'!$B$13)*(1+'Read Me'!$B$12),-1)</f>
        <v/>
      </c>
      <c r="W4482" s="17">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I-I-0116</t>
        </is>
      </c>
      <c r="B4483" s="12" t="inlineStr">
        <is>
          <t>I</t>
        </is>
      </c>
      <c r="C4483" s="12" t="inlineStr">
        <is>
          <t>Modular / portable power</t>
        </is>
      </c>
      <c r="D4483" s="12" t="inlineStr">
        <is>
          <t>Home run JB-MT-4-AI01 to the control / marshalling room</t>
        </is>
      </c>
      <c r="E4483" s="12" t="inlineStr">
        <is>
          <t>PAD-EH</t>
        </is>
      </c>
      <c r="F4483" s="12" t="inlineStr">
        <is>
          <t>PAD-EH 13.8 kV switchgear e-house</t>
        </is>
      </c>
      <c r="G4483" s="12" t="inlineStr">
        <is>
          <t>JB-MT-4-AI01</t>
        </is>
      </c>
      <c r="H4483" s="12" t="inlineStr">
        <is>
          <t>MT-4: microturbine 1 MW (Capstone C1000 class)</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Surface</t>
        </is>
      </c>
      <c r="T4483" s="17" t="n">
        <v>198</v>
      </c>
      <c r="U4483" s="17" t="n">
        <v>47</v>
      </c>
      <c r="V4483" s="17">
        <f>ROUNDUP((T4483+U4483+2*'Read Me'!$B$13)*(1+'Read Me'!$B$12),-1)</f>
        <v/>
      </c>
      <c r="W4483" s="17">
        <f>V4483*N4483*O4483</f>
        <v/>
      </c>
      <c r="X4483" s="12">
        <f>IF(LEFT(I4483,2)="MV",2*N4483*IF(L4483="1/C",O4483,1),0)</f>
        <v/>
      </c>
      <c r="Y4483" s="12">
        <f>IF(OR(LEFT(K4483,4)="LVAX",LEFT(K4483,6)="MV15AX",LEFT(K4483,4)="CTAX",LEFT(K4483,2)="W|"),2*N4483*O4483,0)</f>
        <v/>
      </c>
      <c r="Z4483" s="12" t="inlineStr"/>
      <c r="AA4483" s="12">
        <f>N4483*O4483</f>
        <v/>
      </c>
    </row>
    <row r="4484">
      <c r="A4484" s="12" t="inlineStr">
        <is>
          <t>I-I-0117</t>
        </is>
      </c>
      <c r="B4484" s="12" t="inlineStr">
        <is>
          <t>I</t>
        </is>
      </c>
      <c r="C4484" s="12" t="inlineStr">
        <is>
          <t>Modular / portable power</t>
        </is>
      </c>
      <c r="D4484" s="12" t="inlineStr">
        <is>
          <t>Discrete device to JB JB-MT-4-DI01: 6 x 1 pr (field cables)</t>
        </is>
      </c>
      <c r="E4484" s="12" t="inlineStr">
        <is>
          <t>MT-4</t>
        </is>
      </c>
      <c r="F4484" s="12" t="inlineStr">
        <is>
          <t>MT-4: microturbine 1 MW (Capstone C1000 class)</t>
        </is>
      </c>
      <c r="G4484" s="12" t="inlineStr">
        <is>
          <t>JB-MT-4-DI01</t>
        </is>
      </c>
      <c r="H4484" s="12" t="inlineStr">
        <is>
          <t>MT-4: microturbine 1 MW (Capstone C1000 class)</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6</v>
      </c>
      <c r="O4484" s="12" t="n">
        <v>1</v>
      </c>
      <c r="P4484" s="12" t="n"/>
      <c r="Q4484" s="12" t="n"/>
      <c r="R4484" s="12" t="n"/>
      <c r="S4484" s="12" t="inlineStr">
        <is>
          <t>Tray / conduit</t>
        </is>
      </c>
      <c r="T4484" s="17" t="n">
        <v>47</v>
      </c>
      <c r="U4484" s="17" t="n">
        <v>10</v>
      </c>
      <c r="V4484" s="17">
        <f>ROUNDUP((T4484+U4484+2*'Read Me'!$B$13)*(1+'Read Me'!$B$12),-1)</f>
        <v/>
      </c>
      <c r="W4484" s="17">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I-I-0118</t>
        </is>
      </c>
      <c r="B4485" s="12" t="inlineStr">
        <is>
          <t>I</t>
        </is>
      </c>
      <c r="C4485" s="12" t="inlineStr">
        <is>
          <t>Modular / portable power</t>
        </is>
      </c>
      <c r="D4485" s="12" t="inlineStr">
        <is>
          <t>Home run JB-MT-4-DI01 to the control / marshalling room</t>
        </is>
      </c>
      <c r="E4485" s="12" t="inlineStr">
        <is>
          <t>PAD-EH</t>
        </is>
      </c>
      <c r="F4485" s="12" t="inlineStr">
        <is>
          <t>PAD-EH 13.8 kV switchgear e-house</t>
        </is>
      </c>
      <c r="G4485" s="12" t="inlineStr">
        <is>
          <t>JB-MT-4-DI01</t>
        </is>
      </c>
      <c r="H4485" s="12" t="inlineStr">
        <is>
          <t>MT-4: microturbine 1 MW (Capstone C1000 class)</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Surface</t>
        </is>
      </c>
      <c r="T4485" s="17" t="n">
        <v>198</v>
      </c>
      <c r="U4485" s="17" t="n">
        <v>47</v>
      </c>
      <c r="V4485" s="17">
        <f>ROUNDUP((T4485+U4485+2*'Read Me'!$B$13)*(1+'Read Me'!$B$12),-1)</f>
        <v/>
      </c>
      <c r="W4485" s="17">
        <f>V4485*N4485*O4485</f>
        <v/>
      </c>
      <c r="X4485" s="12">
        <f>IF(LEFT(I4485,2)="MV",2*N4485*IF(L4485="1/C",O4485,1),0)</f>
        <v/>
      </c>
      <c r="Y4485" s="12">
        <f>IF(OR(LEFT(K4485,4)="LVAX",LEFT(K4485,6)="MV15AX",LEFT(K4485,4)="CTAX",LEFT(K4485,2)="W|"),2*N4485*O4485,0)</f>
        <v/>
      </c>
      <c r="Z4485" s="12" t="inlineStr"/>
      <c r="AA4485" s="12">
        <f>N4485*O4485</f>
        <v/>
      </c>
    </row>
    <row r="4486">
      <c r="A4486" s="12" t="inlineStr">
        <is>
          <t>I-I-0119</t>
        </is>
      </c>
      <c r="B4486" s="12" t="inlineStr">
        <is>
          <t>I</t>
        </is>
      </c>
      <c r="C4486" s="12" t="inlineStr">
        <is>
          <t>Modular / portable power</t>
        </is>
      </c>
      <c r="D4486" s="12" t="inlineStr">
        <is>
          <t>Analog instrument to JB JB-MT-5-AI01: 6 x 1 pr (field cables)</t>
        </is>
      </c>
      <c r="E4486" s="12" t="inlineStr">
        <is>
          <t>MT-5</t>
        </is>
      </c>
      <c r="F4486" s="12" t="inlineStr">
        <is>
          <t>MT-5: microturbine 1 MW (Capstone C1000 class)</t>
        </is>
      </c>
      <c r="G4486" s="12" t="inlineStr">
        <is>
          <t>JB-MT-5-AI01</t>
        </is>
      </c>
      <c r="H4486" s="12" t="inlineStr">
        <is>
          <t>MT-5: microturbine 1 MW (Capstone C1000 class)</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6</v>
      </c>
      <c r="O4486" s="12" t="n">
        <v>1</v>
      </c>
      <c r="P4486" s="12" t="n"/>
      <c r="Q4486" s="12" t="n"/>
      <c r="R4486" s="12" t="n"/>
      <c r="S4486" s="12" t="inlineStr">
        <is>
          <t>Tray / conduit</t>
        </is>
      </c>
      <c r="T4486" s="17" t="n">
        <v>47</v>
      </c>
      <c r="U4486" s="17" t="n">
        <v>10</v>
      </c>
      <c r="V4486" s="17">
        <f>ROUNDUP((T4486+U4486+2*'Read Me'!$B$13)*(1+'Read Me'!$B$12),-1)</f>
        <v/>
      </c>
      <c r="W4486" s="17">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I-I-0120</t>
        </is>
      </c>
      <c r="B4487" s="12" t="inlineStr">
        <is>
          <t>I</t>
        </is>
      </c>
      <c r="C4487" s="12" t="inlineStr">
        <is>
          <t>Modular / portable power</t>
        </is>
      </c>
      <c r="D4487" s="12" t="inlineStr">
        <is>
          <t>Home run JB-MT-5-AI01 to the control / marshalling room</t>
        </is>
      </c>
      <c r="E4487" s="12" t="inlineStr">
        <is>
          <t>PAD-EH</t>
        </is>
      </c>
      <c r="F4487" s="12" t="inlineStr">
        <is>
          <t>PAD-EH 13.8 kV switchgear e-house</t>
        </is>
      </c>
      <c r="G4487" s="12" t="inlineStr">
        <is>
          <t>JB-MT-5-AI01</t>
        </is>
      </c>
      <c r="H4487" s="12" t="inlineStr">
        <is>
          <t>MT-5: microturbine 1 MW (Capstone C1000 class)</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Surface</t>
        </is>
      </c>
      <c r="T4487" s="17" t="n">
        <v>198</v>
      </c>
      <c r="U4487" s="17" t="n">
        <v>37</v>
      </c>
      <c r="V4487" s="17">
        <f>ROUNDUP((T4487+U4487+2*'Read Me'!$B$13)*(1+'Read Me'!$B$12),-1)</f>
        <v/>
      </c>
      <c r="W4487" s="17">
        <f>V4487*N4487*O4487</f>
        <v/>
      </c>
      <c r="X4487" s="12">
        <f>IF(LEFT(I4487,2)="MV",2*N4487*IF(L4487="1/C",O4487,1),0)</f>
        <v/>
      </c>
      <c r="Y4487" s="12">
        <f>IF(OR(LEFT(K4487,4)="LVAX",LEFT(K4487,6)="MV15AX",LEFT(K4487,4)="CTAX",LEFT(K4487,2)="W|"),2*N4487*O4487,0)</f>
        <v/>
      </c>
      <c r="Z4487" s="12" t="inlineStr"/>
      <c r="AA4487" s="12">
        <f>N4487*O4487</f>
        <v/>
      </c>
    </row>
    <row r="4488">
      <c r="A4488" s="12" t="inlineStr">
        <is>
          <t>I-I-0121</t>
        </is>
      </c>
      <c r="B4488" s="12" t="inlineStr">
        <is>
          <t>I</t>
        </is>
      </c>
      <c r="C4488" s="12" t="inlineStr">
        <is>
          <t>Modular / portable power</t>
        </is>
      </c>
      <c r="D4488" s="12" t="inlineStr">
        <is>
          <t>Discrete device to JB JB-MT-5-DI01: 6 x 1 pr (field cables)</t>
        </is>
      </c>
      <c r="E4488" s="12" t="inlineStr">
        <is>
          <t>MT-5</t>
        </is>
      </c>
      <c r="F4488" s="12" t="inlineStr">
        <is>
          <t>MT-5: microturbine 1 MW (Capstone C1000 class)</t>
        </is>
      </c>
      <c r="G4488" s="12" t="inlineStr">
        <is>
          <t>JB-MT-5-DI01</t>
        </is>
      </c>
      <c r="H4488" s="12" t="inlineStr">
        <is>
          <t>MT-5: microturbine 1 MW (Capstone C1000 class)</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6</v>
      </c>
      <c r="O4488" s="12" t="n">
        <v>1</v>
      </c>
      <c r="P4488" s="12" t="n"/>
      <c r="Q4488" s="12" t="n"/>
      <c r="R4488" s="12" t="n"/>
      <c r="S4488" s="12" t="inlineStr">
        <is>
          <t>Tray / conduit</t>
        </is>
      </c>
      <c r="T4488" s="17" t="n">
        <v>47</v>
      </c>
      <c r="U4488" s="17" t="n">
        <v>10</v>
      </c>
      <c r="V4488" s="17">
        <f>ROUNDUP((T4488+U4488+2*'Read Me'!$B$13)*(1+'Read Me'!$B$12),-1)</f>
        <v/>
      </c>
      <c r="W4488" s="17">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I-I-0122</t>
        </is>
      </c>
      <c r="B4489" s="12" t="inlineStr">
        <is>
          <t>I</t>
        </is>
      </c>
      <c r="C4489" s="12" t="inlineStr">
        <is>
          <t>Modular / portable power</t>
        </is>
      </c>
      <c r="D4489" s="12" t="inlineStr">
        <is>
          <t>Home run JB-MT-5-DI01 to the control / marshalling room</t>
        </is>
      </c>
      <c r="E4489" s="12" t="inlineStr">
        <is>
          <t>PAD-EH</t>
        </is>
      </c>
      <c r="F4489" s="12" t="inlineStr">
        <is>
          <t>PAD-EH 13.8 kV switchgear e-house</t>
        </is>
      </c>
      <c r="G4489" s="12" t="inlineStr">
        <is>
          <t>JB-MT-5-DI01</t>
        </is>
      </c>
      <c r="H4489" s="12" t="inlineStr">
        <is>
          <t>MT-5: microturbine 1 MW (Capstone C1000 class)</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Surface</t>
        </is>
      </c>
      <c r="T4489" s="17" t="n">
        <v>198</v>
      </c>
      <c r="U4489" s="17" t="n">
        <v>37</v>
      </c>
      <c r="V4489" s="17">
        <f>ROUNDUP((T4489+U4489+2*'Read Me'!$B$13)*(1+'Read Me'!$B$12),-1)</f>
        <v/>
      </c>
      <c r="W4489" s="17">
        <f>V4489*N4489*O4489</f>
        <v/>
      </c>
      <c r="X4489" s="12">
        <f>IF(LEFT(I4489,2)="MV",2*N4489*IF(L4489="1/C",O4489,1),0)</f>
        <v/>
      </c>
      <c r="Y4489" s="12">
        <f>IF(OR(LEFT(K4489,4)="LVAX",LEFT(K4489,6)="MV15AX",LEFT(K4489,4)="CTAX",LEFT(K4489,2)="W|"),2*N4489*O4489,0)</f>
        <v/>
      </c>
      <c r="Z4489" s="12" t="inlineStr"/>
      <c r="AA4489" s="12">
        <f>N4489*O4489</f>
        <v/>
      </c>
    </row>
    <row r="4490">
      <c r="A4490" s="12" t="inlineStr">
        <is>
          <t>I-I-0123</t>
        </is>
      </c>
      <c r="B4490" s="12" t="inlineStr">
        <is>
          <t>I</t>
        </is>
      </c>
      <c r="C4490" s="12" t="inlineStr">
        <is>
          <t>Modular / portable power</t>
        </is>
      </c>
      <c r="D4490" s="12" t="inlineStr">
        <is>
          <t>Analog instrument to JB JB-MT-6-AI01: 6 x 1 pr (field cables)</t>
        </is>
      </c>
      <c r="E4490" s="12" t="inlineStr">
        <is>
          <t>MT-6</t>
        </is>
      </c>
      <c r="F4490" s="12" t="inlineStr">
        <is>
          <t>MT-6: microturbine 1 MW (Capstone C1000 class)</t>
        </is>
      </c>
      <c r="G4490" s="12" t="inlineStr">
        <is>
          <t>JB-MT-6-AI01</t>
        </is>
      </c>
      <c r="H4490" s="12" t="inlineStr">
        <is>
          <t>MT-6: microturbine 1 MW (Capstone C1000 class)</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6</v>
      </c>
      <c r="O4490" s="12" t="n">
        <v>1</v>
      </c>
      <c r="P4490" s="12" t="n"/>
      <c r="Q4490" s="12" t="n"/>
      <c r="R4490" s="12" t="n"/>
      <c r="S4490" s="12" t="inlineStr">
        <is>
          <t>Tray / conduit</t>
        </is>
      </c>
      <c r="T4490" s="17" t="n">
        <v>47</v>
      </c>
      <c r="U4490" s="17" t="n">
        <v>10</v>
      </c>
      <c r="V4490" s="17">
        <f>ROUNDUP((T4490+U4490+2*'Read Me'!$B$13)*(1+'Read Me'!$B$12),-1)</f>
        <v/>
      </c>
      <c r="W4490" s="17">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I-I-0124</t>
        </is>
      </c>
      <c r="B4491" s="12" t="inlineStr">
        <is>
          <t>I</t>
        </is>
      </c>
      <c r="C4491" s="12" t="inlineStr">
        <is>
          <t>Modular / portable power</t>
        </is>
      </c>
      <c r="D4491" s="12" t="inlineStr">
        <is>
          <t>Home run JB-MT-6-AI01 to the control / marshalling room</t>
        </is>
      </c>
      <c r="E4491" s="12" t="inlineStr">
        <is>
          <t>PAD-EH</t>
        </is>
      </c>
      <c r="F4491" s="12" t="inlineStr">
        <is>
          <t>PAD-EH 13.8 kV switchgear e-house</t>
        </is>
      </c>
      <c r="G4491" s="12" t="inlineStr">
        <is>
          <t>JB-MT-6-AI01</t>
        </is>
      </c>
      <c r="H4491" s="12" t="inlineStr">
        <is>
          <t>MT-6: microturbine 1 MW (Capstone C1000 class)</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Surface</t>
        </is>
      </c>
      <c r="T4491" s="17" t="n">
        <v>67</v>
      </c>
      <c r="U4491" s="17" t="n">
        <v>90</v>
      </c>
      <c r="V4491" s="17">
        <f>ROUNDUP((T4491+U4491+2*'Read Me'!$B$13)*(1+'Read Me'!$B$12),-1)</f>
        <v/>
      </c>
      <c r="W4491" s="17">
        <f>V4491*N4491*O4491</f>
        <v/>
      </c>
      <c r="X4491" s="12">
        <f>IF(LEFT(I4491,2)="MV",2*N4491*IF(L4491="1/C",O4491,1),0)</f>
        <v/>
      </c>
      <c r="Y4491" s="12">
        <f>IF(OR(LEFT(K4491,4)="LVAX",LEFT(K4491,6)="MV15AX",LEFT(K4491,4)="CTAX",LEFT(K4491,2)="W|"),2*N4491*O4491,0)</f>
        <v/>
      </c>
      <c r="Z4491" s="12" t="inlineStr"/>
      <c r="AA4491" s="12">
        <f>N4491*O4491</f>
        <v/>
      </c>
    </row>
    <row r="4492">
      <c r="A4492" s="12" t="inlineStr">
        <is>
          <t>I-I-0125</t>
        </is>
      </c>
      <c r="B4492" s="12" t="inlineStr">
        <is>
          <t>I</t>
        </is>
      </c>
      <c r="C4492" s="12" t="inlineStr">
        <is>
          <t>Modular / portable power</t>
        </is>
      </c>
      <c r="D4492" s="12" t="inlineStr">
        <is>
          <t>Discrete device to JB JB-MT-6-DI01: 6 x 1 pr (field cables)</t>
        </is>
      </c>
      <c r="E4492" s="12" t="inlineStr">
        <is>
          <t>MT-6</t>
        </is>
      </c>
      <c r="F4492" s="12" t="inlineStr">
        <is>
          <t>MT-6: microturbine 1 MW (Capstone C1000 class)</t>
        </is>
      </c>
      <c r="G4492" s="12" t="inlineStr">
        <is>
          <t>JB-MT-6-DI01</t>
        </is>
      </c>
      <c r="H4492" s="12" t="inlineStr">
        <is>
          <t>MT-6: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7" t="n">
        <v>47</v>
      </c>
      <c r="U4492" s="17" t="n">
        <v>10</v>
      </c>
      <c r="V4492" s="17">
        <f>ROUNDUP((T4492+U4492+2*'Read Me'!$B$13)*(1+'Read Me'!$B$12),-1)</f>
        <v/>
      </c>
      <c r="W4492" s="17">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I-I-0126</t>
        </is>
      </c>
      <c r="B4493" s="12" t="inlineStr">
        <is>
          <t>I</t>
        </is>
      </c>
      <c r="C4493" s="12" t="inlineStr">
        <is>
          <t>Modular / portable power</t>
        </is>
      </c>
      <c r="D4493" s="12" t="inlineStr">
        <is>
          <t>Home run JB-MT-6-DI01 to the control / marshalling room</t>
        </is>
      </c>
      <c r="E4493" s="12" t="inlineStr">
        <is>
          <t>PAD-EH</t>
        </is>
      </c>
      <c r="F4493" s="12" t="inlineStr">
        <is>
          <t>PAD-EH 13.8 kV switchgear e-house</t>
        </is>
      </c>
      <c r="G4493" s="12" t="inlineStr">
        <is>
          <t>JB-MT-6-DI01</t>
        </is>
      </c>
      <c r="H4493" s="12" t="inlineStr">
        <is>
          <t>MT-6: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Surface</t>
        </is>
      </c>
      <c r="T4493" s="17" t="n">
        <v>67</v>
      </c>
      <c r="U4493" s="17" t="n">
        <v>90</v>
      </c>
      <c r="V4493" s="17">
        <f>ROUNDUP((T4493+U4493+2*'Read Me'!$B$13)*(1+'Read Me'!$B$12),-1)</f>
        <v/>
      </c>
      <c r="W4493" s="17">
        <f>V4493*N4493*O4493</f>
        <v/>
      </c>
      <c r="X4493" s="12">
        <f>IF(LEFT(I4493,2)="MV",2*N4493*IF(L4493="1/C",O4493,1),0)</f>
        <v/>
      </c>
      <c r="Y4493" s="12">
        <f>IF(OR(LEFT(K4493,4)="LVAX",LEFT(K4493,6)="MV15AX",LEFT(K4493,4)="CTAX",LEFT(K4493,2)="W|"),2*N4493*O4493,0)</f>
        <v/>
      </c>
      <c r="Z4493" s="12" t="inlineStr"/>
      <c r="AA4493" s="12">
        <f>N4493*O4493</f>
        <v/>
      </c>
    </row>
    <row r="4494">
      <c r="A4494" s="12" t="inlineStr">
        <is>
          <t>I-I-0127</t>
        </is>
      </c>
      <c r="B4494" s="12" t="inlineStr">
        <is>
          <t>I</t>
        </is>
      </c>
      <c r="C4494" s="12" t="inlineStr">
        <is>
          <t>Modular / portable power</t>
        </is>
      </c>
      <c r="D4494" s="12" t="inlineStr">
        <is>
          <t>Analog instrument to JB JB-RICE 1 SCR + oxida-AI01: 10 x 1 pr (field cables)</t>
        </is>
      </c>
      <c r="E4494" s="12" t="inlineStr"/>
      <c r="F4494" s="12" t="inlineStr">
        <is>
          <t>RICE 1 SCR + oxidation catalyst and stack</t>
        </is>
      </c>
      <c r="G4494" s="12" t="inlineStr">
        <is>
          <t>JB-RICE 1 SCR + oxida-AI01</t>
        </is>
      </c>
      <c r="H4494" s="12" t="inlineStr">
        <is>
          <t>RICE 1 SCR + oxidation catalyst and stack</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10</v>
      </c>
      <c r="O4494" s="12" t="n">
        <v>1</v>
      </c>
      <c r="P4494" s="12" t="n"/>
      <c r="Q4494" s="12" t="n"/>
      <c r="R4494" s="12" t="n"/>
      <c r="S4494" s="12" t="inlineStr">
        <is>
          <t>Tray / conduit</t>
        </is>
      </c>
      <c r="T4494" s="17" t="n">
        <v>92</v>
      </c>
      <c r="U4494" s="17" t="n">
        <v>10</v>
      </c>
      <c r="V4494" s="17">
        <f>ROUNDUP((T4494+U4494+2*'Read Me'!$B$13)*(1+'Read Me'!$B$12),-1)</f>
        <v/>
      </c>
      <c r="W4494" s="17">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I-I-0128</t>
        </is>
      </c>
      <c r="B4495" s="12" t="inlineStr">
        <is>
          <t>I</t>
        </is>
      </c>
      <c r="C4495" s="12" t="inlineStr">
        <is>
          <t>Modular / portable power</t>
        </is>
      </c>
      <c r="D4495" s="12" t="inlineStr">
        <is>
          <t>Home run JB-RICE 1 SCR + oxida-AI01 to the control / marshalling room</t>
        </is>
      </c>
      <c r="E4495" s="12" t="inlineStr"/>
      <c r="F4495" s="12" t="inlineStr">
        <is>
          <t>PCM: power control module</t>
        </is>
      </c>
      <c r="G4495" s="12" t="inlineStr">
        <is>
          <t>JB-RICE 1 SCR + oxida-AI01</t>
        </is>
      </c>
      <c r="H4495" s="12" t="inlineStr">
        <is>
          <t>RICE 1 SCR + oxidation catalyst and stack</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7" t="n">
        <v>470</v>
      </c>
      <c r="U4495" s="17" t="n">
        <v>160</v>
      </c>
      <c r="V4495" s="17">
        <f>ROUNDUP((T4495+U4495+2*'Read Me'!$B$13)*(1+'Read Me'!$B$12),-1)</f>
        <v/>
      </c>
      <c r="W4495" s="17">
        <f>V4495*N4495*O4495</f>
        <v/>
      </c>
      <c r="X4495" s="12">
        <f>IF(LEFT(I4495,2)="MV",2*N4495*IF(L4495="1/C",O4495,1),0)</f>
        <v/>
      </c>
      <c r="Y4495" s="12">
        <f>IF(OR(LEFT(K4495,4)="LVAX",LEFT(K4495,6)="MV15AX",LEFT(K4495,4)="CTAX",LEFT(K4495,2)="W|"),2*N4495*O4495,0)</f>
        <v/>
      </c>
      <c r="Z4495" s="12" t="inlineStr"/>
      <c r="AA4495" s="12">
        <f>N4495*O4495</f>
        <v/>
      </c>
    </row>
    <row r="4496">
      <c r="A4496" s="12" t="inlineStr">
        <is>
          <t>I-I-0129</t>
        </is>
      </c>
      <c r="B4496" s="12" t="inlineStr">
        <is>
          <t>I</t>
        </is>
      </c>
      <c r="C4496" s="12" t="inlineStr">
        <is>
          <t>Modular / portable power</t>
        </is>
      </c>
      <c r="D4496" s="12" t="inlineStr">
        <is>
          <t>Discrete device to JB JB-RICE 1 SCR + oxida-DI01: 6 x 1 pr (field cables)</t>
        </is>
      </c>
      <c r="E4496" s="12" t="inlineStr"/>
      <c r="F4496" s="12" t="inlineStr">
        <is>
          <t>RICE 1 SCR + oxidation catalyst and stack</t>
        </is>
      </c>
      <c r="G4496" s="12" t="inlineStr">
        <is>
          <t>JB-RICE 1 SCR + oxida-DI01</t>
        </is>
      </c>
      <c r="H4496" s="12" t="inlineStr">
        <is>
          <t>RICE 1 SCR + oxidation catalyst and stack</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7" t="n">
        <v>92</v>
      </c>
      <c r="U4496" s="17" t="n">
        <v>10</v>
      </c>
      <c r="V4496" s="17">
        <f>ROUNDUP((T4496+U4496+2*'Read Me'!$B$13)*(1+'Read Me'!$B$12),-1)</f>
        <v/>
      </c>
      <c r="W4496" s="17">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I-I-0130</t>
        </is>
      </c>
      <c r="B4497" s="12" t="inlineStr">
        <is>
          <t>I</t>
        </is>
      </c>
      <c r="C4497" s="12" t="inlineStr">
        <is>
          <t>Modular / portable power</t>
        </is>
      </c>
      <c r="D4497" s="12" t="inlineStr">
        <is>
          <t>Home run JB-RICE 1 SCR + oxida-DI01 to the control / marshalling room</t>
        </is>
      </c>
      <c r="E4497" s="12" t="inlineStr"/>
      <c r="F4497" s="12" t="inlineStr">
        <is>
          <t>PCM: power control module</t>
        </is>
      </c>
      <c r="G4497" s="12" t="inlineStr">
        <is>
          <t>JB-RICE 1 SCR + oxida-DI01</t>
        </is>
      </c>
      <c r="H4497" s="12" t="inlineStr">
        <is>
          <t>RICE 1 SCR + oxidation catalyst and stack</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7" t="n">
        <v>470</v>
      </c>
      <c r="U4497" s="17" t="n">
        <v>160</v>
      </c>
      <c r="V4497" s="17">
        <f>ROUNDUP((T4497+U4497+2*'Read Me'!$B$13)*(1+'Read Me'!$B$12),-1)</f>
        <v/>
      </c>
      <c r="W4497" s="17">
        <f>V4497*N4497*O4497</f>
        <v/>
      </c>
      <c r="X4497" s="12">
        <f>IF(LEFT(I4497,2)="MV",2*N4497*IF(L4497="1/C",O4497,1),0)</f>
        <v/>
      </c>
      <c r="Y4497" s="12">
        <f>IF(OR(LEFT(K4497,4)="LVAX",LEFT(K4497,6)="MV15AX",LEFT(K4497,4)="CTAX",LEFT(K4497,2)="W|"),2*N4497*O4497,0)</f>
        <v/>
      </c>
      <c r="Z4497" s="12" t="inlineStr"/>
      <c r="AA4497" s="12">
        <f>N4497*O4497</f>
        <v/>
      </c>
    </row>
    <row r="4498">
      <c r="A4498" s="12" t="inlineStr">
        <is>
          <t>I-I-0131</t>
        </is>
      </c>
      <c r="B4498" s="12" t="inlineStr">
        <is>
          <t>I</t>
        </is>
      </c>
      <c r="C4498" s="12" t="inlineStr">
        <is>
          <t>Modular / portable power</t>
        </is>
      </c>
      <c r="D4498" s="12" t="inlineStr">
        <is>
          <t>Analog instrument to JB JB-RICE 1 radiators (-AI01: 5 x 1 pr (field cables)</t>
        </is>
      </c>
      <c r="E4498" s="12" t="inlineStr"/>
      <c r="F4498" s="12" t="inlineStr">
        <is>
          <t>RICE 1 radiators (5)</t>
        </is>
      </c>
      <c r="G4498" s="12" t="inlineStr">
        <is>
          <t>JB-RICE 1 radiators (-AI01</t>
        </is>
      </c>
      <c r="H4498" s="12" t="inlineStr">
        <is>
          <t>RICE 1 radiators (5)</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5</v>
      </c>
      <c r="O4498" s="12" t="n">
        <v>1</v>
      </c>
      <c r="P4498" s="12" t="n"/>
      <c r="Q4498" s="12" t="n"/>
      <c r="R4498" s="12" t="n"/>
      <c r="S4498" s="12" t="inlineStr">
        <is>
          <t>Tray / conduit</t>
        </is>
      </c>
      <c r="T4498" s="17" t="n">
        <v>80</v>
      </c>
      <c r="U4498" s="17" t="n">
        <v>10</v>
      </c>
      <c r="V4498" s="17">
        <f>ROUNDUP((T4498+U4498+2*'Read Me'!$B$13)*(1+'Read Me'!$B$12),-1)</f>
        <v/>
      </c>
      <c r="W4498" s="17">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I-I-0132</t>
        </is>
      </c>
      <c r="B4499" s="12" t="inlineStr">
        <is>
          <t>I</t>
        </is>
      </c>
      <c r="C4499" s="12" t="inlineStr">
        <is>
          <t>Modular / portable power</t>
        </is>
      </c>
      <c r="D4499" s="12" t="inlineStr">
        <is>
          <t>Home run JB-RICE 1 radiators (-AI01 to the control / marshalling room</t>
        </is>
      </c>
      <c r="E4499" s="12" t="inlineStr"/>
      <c r="F4499" s="12" t="inlineStr">
        <is>
          <t>PCM: power control module</t>
        </is>
      </c>
      <c r="G4499" s="12" t="inlineStr">
        <is>
          <t>JB-RICE 1 radiators (-AI01</t>
        </is>
      </c>
      <c r="H4499" s="12" t="inlineStr">
        <is>
          <t>RICE 1 radiators (5)</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7" t="n">
        <v>745</v>
      </c>
      <c r="U4499" s="17" t="n">
        <v>139</v>
      </c>
      <c r="V4499" s="17">
        <f>ROUNDUP((T4499+U4499+2*'Read Me'!$B$13)*(1+'Read Me'!$B$12),-1)</f>
        <v/>
      </c>
      <c r="W4499" s="17">
        <f>V4499*N4499*O4499</f>
        <v/>
      </c>
      <c r="X4499" s="12">
        <f>IF(LEFT(I4499,2)="MV",2*N4499*IF(L4499="1/C",O4499,1),0)</f>
        <v/>
      </c>
      <c r="Y4499" s="12">
        <f>IF(OR(LEFT(K4499,4)="LVAX",LEFT(K4499,6)="MV15AX",LEFT(K4499,4)="CTAX",LEFT(K4499,2)="W|"),2*N4499*O4499,0)</f>
        <v/>
      </c>
      <c r="Z4499" s="12" t="inlineStr"/>
      <c r="AA4499" s="12">
        <f>N4499*O4499</f>
        <v/>
      </c>
    </row>
    <row r="4500">
      <c r="A4500" s="12" t="inlineStr">
        <is>
          <t>I-I-0133</t>
        </is>
      </c>
      <c r="B4500" s="12" t="inlineStr">
        <is>
          <t>I</t>
        </is>
      </c>
      <c r="C4500" s="12" t="inlineStr">
        <is>
          <t>Modular / portable power</t>
        </is>
      </c>
      <c r="D4500" s="12" t="inlineStr">
        <is>
          <t>Discrete device to JB JB-RICE 1 radiators (-DI01: 10 x 1 pr (field cables)</t>
        </is>
      </c>
      <c r="E4500" s="12" t="inlineStr"/>
      <c r="F4500" s="12" t="inlineStr">
        <is>
          <t>RICE 1 radiators (5)</t>
        </is>
      </c>
      <c r="G4500" s="12" t="inlineStr">
        <is>
          <t>JB-RICE 1 radiators (-DI01</t>
        </is>
      </c>
      <c r="H4500" s="12" t="inlineStr">
        <is>
          <t>RICE 1 radiators (5)</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10</v>
      </c>
      <c r="O4500" s="12" t="n">
        <v>1</v>
      </c>
      <c r="P4500" s="12" t="n"/>
      <c r="Q4500" s="12" t="n"/>
      <c r="R4500" s="12" t="n"/>
      <c r="S4500" s="12" t="inlineStr">
        <is>
          <t>Tray / conduit</t>
        </is>
      </c>
      <c r="T4500" s="17" t="n">
        <v>80</v>
      </c>
      <c r="U4500" s="17" t="n">
        <v>10</v>
      </c>
      <c r="V4500" s="17">
        <f>ROUNDUP((T4500+U4500+2*'Read Me'!$B$13)*(1+'Read Me'!$B$12),-1)</f>
        <v/>
      </c>
      <c r="W4500" s="17">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I-I-0134</t>
        </is>
      </c>
      <c r="B4501" s="12" t="inlineStr">
        <is>
          <t>I</t>
        </is>
      </c>
      <c r="C4501" s="12" t="inlineStr">
        <is>
          <t>Modular / portable power</t>
        </is>
      </c>
      <c r="D4501" s="12" t="inlineStr">
        <is>
          <t>Home run JB-RICE 1 radiators (-DI01 to the control / marshalling room</t>
        </is>
      </c>
      <c r="E4501" s="12" t="inlineStr"/>
      <c r="F4501" s="12" t="inlineStr">
        <is>
          <t>PCM: power control module</t>
        </is>
      </c>
      <c r="G4501" s="12" t="inlineStr">
        <is>
          <t>JB-RICE 1 radiators (-DI01</t>
        </is>
      </c>
      <c r="H4501" s="12" t="inlineStr">
        <is>
          <t>RICE 1 radiators (5)</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7" t="n">
        <v>745</v>
      </c>
      <c r="U4501" s="17" t="n">
        <v>139</v>
      </c>
      <c r="V4501" s="17">
        <f>ROUNDUP((T4501+U4501+2*'Read Me'!$B$13)*(1+'Read Me'!$B$12),-1)</f>
        <v/>
      </c>
      <c r="W4501" s="17">
        <f>V4501*N4501*O4501</f>
        <v/>
      </c>
      <c r="X4501" s="12">
        <f>IF(LEFT(I4501,2)="MV",2*N4501*IF(L4501="1/C",O4501,1),0)</f>
        <v/>
      </c>
      <c r="Y4501" s="12">
        <f>IF(OR(LEFT(K4501,4)="LVAX",LEFT(K4501,6)="MV15AX",LEFT(K4501,4)="CTAX",LEFT(K4501,2)="W|"),2*N4501*O4501,0)</f>
        <v/>
      </c>
      <c r="Z4501" s="12" t="inlineStr"/>
      <c r="AA4501" s="12">
        <f>N4501*O4501</f>
        <v/>
      </c>
    </row>
    <row r="4502">
      <c r="A4502" s="12" t="inlineStr">
        <is>
          <t>I-I-0135</t>
        </is>
      </c>
      <c r="B4502" s="12" t="inlineStr">
        <is>
          <t>I</t>
        </is>
      </c>
      <c r="C4502" s="12" t="inlineStr">
        <is>
          <t>Modular / portable power</t>
        </is>
      </c>
      <c r="D4502" s="12" t="inlineStr">
        <is>
          <t>Analog instrument to JB JB-RICE 2 SCR + oxida-AI01: 10 x 1 pr (field cables)</t>
        </is>
      </c>
      <c r="E4502" s="12" t="inlineStr"/>
      <c r="F4502" s="12" t="inlineStr">
        <is>
          <t>RICE 2 SCR + oxidation catalyst and stack</t>
        </is>
      </c>
      <c r="G4502" s="12" t="inlineStr">
        <is>
          <t>JB-RICE 2 SCR + oxida-AI01</t>
        </is>
      </c>
      <c r="H4502" s="12" t="inlineStr">
        <is>
          <t>RICE 2 SCR + oxidation catalyst and stack</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10</v>
      </c>
      <c r="O4502" s="12" t="n">
        <v>1</v>
      </c>
      <c r="P4502" s="12" t="n"/>
      <c r="Q4502" s="12" t="n"/>
      <c r="R4502" s="12" t="n"/>
      <c r="S4502" s="12" t="inlineStr">
        <is>
          <t>Tray / conduit</t>
        </is>
      </c>
      <c r="T4502" s="17" t="n">
        <v>92</v>
      </c>
      <c r="U4502" s="17" t="n">
        <v>10</v>
      </c>
      <c r="V4502" s="17">
        <f>ROUNDUP((T4502+U4502+2*'Read Me'!$B$13)*(1+'Read Me'!$B$12),-1)</f>
        <v/>
      </c>
      <c r="W4502" s="17">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I-I-0136</t>
        </is>
      </c>
      <c r="B4503" s="12" t="inlineStr">
        <is>
          <t>I</t>
        </is>
      </c>
      <c r="C4503" s="12" t="inlineStr">
        <is>
          <t>Modular / portable power</t>
        </is>
      </c>
      <c r="D4503" s="12" t="inlineStr">
        <is>
          <t>Home run JB-RICE 2 SCR + oxida-AI01 to the control / marshalling room</t>
        </is>
      </c>
      <c r="E4503" s="12" t="inlineStr"/>
      <c r="F4503" s="12" t="inlineStr">
        <is>
          <t>PCM: power control module</t>
        </is>
      </c>
      <c r="G4503" s="12" t="inlineStr">
        <is>
          <t>JB-RICE 2 SCR + oxida-AI01</t>
        </is>
      </c>
      <c r="H4503" s="12" t="inlineStr">
        <is>
          <t>RICE 2 SCR + oxidation catalyst and stack</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7" t="n">
        <v>470</v>
      </c>
      <c r="U4503" s="17" t="n">
        <v>132</v>
      </c>
      <c r="V4503" s="17">
        <f>ROUNDUP((T4503+U4503+2*'Read Me'!$B$13)*(1+'Read Me'!$B$12),-1)</f>
        <v/>
      </c>
      <c r="W4503" s="17">
        <f>V4503*N4503*O4503</f>
        <v/>
      </c>
      <c r="X4503" s="12">
        <f>IF(LEFT(I4503,2)="MV",2*N4503*IF(L4503="1/C",O4503,1),0)</f>
        <v/>
      </c>
      <c r="Y4503" s="12">
        <f>IF(OR(LEFT(K4503,4)="LVAX",LEFT(K4503,6)="MV15AX",LEFT(K4503,4)="CTAX",LEFT(K4503,2)="W|"),2*N4503*O4503,0)</f>
        <v/>
      </c>
      <c r="Z4503" s="12" t="inlineStr"/>
      <c r="AA4503" s="12">
        <f>N4503*O4503</f>
        <v/>
      </c>
    </row>
    <row r="4504">
      <c r="A4504" s="12" t="inlineStr">
        <is>
          <t>I-I-0137</t>
        </is>
      </c>
      <c r="B4504" s="12" t="inlineStr">
        <is>
          <t>I</t>
        </is>
      </c>
      <c r="C4504" s="12" t="inlineStr">
        <is>
          <t>Modular / portable power</t>
        </is>
      </c>
      <c r="D4504" s="12" t="inlineStr">
        <is>
          <t>Discrete device to JB JB-RICE 2 SCR + oxida-DI01: 6 x 1 pr (field cables)</t>
        </is>
      </c>
      <c r="E4504" s="12" t="inlineStr"/>
      <c r="F4504" s="12" t="inlineStr">
        <is>
          <t>RICE 2 SCR + oxidation catalyst and stack</t>
        </is>
      </c>
      <c r="G4504" s="12" t="inlineStr">
        <is>
          <t>JB-RICE 2 SCR + oxida-DI01</t>
        </is>
      </c>
      <c r="H4504" s="12" t="inlineStr">
        <is>
          <t>RICE 2 SCR + oxidation catalyst and stack</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7" t="n">
        <v>92</v>
      </c>
      <c r="U4504" s="17" t="n">
        <v>10</v>
      </c>
      <c r="V4504" s="17">
        <f>ROUNDUP((T4504+U4504+2*'Read Me'!$B$13)*(1+'Read Me'!$B$12),-1)</f>
        <v/>
      </c>
      <c r="W4504" s="17">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I-I-0138</t>
        </is>
      </c>
      <c r="B4505" s="12" t="inlineStr">
        <is>
          <t>I</t>
        </is>
      </c>
      <c r="C4505" s="12" t="inlineStr">
        <is>
          <t>Modular / portable power</t>
        </is>
      </c>
      <c r="D4505" s="12" t="inlineStr">
        <is>
          <t>Home run JB-RICE 2 SCR + oxida-DI01 to the control / marshalling room</t>
        </is>
      </c>
      <c r="E4505" s="12" t="inlineStr"/>
      <c r="F4505" s="12" t="inlineStr">
        <is>
          <t>PCM: power control module</t>
        </is>
      </c>
      <c r="G4505" s="12" t="inlineStr">
        <is>
          <t>JB-RICE 2 SCR + oxida-DI01</t>
        </is>
      </c>
      <c r="H4505" s="12" t="inlineStr">
        <is>
          <t>RICE 2 SCR + oxidation catalyst and stack</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7" t="n">
        <v>470</v>
      </c>
      <c r="U4505" s="17" t="n">
        <v>132</v>
      </c>
      <c r="V4505" s="17">
        <f>ROUNDUP((T4505+U4505+2*'Read Me'!$B$13)*(1+'Read Me'!$B$12),-1)</f>
        <v/>
      </c>
      <c r="W4505" s="17">
        <f>V4505*N4505*O4505</f>
        <v/>
      </c>
      <c r="X4505" s="12">
        <f>IF(LEFT(I4505,2)="MV",2*N4505*IF(L4505="1/C",O4505,1),0)</f>
        <v/>
      </c>
      <c r="Y4505" s="12">
        <f>IF(OR(LEFT(K4505,4)="LVAX",LEFT(K4505,6)="MV15AX",LEFT(K4505,4)="CTAX",LEFT(K4505,2)="W|"),2*N4505*O4505,0)</f>
        <v/>
      </c>
      <c r="Z4505" s="12" t="inlineStr"/>
      <c r="AA4505" s="12">
        <f>N4505*O4505</f>
        <v/>
      </c>
    </row>
    <row r="4506">
      <c r="A4506" s="12" t="inlineStr">
        <is>
          <t>I-I-0139</t>
        </is>
      </c>
      <c r="B4506" s="12" t="inlineStr">
        <is>
          <t>I</t>
        </is>
      </c>
      <c r="C4506" s="12" t="inlineStr">
        <is>
          <t>Modular / portable power</t>
        </is>
      </c>
      <c r="D4506" s="12" t="inlineStr">
        <is>
          <t>Analog instrument to JB JB-RICE 2 radiators (-AI01: 5 x 1 pr (field cables)</t>
        </is>
      </c>
      <c r="E4506" s="12" t="inlineStr"/>
      <c r="F4506" s="12" t="inlineStr">
        <is>
          <t>RICE 2 radiators (5)</t>
        </is>
      </c>
      <c r="G4506" s="12" t="inlineStr">
        <is>
          <t>JB-RICE 2 radiators (-AI01</t>
        </is>
      </c>
      <c r="H4506" s="12" t="inlineStr">
        <is>
          <t>RICE 2 radiators (5)</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5</v>
      </c>
      <c r="O4506" s="12" t="n">
        <v>1</v>
      </c>
      <c r="P4506" s="12" t="n"/>
      <c r="Q4506" s="12" t="n"/>
      <c r="R4506" s="12" t="n"/>
      <c r="S4506" s="12" t="inlineStr">
        <is>
          <t>Tray / conduit</t>
        </is>
      </c>
      <c r="T4506" s="17" t="n">
        <v>80</v>
      </c>
      <c r="U4506" s="17" t="n">
        <v>10</v>
      </c>
      <c r="V4506" s="17">
        <f>ROUNDUP((T4506+U4506+2*'Read Me'!$B$13)*(1+'Read Me'!$B$12),-1)</f>
        <v/>
      </c>
      <c r="W4506" s="17">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I-I-0140</t>
        </is>
      </c>
      <c r="B4507" s="12" t="inlineStr">
        <is>
          <t>I</t>
        </is>
      </c>
      <c r="C4507" s="12" t="inlineStr">
        <is>
          <t>Modular / portable power</t>
        </is>
      </c>
      <c r="D4507" s="12" t="inlineStr">
        <is>
          <t>Home run JB-RICE 2 radiators (-AI01 to the control / marshalling room</t>
        </is>
      </c>
      <c r="E4507" s="12" t="inlineStr"/>
      <c r="F4507" s="12" t="inlineStr">
        <is>
          <t>PCM: power control module</t>
        </is>
      </c>
      <c r="G4507" s="12" t="inlineStr">
        <is>
          <t>JB-RICE 2 radiators (-AI01</t>
        </is>
      </c>
      <c r="H4507" s="12" t="inlineStr">
        <is>
          <t>RICE 2 radiators (5)</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7" t="n">
        <v>550</v>
      </c>
      <c r="U4507" s="17" t="n">
        <v>192</v>
      </c>
      <c r="V4507" s="17">
        <f>ROUNDUP((T4507+U4507+2*'Read Me'!$B$13)*(1+'Read Me'!$B$12),-1)</f>
        <v/>
      </c>
      <c r="W4507" s="17">
        <f>V4507*N4507*O4507</f>
        <v/>
      </c>
      <c r="X4507" s="12">
        <f>IF(LEFT(I4507,2)="MV",2*N4507*IF(L4507="1/C",O4507,1),0)</f>
        <v/>
      </c>
      <c r="Y4507" s="12">
        <f>IF(OR(LEFT(K4507,4)="LVAX",LEFT(K4507,6)="MV15AX",LEFT(K4507,4)="CTAX",LEFT(K4507,2)="W|"),2*N4507*O4507,0)</f>
        <v/>
      </c>
      <c r="Z4507" s="12" t="inlineStr"/>
      <c r="AA4507" s="12">
        <f>N4507*O4507</f>
        <v/>
      </c>
    </row>
    <row r="4508">
      <c r="A4508" s="12" t="inlineStr">
        <is>
          <t>I-I-0141</t>
        </is>
      </c>
      <c r="B4508" s="12" t="inlineStr">
        <is>
          <t>I</t>
        </is>
      </c>
      <c r="C4508" s="12" t="inlineStr">
        <is>
          <t>Modular / portable power</t>
        </is>
      </c>
      <c r="D4508" s="12" t="inlineStr">
        <is>
          <t>Discrete device to JB JB-RICE 2 radiators (-DI01: 10 x 1 pr (field cables)</t>
        </is>
      </c>
      <c r="E4508" s="12" t="inlineStr"/>
      <c r="F4508" s="12" t="inlineStr">
        <is>
          <t>RICE 2 radiators (5)</t>
        </is>
      </c>
      <c r="G4508" s="12" t="inlineStr">
        <is>
          <t>JB-RICE 2 radiators (-DI01</t>
        </is>
      </c>
      <c r="H4508" s="12" t="inlineStr">
        <is>
          <t>RICE 2 radiators (5)</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7" t="n">
        <v>80</v>
      </c>
      <c r="U4508" s="17" t="n">
        <v>10</v>
      </c>
      <c r="V4508" s="17">
        <f>ROUNDUP((T4508+U4508+2*'Read Me'!$B$13)*(1+'Read Me'!$B$12),-1)</f>
        <v/>
      </c>
      <c r="W4508" s="17">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I-I-0142</t>
        </is>
      </c>
      <c r="B4509" s="12" t="inlineStr">
        <is>
          <t>I</t>
        </is>
      </c>
      <c r="C4509" s="12" t="inlineStr">
        <is>
          <t>Modular / portable power</t>
        </is>
      </c>
      <c r="D4509" s="12" t="inlineStr">
        <is>
          <t>Home run JB-RICE 2 radiators (-DI01 to the control / marshalling room</t>
        </is>
      </c>
      <c r="E4509" s="12" t="inlineStr"/>
      <c r="F4509" s="12" t="inlineStr">
        <is>
          <t>PCM: power control module</t>
        </is>
      </c>
      <c r="G4509" s="12" t="inlineStr">
        <is>
          <t>JB-RICE 2 radiators (-DI01</t>
        </is>
      </c>
      <c r="H4509" s="12" t="inlineStr">
        <is>
          <t>RICE 2 radiators (5)</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Duct bank</t>
        </is>
      </c>
      <c r="T4509" s="17" t="n">
        <v>550</v>
      </c>
      <c r="U4509" s="17" t="n">
        <v>192</v>
      </c>
      <c r="V4509" s="17">
        <f>ROUNDUP((T4509+U4509+2*'Read Me'!$B$13)*(1+'Read Me'!$B$12),-1)</f>
        <v/>
      </c>
      <c r="W4509" s="17">
        <f>V4509*N4509*O4509</f>
        <v/>
      </c>
      <c r="X4509" s="12">
        <f>IF(LEFT(I4509,2)="MV",2*N4509*IF(L4509="1/C",O4509,1),0)</f>
        <v/>
      </c>
      <c r="Y4509" s="12">
        <f>IF(OR(LEFT(K4509,4)="LVAX",LEFT(K4509,6)="MV15AX",LEFT(K4509,4)="CTAX",LEFT(K4509,2)="W|"),2*N4509*O4509,0)</f>
        <v/>
      </c>
      <c r="Z4509" s="12" t="inlineStr"/>
      <c r="AA4509" s="12">
        <f>N4509*O4509</f>
        <v/>
      </c>
    </row>
    <row r="4510">
      <c r="A4510" s="12" t="inlineStr">
        <is>
          <t>I-I-0143</t>
        </is>
      </c>
      <c r="B4510" s="12" t="inlineStr">
        <is>
          <t>I</t>
        </is>
      </c>
      <c r="C4510" s="12" t="inlineStr">
        <is>
          <t>Modular / portable power</t>
        </is>
      </c>
      <c r="D4510" s="12" t="inlineStr">
        <is>
          <t>Analog instrument to JB JB-RICE 3 SCR + oxida-AI01: 10 x 1 pr (field cables)</t>
        </is>
      </c>
      <c r="E4510" s="12" t="inlineStr"/>
      <c r="F4510" s="12" t="inlineStr">
        <is>
          <t>RICE 3 SCR + oxidation catalyst and stack</t>
        </is>
      </c>
      <c r="G4510" s="12" t="inlineStr">
        <is>
          <t>JB-RICE 3 SCR + oxida-AI01</t>
        </is>
      </c>
      <c r="H4510" s="12" t="inlineStr">
        <is>
          <t>RICE 3 SCR + oxidation catalyst and stack</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7" t="n">
        <v>92</v>
      </c>
      <c r="U4510" s="17" t="n">
        <v>10</v>
      </c>
      <c r="V4510" s="17">
        <f>ROUNDUP((T4510+U4510+2*'Read Me'!$B$13)*(1+'Read Me'!$B$12),-1)</f>
        <v/>
      </c>
      <c r="W4510" s="17">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I-I-0144</t>
        </is>
      </c>
      <c r="B4511" s="12" t="inlineStr">
        <is>
          <t>I</t>
        </is>
      </c>
      <c r="C4511" s="12" t="inlineStr">
        <is>
          <t>Modular / portable power</t>
        </is>
      </c>
      <c r="D4511" s="12" t="inlineStr">
        <is>
          <t>Home run JB-RICE 3 SCR + oxida-AI01 to the control / marshalling room</t>
        </is>
      </c>
      <c r="E4511" s="12" t="inlineStr"/>
      <c r="F4511" s="12" t="inlineStr">
        <is>
          <t>PCM: power control module</t>
        </is>
      </c>
      <c r="G4511" s="12" t="inlineStr">
        <is>
          <t>JB-RICE 3 SCR + oxida-AI01</t>
        </is>
      </c>
      <c r="H4511" s="12" t="inlineStr">
        <is>
          <t>RICE 3 SCR + oxidation catalyst and stack</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7" t="n">
        <v>470</v>
      </c>
      <c r="U4511" s="17" t="n">
        <v>104</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I-I-0145</t>
        </is>
      </c>
      <c r="B4512" s="12" t="inlineStr">
        <is>
          <t>I</t>
        </is>
      </c>
      <c r="C4512" s="12" t="inlineStr">
        <is>
          <t>Modular / portable power</t>
        </is>
      </c>
      <c r="D4512" s="12" t="inlineStr">
        <is>
          <t>Discrete device to JB JB-RICE 3 SCR + oxida-DI01: 6 x 1 pr (field cables)</t>
        </is>
      </c>
      <c r="E4512" s="12" t="inlineStr"/>
      <c r="F4512" s="12" t="inlineStr">
        <is>
          <t>RICE 3 SCR + oxidation catalyst and stack</t>
        </is>
      </c>
      <c r="G4512" s="12" t="inlineStr">
        <is>
          <t>JB-RICE 3 SCR + oxida-DI01</t>
        </is>
      </c>
      <c r="H4512" s="12" t="inlineStr">
        <is>
          <t>RICE 3 SCR + oxidation catalyst and stack</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7" t="n">
        <v>92</v>
      </c>
      <c r="U4512" s="17" t="n">
        <v>10</v>
      </c>
      <c r="V4512" s="17">
        <f>ROUNDUP((T4512+U4512+2*'Read Me'!$B$13)*(1+'Read Me'!$B$12),-1)</f>
        <v/>
      </c>
      <c r="W4512" s="17">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I-I-0146</t>
        </is>
      </c>
      <c r="B4513" s="12" t="inlineStr">
        <is>
          <t>I</t>
        </is>
      </c>
      <c r="C4513" s="12" t="inlineStr">
        <is>
          <t>Modular / portable power</t>
        </is>
      </c>
      <c r="D4513" s="12" t="inlineStr">
        <is>
          <t>Home run JB-RICE 3 SCR + oxida-DI01 to the control / marshalling room</t>
        </is>
      </c>
      <c r="E4513" s="12" t="inlineStr"/>
      <c r="F4513" s="12" t="inlineStr">
        <is>
          <t>PCM: power control module</t>
        </is>
      </c>
      <c r="G4513" s="12" t="inlineStr">
        <is>
          <t>JB-RICE 3 SCR + oxida-DI01</t>
        </is>
      </c>
      <c r="H4513" s="12" t="inlineStr">
        <is>
          <t>RICE 3 SCR + oxidation catalyst and stack</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7" t="n">
        <v>470</v>
      </c>
      <c r="U4513" s="17" t="n">
        <v>104</v>
      </c>
      <c r="V4513" s="17">
        <f>ROUNDUP((T4513+U4513+2*'Read Me'!$B$13)*(1+'Read Me'!$B$12),-1)</f>
        <v/>
      </c>
      <c r="W4513" s="17">
        <f>V4513*N4513*O4513</f>
        <v/>
      </c>
      <c r="X4513" s="12">
        <f>IF(LEFT(I4513,2)="MV",2*N4513*IF(L4513="1/C",O4513,1),0)</f>
        <v/>
      </c>
      <c r="Y4513" s="12">
        <f>IF(OR(LEFT(K4513,4)="LVAX",LEFT(K4513,6)="MV15AX",LEFT(K4513,4)="CTAX",LEFT(K4513,2)="W|"),2*N4513*O4513,0)</f>
        <v/>
      </c>
      <c r="Z4513" s="12" t="inlineStr"/>
      <c r="AA4513" s="12">
        <f>N4513*O4513</f>
        <v/>
      </c>
    </row>
    <row r="4514">
      <c r="A4514" s="12" t="inlineStr">
        <is>
          <t>I-I-0147</t>
        </is>
      </c>
      <c r="B4514" s="12" t="inlineStr">
        <is>
          <t>I</t>
        </is>
      </c>
      <c r="C4514" s="12" t="inlineStr">
        <is>
          <t>Modular / portable power</t>
        </is>
      </c>
      <c r="D4514" s="12" t="inlineStr">
        <is>
          <t>Analog instrument to JB JB-RICE 3 radiators (-AI01: 5 x 1 pr (field cables)</t>
        </is>
      </c>
      <c r="E4514" s="12" t="inlineStr"/>
      <c r="F4514" s="12" t="inlineStr">
        <is>
          <t>RICE 3 radiators (5)</t>
        </is>
      </c>
      <c r="G4514" s="12" t="inlineStr">
        <is>
          <t>JB-RICE 3 radiators (-AI01</t>
        </is>
      </c>
      <c r="H4514" s="12" t="inlineStr">
        <is>
          <t>RICE 3 radiators (5)</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5</v>
      </c>
      <c r="O4514" s="12" t="n">
        <v>1</v>
      </c>
      <c r="P4514" s="12" t="n"/>
      <c r="Q4514" s="12" t="n"/>
      <c r="R4514" s="12" t="n"/>
      <c r="S4514" s="12" t="inlineStr">
        <is>
          <t>Tray / conduit</t>
        </is>
      </c>
      <c r="T4514" s="17" t="n">
        <v>80</v>
      </c>
      <c r="U4514" s="17" t="n">
        <v>10</v>
      </c>
      <c r="V4514" s="17">
        <f>ROUNDUP((T4514+U4514+2*'Read Me'!$B$13)*(1+'Read Me'!$B$12),-1)</f>
        <v/>
      </c>
      <c r="W4514" s="17">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I-I-0148</t>
        </is>
      </c>
      <c r="B4515" s="12" t="inlineStr">
        <is>
          <t>I</t>
        </is>
      </c>
      <c r="C4515" s="12" t="inlineStr">
        <is>
          <t>Modular / portable power</t>
        </is>
      </c>
      <c r="D4515" s="12" t="inlineStr">
        <is>
          <t>Home run JB-RICE 3 radiators (-AI01 to the control / marshalling room</t>
        </is>
      </c>
      <c r="E4515" s="12" t="inlineStr"/>
      <c r="F4515" s="12" t="inlineStr">
        <is>
          <t>PCM: power control module</t>
        </is>
      </c>
      <c r="G4515" s="12" t="inlineStr">
        <is>
          <t>JB-RICE 3 radiators (-AI01</t>
        </is>
      </c>
      <c r="H4515" s="12" t="inlineStr">
        <is>
          <t>RICE 3 radiators (5)</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Tray</t>
        </is>
      </c>
      <c r="T4515" s="17" t="n">
        <v>40</v>
      </c>
      <c r="U4515" s="17" t="n">
        <v>240</v>
      </c>
      <c r="V4515" s="17">
        <f>ROUNDUP((T4515+U4515+2*'Read Me'!$B$13)*(1+'Read Me'!$B$12),-1)</f>
        <v/>
      </c>
      <c r="W4515" s="17">
        <f>V4515*N4515*O4515</f>
        <v/>
      </c>
      <c r="X4515" s="12">
        <f>IF(LEFT(I4515,2)="MV",2*N4515*IF(L4515="1/C",O4515,1),0)</f>
        <v/>
      </c>
      <c r="Y4515" s="12">
        <f>IF(OR(LEFT(K4515,4)="LVAX",LEFT(K4515,6)="MV15AX",LEFT(K4515,4)="CTAX",LEFT(K4515,2)="W|"),2*N4515*O4515,0)</f>
        <v/>
      </c>
      <c r="Z4515" s="12" t="inlineStr"/>
      <c r="AA4515" s="12">
        <f>N4515*O4515</f>
        <v/>
      </c>
    </row>
    <row r="4516">
      <c r="A4516" s="12" t="inlineStr">
        <is>
          <t>I-I-0149</t>
        </is>
      </c>
      <c r="B4516" s="12" t="inlineStr">
        <is>
          <t>I</t>
        </is>
      </c>
      <c r="C4516" s="12" t="inlineStr">
        <is>
          <t>Modular / portable power</t>
        </is>
      </c>
      <c r="D4516" s="12" t="inlineStr">
        <is>
          <t>Discrete device to JB JB-RICE 3 radiators (-DI01: 10 x 1 pr (field cables)</t>
        </is>
      </c>
      <c r="E4516" s="12" t="inlineStr"/>
      <c r="F4516" s="12" t="inlineStr">
        <is>
          <t>RICE 3 radiators (5)</t>
        </is>
      </c>
      <c r="G4516" s="12" t="inlineStr">
        <is>
          <t>JB-RICE 3 radiators (-DI01</t>
        </is>
      </c>
      <c r="H4516" s="12" t="inlineStr">
        <is>
          <t>RICE 3 radiators (5)</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7" t="n">
        <v>80</v>
      </c>
      <c r="U4516" s="17" t="n">
        <v>10</v>
      </c>
      <c r="V4516" s="17">
        <f>ROUNDUP((T4516+U4516+2*'Read Me'!$B$13)*(1+'Read Me'!$B$12),-1)</f>
        <v/>
      </c>
      <c r="W4516" s="17">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I-I-0150</t>
        </is>
      </c>
      <c r="B4517" s="12" t="inlineStr">
        <is>
          <t>I</t>
        </is>
      </c>
      <c r="C4517" s="12" t="inlineStr">
        <is>
          <t>Modular / portable power</t>
        </is>
      </c>
      <c r="D4517" s="12" t="inlineStr">
        <is>
          <t>Home run JB-RICE 3 radiators (-DI01 to the control / marshalling room</t>
        </is>
      </c>
      <c r="E4517" s="12" t="inlineStr"/>
      <c r="F4517" s="12" t="inlineStr">
        <is>
          <t>PCM: power control module</t>
        </is>
      </c>
      <c r="G4517" s="12" t="inlineStr">
        <is>
          <t>JB-RICE 3 radiators (-DI01</t>
        </is>
      </c>
      <c r="H4517" s="12" t="inlineStr">
        <is>
          <t>RICE 3 radiators (5)</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Tray</t>
        </is>
      </c>
      <c r="T4517" s="17" t="n">
        <v>40</v>
      </c>
      <c r="U4517" s="17" t="n">
        <v>240</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I-I-0151</t>
        </is>
      </c>
      <c r="B4518" s="12" t="inlineStr">
        <is>
          <t>I</t>
        </is>
      </c>
      <c r="C4518" s="12" t="inlineStr">
        <is>
          <t>Modular / portable power</t>
        </is>
      </c>
      <c r="D4518" s="12" t="inlineStr">
        <is>
          <t>Analog instrument to JB JB-RICE 4 SCR + oxida-AI01: 10 x 1 pr (field cables)</t>
        </is>
      </c>
      <c r="E4518" s="12" t="inlineStr"/>
      <c r="F4518" s="12" t="inlineStr">
        <is>
          <t>RICE 4 SCR + oxidation catalyst and stack</t>
        </is>
      </c>
      <c r="G4518" s="12" t="inlineStr">
        <is>
          <t>JB-RICE 4 SCR + oxida-AI01</t>
        </is>
      </c>
      <c r="H4518" s="12" t="inlineStr">
        <is>
          <t>RICE 4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7" t="n">
        <v>92</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I-I-0152</t>
        </is>
      </c>
      <c r="B4519" s="12" t="inlineStr">
        <is>
          <t>I</t>
        </is>
      </c>
      <c r="C4519" s="12" t="inlineStr">
        <is>
          <t>Modular / portable power</t>
        </is>
      </c>
      <c r="D4519" s="12" t="inlineStr">
        <is>
          <t>Home run JB-RICE 4 SCR + oxida-AI01 to the control / marshalling room</t>
        </is>
      </c>
      <c r="E4519" s="12" t="inlineStr"/>
      <c r="F4519" s="12" t="inlineStr">
        <is>
          <t>PCM: power control module</t>
        </is>
      </c>
      <c r="G4519" s="12" t="inlineStr">
        <is>
          <t>JB-RICE 4 SCR + oxida-AI01</t>
        </is>
      </c>
      <c r="H4519" s="12" t="inlineStr">
        <is>
          <t>RICE 4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7" t="n">
        <v>470</v>
      </c>
      <c r="U4519" s="17" t="n">
        <v>76</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I-I-0153</t>
        </is>
      </c>
      <c r="B4520" s="12" t="inlineStr">
        <is>
          <t>I</t>
        </is>
      </c>
      <c r="C4520" s="12" t="inlineStr">
        <is>
          <t>Modular / portable power</t>
        </is>
      </c>
      <c r="D4520" s="12" t="inlineStr">
        <is>
          <t>Discrete device to JB JB-RICE 4 SCR + oxida-DI01: 6 x 1 pr (field cables)</t>
        </is>
      </c>
      <c r="E4520" s="12" t="inlineStr"/>
      <c r="F4520" s="12" t="inlineStr">
        <is>
          <t>RICE 4 SCR + oxidation catalyst and stack</t>
        </is>
      </c>
      <c r="G4520" s="12" t="inlineStr">
        <is>
          <t>JB-RICE 4 SCR + oxida-DI01</t>
        </is>
      </c>
      <c r="H4520" s="12" t="inlineStr">
        <is>
          <t>RICE 4 SCR + oxidation catalyst and stack</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7" t="n">
        <v>92</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I-I-0154</t>
        </is>
      </c>
      <c r="B4521" s="12" t="inlineStr">
        <is>
          <t>I</t>
        </is>
      </c>
      <c r="C4521" s="12" t="inlineStr">
        <is>
          <t>Modular / portable power</t>
        </is>
      </c>
      <c r="D4521" s="12" t="inlineStr">
        <is>
          <t>Home run JB-RICE 4 SCR + oxida-DI01 to the control / marshalling room</t>
        </is>
      </c>
      <c r="E4521" s="12" t="inlineStr"/>
      <c r="F4521" s="12" t="inlineStr">
        <is>
          <t>PCM: power control module</t>
        </is>
      </c>
      <c r="G4521" s="12" t="inlineStr">
        <is>
          <t>JB-RICE 4 SCR + oxida-DI01</t>
        </is>
      </c>
      <c r="H4521" s="12" t="inlineStr">
        <is>
          <t>RICE 4 SCR + oxidation catalyst and stack</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7" t="n">
        <v>470</v>
      </c>
      <c r="U4521" s="17" t="n">
        <v>76</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I-I-0155</t>
        </is>
      </c>
      <c r="B4522" s="12" t="inlineStr">
        <is>
          <t>I</t>
        </is>
      </c>
      <c r="C4522" s="12" t="inlineStr">
        <is>
          <t>Modular / portable power</t>
        </is>
      </c>
      <c r="D4522" s="12" t="inlineStr">
        <is>
          <t>Analog instrument to JB JB-RICE 4 radiators (-AI01: 5 x 1 pr (field cables)</t>
        </is>
      </c>
      <c r="E4522" s="12" t="inlineStr"/>
      <c r="F4522" s="12" t="inlineStr">
        <is>
          <t>RICE 4 radiators (5)</t>
        </is>
      </c>
      <c r="G4522" s="12" t="inlineStr">
        <is>
          <t>JB-RICE 4 radiators (-AI01</t>
        </is>
      </c>
      <c r="H4522" s="12" t="inlineStr">
        <is>
          <t>RICE 4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5</v>
      </c>
      <c r="O4522" s="12" t="n">
        <v>1</v>
      </c>
      <c r="P4522" s="12" t="n"/>
      <c r="Q4522" s="12" t="n"/>
      <c r="R4522" s="12" t="n"/>
      <c r="S4522" s="12" t="inlineStr">
        <is>
          <t>Tray / conduit</t>
        </is>
      </c>
      <c r="T4522" s="17" t="n">
        <v>80</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I-I-0156</t>
        </is>
      </c>
      <c r="B4523" s="12" t="inlineStr">
        <is>
          <t>I</t>
        </is>
      </c>
      <c r="C4523" s="12" t="inlineStr">
        <is>
          <t>Modular / portable power</t>
        </is>
      </c>
      <c r="D4523" s="12" t="inlineStr">
        <is>
          <t>Home run JB-RICE 4 radiators (-AI01 to the control / marshalling room</t>
        </is>
      </c>
      <c r="E4523" s="12" t="inlineStr"/>
      <c r="F4523" s="12" t="inlineStr">
        <is>
          <t>PCM: power control module</t>
        </is>
      </c>
      <c r="G4523" s="12" t="inlineStr">
        <is>
          <t>JB-RICE 4 radiators (-AI01</t>
        </is>
      </c>
      <c r="H4523" s="12" t="inlineStr">
        <is>
          <t>RICE 4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Tray</t>
        </is>
      </c>
      <c r="T4523" s="17" t="n">
        <v>0</v>
      </c>
      <c r="U4523" s="17" t="n">
        <v>206</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I-I-0157</t>
        </is>
      </c>
      <c r="B4524" s="12" t="inlineStr">
        <is>
          <t>I</t>
        </is>
      </c>
      <c r="C4524" s="12" t="inlineStr">
        <is>
          <t>Modular / portable power</t>
        </is>
      </c>
      <c r="D4524" s="12" t="inlineStr">
        <is>
          <t>Discrete device to JB JB-RICE 4 radiators (-DI01: 10 x 1 pr (field cables)</t>
        </is>
      </c>
      <c r="E4524" s="12" t="inlineStr"/>
      <c r="F4524" s="12" t="inlineStr">
        <is>
          <t>RICE 4 radiators (5)</t>
        </is>
      </c>
      <c r="G4524" s="12" t="inlineStr">
        <is>
          <t>JB-RICE 4 radiators (-DI01</t>
        </is>
      </c>
      <c r="H4524" s="12" t="inlineStr">
        <is>
          <t>RICE 4 radiators (5)</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7" t="n">
        <v>80</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I-I-0158</t>
        </is>
      </c>
      <c r="B4525" s="12" t="inlineStr">
        <is>
          <t>I</t>
        </is>
      </c>
      <c r="C4525" s="12" t="inlineStr">
        <is>
          <t>Modular / portable power</t>
        </is>
      </c>
      <c r="D4525" s="12" t="inlineStr">
        <is>
          <t>Home run JB-RICE 4 radiators (-DI01 to the control / marshalling room</t>
        </is>
      </c>
      <c r="E4525" s="12" t="inlineStr"/>
      <c r="F4525" s="12" t="inlineStr">
        <is>
          <t>PCM: power control module</t>
        </is>
      </c>
      <c r="G4525" s="12" t="inlineStr">
        <is>
          <t>JB-RICE 4 radiators (-DI01</t>
        </is>
      </c>
      <c r="H4525" s="12" t="inlineStr">
        <is>
          <t>RICE 4 radiators (5)</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Tray</t>
        </is>
      </c>
      <c r="T4525" s="17" t="n">
        <v>0</v>
      </c>
      <c r="U4525" s="17" t="n">
        <v>206</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I-I-0159</t>
        </is>
      </c>
      <c r="B4526" s="12" t="inlineStr">
        <is>
          <t>I</t>
        </is>
      </c>
      <c r="C4526" s="12" t="inlineStr">
        <is>
          <t>Modular / portable power</t>
        </is>
      </c>
      <c r="D4526" s="12" t="inlineStr">
        <is>
          <t>Analog instrument to JB JB-RICE 5 SCR + oxida-AI01: 10 x 1 pr (field cables)</t>
        </is>
      </c>
      <c r="E4526" s="12" t="inlineStr"/>
      <c r="F4526" s="12" t="inlineStr">
        <is>
          <t>RICE 5 SCR + oxidation catalyst and stack</t>
        </is>
      </c>
      <c r="G4526" s="12" t="inlineStr">
        <is>
          <t>JB-RICE 5 SCR + oxida-AI01</t>
        </is>
      </c>
      <c r="H4526" s="12" t="inlineStr">
        <is>
          <t>RICE 5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10</v>
      </c>
      <c r="O4526" s="12" t="n">
        <v>1</v>
      </c>
      <c r="P4526" s="12" t="n"/>
      <c r="Q4526" s="12" t="n"/>
      <c r="R4526" s="12" t="n"/>
      <c r="S4526" s="12" t="inlineStr">
        <is>
          <t>Tray / conduit</t>
        </is>
      </c>
      <c r="T4526" s="17" t="n">
        <v>92</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I-I-0160</t>
        </is>
      </c>
      <c r="B4527" s="12" t="inlineStr">
        <is>
          <t>I</t>
        </is>
      </c>
      <c r="C4527" s="12" t="inlineStr">
        <is>
          <t>Modular / portable power</t>
        </is>
      </c>
      <c r="D4527" s="12" t="inlineStr">
        <is>
          <t>Home run JB-RICE 5 SCR + oxida-AI01 to the control / marshalling room</t>
        </is>
      </c>
      <c r="E4527" s="12" t="inlineStr"/>
      <c r="F4527" s="12" t="inlineStr">
        <is>
          <t>PCM: power control module</t>
        </is>
      </c>
      <c r="G4527" s="12" t="inlineStr">
        <is>
          <t>JB-RICE 5 SCR + oxida-AI01</t>
        </is>
      </c>
      <c r="H4527" s="12" t="inlineStr">
        <is>
          <t>RICE 5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7" t="n">
        <v>322</v>
      </c>
      <c r="U4527" s="17" t="n">
        <v>196</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I-I-0161</t>
        </is>
      </c>
      <c r="B4528" s="12" t="inlineStr">
        <is>
          <t>I</t>
        </is>
      </c>
      <c r="C4528" s="12" t="inlineStr">
        <is>
          <t>Modular / portable power</t>
        </is>
      </c>
      <c r="D4528" s="12" t="inlineStr">
        <is>
          <t>Discrete device to JB JB-RICE 5 SCR + oxida-DI01: 6 x 1 pr (field cables)</t>
        </is>
      </c>
      <c r="E4528" s="12" t="inlineStr"/>
      <c r="F4528" s="12" t="inlineStr">
        <is>
          <t>RICE 5 SCR + oxidation catalyst and stack</t>
        </is>
      </c>
      <c r="G4528" s="12" t="inlineStr">
        <is>
          <t>JB-RICE 5 SCR + oxida-DI01</t>
        </is>
      </c>
      <c r="H4528" s="12" t="inlineStr">
        <is>
          <t>RICE 5 SCR + oxidation catalyst and stack</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92</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I-I-0162</t>
        </is>
      </c>
      <c r="B4529" s="12" t="inlineStr">
        <is>
          <t>I</t>
        </is>
      </c>
      <c r="C4529" s="12" t="inlineStr">
        <is>
          <t>Modular / portable power</t>
        </is>
      </c>
      <c r="D4529" s="12" t="inlineStr">
        <is>
          <t>Home run JB-RICE 5 SCR + oxida-DI01 to the control / marshalling room</t>
        </is>
      </c>
      <c r="E4529" s="12" t="inlineStr"/>
      <c r="F4529" s="12" t="inlineStr">
        <is>
          <t>PCM: power control module</t>
        </is>
      </c>
      <c r="G4529" s="12" t="inlineStr">
        <is>
          <t>JB-RICE 5 SCR + oxida-DI01</t>
        </is>
      </c>
      <c r="H4529" s="12" t="inlineStr">
        <is>
          <t>RICE 5 SCR + oxidation catalyst and stack</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7" t="n">
        <v>322</v>
      </c>
      <c r="U4529" s="17" t="n">
        <v>196</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I-I-0163</t>
        </is>
      </c>
      <c r="B4530" s="12" t="inlineStr">
        <is>
          <t>I</t>
        </is>
      </c>
      <c r="C4530" s="12" t="inlineStr">
        <is>
          <t>Modular / portable power</t>
        </is>
      </c>
      <c r="D4530" s="12" t="inlineStr">
        <is>
          <t>Analog instrument to JB JB-RICE 5 radiators (-AI01: 5 x 1 pr (field cables)</t>
        </is>
      </c>
      <c r="E4530" s="12" t="inlineStr"/>
      <c r="F4530" s="12" t="inlineStr">
        <is>
          <t>RICE 5 radiators (5)</t>
        </is>
      </c>
      <c r="G4530" s="12" t="inlineStr">
        <is>
          <t>JB-RICE 5 radiators (-AI01</t>
        </is>
      </c>
      <c r="H4530" s="12" t="inlineStr">
        <is>
          <t>RICE 5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5</v>
      </c>
      <c r="O4530" s="12" t="n">
        <v>1</v>
      </c>
      <c r="P4530" s="12" t="n"/>
      <c r="Q4530" s="12" t="n"/>
      <c r="R4530" s="12" t="n"/>
      <c r="S4530" s="12" t="inlineStr">
        <is>
          <t>Tray / conduit</t>
        </is>
      </c>
      <c r="T4530" s="17" t="n">
        <v>80</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I-I-0164</t>
        </is>
      </c>
      <c r="B4531" s="12" t="inlineStr">
        <is>
          <t>I</t>
        </is>
      </c>
      <c r="C4531" s="12" t="inlineStr">
        <is>
          <t>Modular / portable power</t>
        </is>
      </c>
      <c r="D4531" s="12" t="inlineStr">
        <is>
          <t>Home run JB-RICE 5 radiators (-AI01 to the control / marshalling room</t>
        </is>
      </c>
      <c r="E4531" s="12" t="inlineStr"/>
      <c r="F4531" s="12" t="inlineStr">
        <is>
          <t>PCM: power control module</t>
        </is>
      </c>
      <c r="G4531" s="12" t="inlineStr">
        <is>
          <t>JB-RICE 5 radiators (-AI01</t>
        </is>
      </c>
      <c r="H4531" s="12" t="inlineStr">
        <is>
          <t>RICE 5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Tray</t>
        </is>
      </c>
      <c r="T4531" s="17" t="n">
        <v>0</v>
      </c>
      <c r="U4531" s="17" t="n">
        <v>178</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I-I-0165</t>
        </is>
      </c>
      <c r="B4532" s="12" t="inlineStr">
        <is>
          <t>I</t>
        </is>
      </c>
      <c r="C4532" s="12" t="inlineStr">
        <is>
          <t>Modular / portable power</t>
        </is>
      </c>
      <c r="D4532" s="12" t="inlineStr">
        <is>
          <t>Discrete device to JB JB-RICE 5 radiators (-DI01: 10 x 1 pr (field cables)</t>
        </is>
      </c>
      <c r="E4532" s="12" t="inlineStr"/>
      <c r="F4532" s="12" t="inlineStr">
        <is>
          <t>RICE 5 radiators (5)</t>
        </is>
      </c>
      <c r="G4532" s="12" t="inlineStr">
        <is>
          <t>JB-RICE 5 radiators (-DI01</t>
        </is>
      </c>
      <c r="H4532" s="12" t="inlineStr">
        <is>
          <t>RICE 5 radiators (5)</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7" t="n">
        <v>80</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I-I-0166</t>
        </is>
      </c>
      <c r="B4533" s="12" t="inlineStr">
        <is>
          <t>I</t>
        </is>
      </c>
      <c r="C4533" s="12" t="inlineStr">
        <is>
          <t>Modular / portable power</t>
        </is>
      </c>
      <c r="D4533" s="12" t="inlineStr">
        <is>
          <t>Home run JB-RICE 5 radiators (-DI01 to the control / marshalling room</t>
        </is>
      </c>
      <c r="E4533" s="12" t="inlineStr"/>
      <c r="F4533" s="12" t="inlineStr">
        <is>
          <t>PCM: power control module</t>
        </is>
      </c>
      <c r="G4533" s="12" t="inlineStr">
        <is>
          <t>JB-RICE 5 radiators (-DI01</t>
        </is>
      </c>
      <c r="H4533" s="12" t="inlineStr">
        <is>
          <t>RICE 5 radiators (5)</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Tray</t>
        </is>
      </c>
      <c r="T4533" s="17" t="n">
        <v>0</v>
      </c>
      <c r="U4533" s="17" t="n">
        <v>178</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I-I-0167</t>
        </is>
      </c>
      <c r="B4534" s="12" t="inlineStr">
        <is>
          <t>I</t>
        </is>
      </c>
      <c r="C4534" s="12" t="inlineStr">
        <is>
          <t>Modular / portable power</t>
        </is>
      </c>
      <c r="D4534" s="12" t="inlineStr">
        <is>
          <t>Analog instrument to JB JB-RICE 6 SCR + oxida-AI01: 10 x 1 pr (field cables)</t>
        </is>
      </c>
      <c r="E4534" s="12" t="inlineStr"/>
      <c r="F4534" s="12" t="inlineStr">
        <is>
          <t>RICE 6 SCR + oxidation catalyst and stack</t>
        </is>
      </c>
      <c r="G4534" s="12" t="inlineStr">
        <is>
          <t>JB-RICE 6 SCR + oxida-AI01</t>
        </is>
      </c>
      <c r="H4534" s="12" t="inlineStr">
        <is>
          <t>RICE 6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10</v>
      </c>
      <c r="O4534" s="12" t="n">
        <v>1</v>
      </c>
      <c r="P4534" s="12" t="n"/>
      <c r="Q4534" s="12" t="n"/>
      <c r="R4534" s="12" t="n"/>
      <c r="S4534" s="12" t="inlineStr">
        <is>
          <t>Tray / conduit</t>
        </is>
      </c>
      <c r="T4534" s="17" t="n">
        <v>92</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I-I-0168</t>
        </is>
      </c>
      <c r="B4535" s="12" t="inlineStr">
        <is>
          <t>I</t>
        </is>
      </c>
      <c r="C4535" s="12" t="inlineStr">
        <is>
          <t>Modular / portable power</t>
        </is>
      </c>
      <c r="D4535" s="12" t="inlineStr">
        <is>
          <t>Home run JB-RICE 6 SCR + oxida-AI01 to the control / marshalling room</t>
        </is>
      </c>
      <c r="E4535" s="12" t="inlineStr"/>
      <c r="F4535" s="12" t="inlineStr">
        <is>
          <t>PCM: power control module</t>
        </is>
      </c>
      <c r="G4535" s="12" t="inlineStr">
        <is>
          <t>JB-RICE 6 SCR + oxida-AI01</t>
        </is>
      </c>
      <c r="H4535" s="12" t="inlineStr">
        <is>
          <t>RICE 6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322</v>
      </c>
      <c r="U4535" s="17" t="n">
        <v>168</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I-I-0169</t>
        </is>
      </c>
      <c r="B4536" s="12" t="inlineStr">
        <is>
          <t>I</t>
        </is>
      </c>
      <c r="C4536" s="12" t="inlineStr">
        <is>
          <t>Modular / portable power</t>
        </is>
      </c>
      <c r="D4536" s="12" t="inlineStr">
        <is>
          <t>Discrete device to JB JB-RICE 6 SCR + oxida-DI01: 6 x 1 pr (field cables)</t>
        </is>
      </c>
      <c r="E4536" s="12" t="inlineStr"/>
      <c r="F4536" s="12" t="inlineStr">
        <is>
          <t>RICE 6 SCR + oxidation catalyst and stack</t>
        </is>
      </c>
      <c r="G4536" s="12" t="inlineStr">
        <is>
          <t>JB-RICE 6 SCR + oxida-DI01</t>
        </is>
      </c>
      <c r="H4536" s="12" t="inlineStr">
        <is>
          <t>RICE 6 SCR + oxidation catalyst and stack</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6</v>
      </c>
      <c r="O4536" s="12" t="n">
        <v>1</v>
      </c>
      <c r="P4536" s="12" t="n"/>
      <c r="Q4536" s="12" t="n"/>
      <c r="R4536" s="12" t="n"/>
      <c r="S4536" s="12" t="inlineStr">
        <is>
          <t>Tray / conduit</t>
        </is>
      </c>
      <c r="T4536" s="17" t="n">
        <v>92</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I-I-0170</t>
        </is>
      </c>
      <c r="B4537" s="12" t="inlineStr">
        <is>
          <t>I</t>
        </is>
      </c>
      <c r="C4537" s="12" t="inlineStr">
        <is>
          <t>Modular / portable power</t>
        </is>
      </c>
      <c r="D4537" s="12" t="inlineStr">
        <is>
          <t>Home run JB-RICE 6 SCR + oxida-DI01 to the control / marshalling room</t>
        </is>
      </c>
      <c r="E4537" s="12" t="inlineStr"/>
      <c r="F4537" s="12" t="inlineStr">
        <is>
          <t>PCM: power control module</t>
        </is>
      </c>
      <c r="G4537" s="12" t="inlineStr">
        <is>
          <t>JB-RICE 6 SCR + oxida-DI01</t>
        </is>
      </c>
      <c r="H4537" s="12" t="inlineStr">
        <is>
          <t>RICE 6 SCR + oxidation catalyst and stack</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322</v>
      </c>
      <c r="U4537" s="17" t="n">
        <v>168</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I-I-0171</t>
        </is>
      </c>
      <c r="B4538" s="12" t="inlineStr">
        <is>
          <t>I</t>
        </is>
      </c>
      <c r="C4538" s="12" t="inlineStr">
        <is>
          <t>Modular / portable power</t>
        </is>
      </c>
      <c r="D4538" s="12" t="inlineStr">
        <is>
          <t>Analog instrument to JB JB-RICE 6 radiators (-AI01: 5 x 1 pr (field cables)</t>
        </is>
      </c>
      <c r="E4538" s="12" t="inlineStr"/>
      <c r="F4538" s="12" t="inlineStr">
        <is>
          <t>RICE 6 radiators (5)</t>
        </is>
      </c>
      <c r="G4538" s="12" t="inlineStr">
        <is>
          <t>JB-RICE 6 radiators (-AI01</t>
        </is>
      </c>
      <c r="H4538" s="12" t="inlineStr">
        <is>
          <t>RICE 6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5</v>
      </c>
      <c r="O4538" s="12" t="n">
        <v>1</v>
      </c>
      <c r="P4538" s="12" t="n"/>
      <c r="Q4538" s="12" t="n"/>
      <c r="R4538" s="12" t="n"/>
      <c r="S4538" s="12" t="inlineStr">
        <is>
          <t>Tray / conduit</t>
        </is>
      </c>
      <c r="T4538" s="17" t="n">
        <v>80</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I-I-0172</t>
        </is>
      </c>
      <c r="B4539" s="12" t="inlineStr">
        <is>
          <t>I</t>
        </is>
      </c>
      <c r="C4539" s="12" t="inlineStr">
        <is>
          <t>Modular / portable power</t>
        </is>
      </c>
      <c r="D4539" s="12" t="inlineStr">
        <is>
          <t>Home run JB-RICE 6 radiators (-AI01 to the control / marshalling room</t>
        </is>
      </c>
      <c r="E4539" s="12" t="inlineStr"/>
      <c r="F4539" s="12" t="inlineStr">
        <is>
          <t>PCM: power control module</t>
        </is>
      </c>
      <c r="G4539" s="12" t="inlineStr">
        <is>
          <t>JB-RICE 6 radiators (-AI01</t>
        </is>
      </c>
      <c r="H4539" s="12" t="inlineStr">
        <is>
          <t>RICE 6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7" t="n">
        <v>0</v>
      </c>
      <c r="U4539" s="17" t="n">
        <v>150</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I-I-0173</t>
        </is>
      </c>
      <c r="B4540" s="12" t="inlineStr">
        <is>
          <t>I</t>
        </is>
      </c>
      <c r="C4540" s="12" t="inlineStr">
        <is>
          <t>Modular / portable power</t>
        </is>
      </c>
      <c r="D4540" s="12" t="inlineStr">
        <is>
          <t>Discrete device to JB JB-RICE 6 radiators (-DI01: 10 x 1 pr (field cables)</t>
        </is>
      </c>
      <c r="E4540" s="12" t="inlineStr"/>
      <c r="F4540" s="12" t="inlineStr">
        <is>
          <t>RICE 6 radiators (5)</t>
        </is>
      </c>
      <c r="G4540" s="12" t="inlineStr">
        <is>
          <t>JB-RICE 6 radiators (-DI01</t>
        </is>
      </c>
      <c r="H4540" s="12" t="inlineStr">
        <is>
          <t>RICE 6 radiators (5)</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7" t="n">
        <v>80</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I-I-0174</t>
        </is>
      </c>
      <c r="B4541" s="12" t="inlineStr">
        <is>
          <t>I</t>
        </is>
      </c>
      <c r="C4541" s="12" t="inlineStr">
        <is>
          <t>Modular / portable power</t>
        </is>
      </c>
      <c r="D4541" s="12" t="inlineStr">
        <is>
          <t>Home run JB-RICE 6 radiators (-DI01 to the control / marshalling room</t>
        </is>
      </c>
      <c r="E4541" s="12" t="inlineStr"/>
      <c r="F4541" s="12" t="inlineStr">
        <is>
          <t>PCM: power control module</t>
        </is>
      </c>
      <c r="G4541" s="12" t="inlineStr">
        <is>
          <t>JB-RICE 6 radiators (-DI01</t>
        </is>
      </c>
      <c r="H4541" s="12" t="inlineStr">
        <is>
          <t>RICE 6 radiators (5)</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Tray</t>
        </is>
      </c>
      <c r="T4541" s="17" t="n">
        <v>0</v>
      </c>
      <c r="U4541" s="17" t="n">
        <v>150</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I-I-0175</t>
        </is>
      </c>
      <c r="B4542" s="12" t="inlineStr">
        <is>
          <t>I</t>
        </is>
      </c>
      <c r="C4542" s="12" t="inlineStr">
        <is>
          <t>Modular / portable power</t>
        </is>
      </c>
      <c r="D4542" s="12" t="inlineStr">
        <is>
          <t>Analog instrument to JB JB-RICE 7 SCR + oxida-AI01: 10 x 1 pr (field cables)</t>
        </is>
      </c>
      <c r="E4542" s="12" t="inlineStr"/>
      <c r="F4542" s="12" t="inlineStr">
        <is>
          <t>RICE 7 SCR + oxidation catalyst and stack</t>
        </is>
      </c>
      <c r="G4542" s="12" t="inlineStr">
        <is>
          <t>JB-RICE 7 SCR + oxida-AI01</t>
        </is>
      </c>
      <c r="H4542" s="12" t="inlineStr">
        <is>
          <t>RICE 7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10</v>
      </c>
      <c r="O4542" s="12" t="n">
        <v>1</v>
      </c>
      <c r="P4542" s="12" t="n"/>
      <c r="Q4542" s="12" t="n"/>
      <c r="R4542" s="12" t="n"/>
      <c r="S4542" s="12" t="inlineStr">
        <is>
          <t>Tray / conduit</t>
        </is>
      </c>
      <c r="T4542" s="17" t="n">
        <v>92</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I-I-0176</t>
        </is>
      </c>
      <c r="B4543" s="12" t="inlineStr">
        <is>
          <t>I</t>
        </is>
      </c>
      <c r="C4543" s="12" t="inlineStr">
        <is>
          <t>Modular / portable power</t>
        </is>
      </c>
      <c r="D4543" s="12" t="inlineStr">
        <is>
          <t>Home run JB-RICE 7 SCR + oxida-AI01 to the control / marshalling room</t>
        </is>
      </c>
      <c r="E4543" s="12" t="inlineStr"/>
      <c r="F4543" s="12" t="inlineStr">
        <is>
          <t>PCM: power control module</t>
        </is>
      </c>
      <c r="G4543" s="12" t="inlineStr">
        <is>
          <t>JB-RICE 7 SCR + oxida-AI01</t>
        </is>
      </c>
      <c r="H4543" s="12" t="inlineStr">
        <is>
          <t>RICE 7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322</v>
      </c>
      <c r="U4543" s="17" t="n">
        <v>140</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I-I-0177</t>
        </is>
      </c>
      <c r="B4544" s="12" t="inlineStr">
        <is>
          <t>I</t>
        </is>
      </c>
      <c r="C4544" s="12" t="inlineStr">
        <is>
          <t>Modular / portable power</t>
        </is>
      </c>
      <c r="D4544" s="12" t="inlineStr">
        <is>
          <t>Discrete device to JB JB-RICE 7 SCR + oxida-DI01: 6 x 1 pr (field cables)</t>
        </is>
      </c>
      <c r="E4544" s="12" t="inlineStr"/>
      <c r="F4544" s="12" t="inlineStr">
        <is>
          <t>RICE 7 SCR + oxidation catalyst and stack</t>
        </is>
      </c>
      <c r="G4544" s="12" t="inlineStr">
        <is>
          <t>JB-RICE 7 SCR + oxida-DI01</t>
        </is>
      </c>
      <c r="H4544" s="12" t="inlineStr">
        <is>
          <t>RICE 7 SCR + oxidation catalyst and stack</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6</v>
      </c>
      <c r="O4544" s="12" t="n">
        <v>1</v>
      </c>
      <c r="P4544" s="12" t="n"/>
      <c r="Q4544" s="12" t="n"/>
      <c r="R4544" s="12" t="n"/>
      <c r="S4544" s="12" t="inlineStr">
        <is>
          <t>Tray / conduit</t>
        </is>
      </c>
      <c r="T4544" s="17" t="n">
        <v>92</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I-I-0178</t>
        </is>
      </c>
      <c r="B4545" s="12" t="inlineStr">
        <is>
          <t>I</t>
        </is>
      </c>
      <c r="C4545" s="12" t="inlineStr">
        <is>
          <t>Modular / portable power</t>
        </is>
      </c>
      <c r="D4545" s="12" t="inlineStr">
        <is>
          <t>Home run JB-RICE 7 SCR + oxida-DI01 to the control / marshalling room</t>
        </is>
      </c>
      <c r="E4545" s="12" t="inlineStr"/>
      <c r="F4545" s="12" t="inlineStr">
        <is>
          <t>PCM: power control module</t>
        </is>
      </c>
      <c r="G4545" s="12" t="inlineStr">
        <is>
          <t>JB-RICE 7 SCR + oxida-DI01</t>
        </is>
      </c>
      <c r="H4545" s="12" t="inlineStr">
        <is>
          <t>RICE 7 SCR + oxidation catalyst and stack</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322</v>
      </c>
      <c r="U4545" s="17" t="n">
        <v>140</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I-I-0179</t>
        </is>
      </c>
      <c r="B4546" s="12" t="inlineStr">
        <is>
          <t>I</t>
        </is>
      </c>
      <c r="C4546" s="12" t="inlineStr">
        <is>
          <t>Modular / portable power</t>
        </is>
      </c>
      <c r="D4546" s="12" t="inlineStr">
        <is>
          <t>Analog instrument to JB JB-RICE 7 radiators (-AI01: 5 x 1 pr (field cables)</t>
        </is>
      </c>
      <c r="E4546" s="12" t="inlineStr"/>
      <c r="F4546" s="12" t="inlineStr">
        <is>
          <t>RICE 7 radiators (5)</t>
        </is>
      </c>
      <c r="G4546" s="12" t="inlineStr">
        <is>
          <t>JB-RICE 7 radiators (-AI01</t>
        </is>
      </c>
      <c r="H4546" s="12" t="inlineStr">
        <is>
          <t>RICE 7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5</v>
      </c>
      <c r="O4546" s="12" t="n">
        <v>1</v>
      </c>
      <c r="P4546" s="12" t="n"/>
      <c r="Q4546" s="12" t="n"/>
      <c r="R4546" s="12" t="n"/>
      <c r="S4546" s="12" t="inlineStr">
        <is>
          <t>Tray / conduit</t>
        </is>
      </c>
      <c r="T4546" s="17" t="n">
        <v>80</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I-I-0180</t>
        </is>
      </c>
      <c r="B4547" s="12" t="inlineStr">
        <is>
          <t>I</t>
        </is>
      </c>
      <c r="C4547" s="12" t="inlineStr">
        <is>
          <t>Modular / portable power</t>
        </is>
      </c>
      <c r="D4547" s="12" t="inlineStr">
        <is>
          <t>Home run JB-RICE 7 radiators (-AI01 to the control / marshalling room</t>
        </is>
      </c>
      <c r="E4547" s="12" t="inlineStr"/>
      <c r="F4547" s="12" t="inlineStr">
        <is>
          <t>PCM: power control module</t>
        </is>
      </c>
      <c r="G4547" s="12" t="inlineStr">
        <is>
          <t>JB-RICE 7 radiators (-AI01</t>
        </is>
      </c>
      <c r="H4547" s="12" t="inlineStr">
        <is>
          <t>RICE 7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7" t="n">
        <v>0</v>
      </c>
      <c r="U4547" s="17" t="n">
        <v>122</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I-I-0181</t>
        </is>
      </c>
      <c r="B4548" s="12" t="inlineStr">
        <is>
          <t>I</t>
        </is>
      </c>
      <c r="C4548" s="12" t="inlineStr">
        <is>
          <t>Modular / portable power</t>
        </is>
      </c>
      <c r="D4548" s="12" t="inlineStr">
        <is>
          <t>Discrete device to JB JB-RICE 7 radiators (-DI01: 10 x 1 pr (field cables)</t>
        </is>
      </c>
      <c r="E4548" s="12" t="inlineStr"/>
      <c r="F4548" s="12" t="inlineStr">
        <is>
          <t>RICE 7 radiators (5)</t>
        </is>
      </c>
      <c r="G4548" s="12" t="inlineStr">
        <is>
          <t>JB-RICE 7 radiators (-DI01</t>
        </is>
      </c>
      <c r="H4548" s="12" t="inlineStr">
        <is>
          <t>RICE 7 radiators (5)</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7" t="n">
        <v>80</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I-I-0182</t>
        </is>
      </c>
      <c r="B4549" s="12" t="inlineStr">
        <is>
          <t>I</t>
        </is>
      </c>
      <c r="C4549" s="12" t="inlineStr">
        <is>
          <t>Modular / portable power</t>
        </is>
      </c>
      <c r="D4549" s="12" t="inlineStr">
        <is>
          <t>Home run JB-RICE 7 radiators (-DI01 to the control / marshalling room</t>
        </is>
      </c>
      <c r="E4549" s="12" t="inlineStr"/>
      <c r="F4549" s="12" t="inlineStr">
        <is>
          <t>PCM: power control module</t>
        </is>
      </c>
      <c r="G4549" s="12" t="inlineStr">
        <is>
          <t>JB-RICE 7 radiators (-DI01</t>
        </is>
      </c>
      <c r="H4549" s="12" t="inlineStr">
        <is>
          <t>RICE 7 radiators (5)</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Tray</t>
        </is>
      </c>
      <c r="T4549" s="17" t="n">
        <v>0</v>
      </c>
      <c r="U4549" s="17" t="n">
        <v>122</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I-I-0183</t>
        </is>
      </c>
      <c r="B4550" s="12" t="inlineStr">
        <is>
          <t>I</t>
        </is>
      </c>
      <c r="C4550" s="12" t="inlineStr">
        <is>
          <t>Modular / portable power</t>
        </is>
      </c>
      <c r="D4550" s="12" t="inlineStr">
        <is>
          <t>Analog instrument to JB JB-RICE 8 SCR + oxida-AI01: 10 x 1 pr (field cables)</t>
        </is>
      </c>
      <c r="E4550" s="12" t="inlineStr"/>
      <c r="F4550" s="12" t="inlineStr">
        <is>
          <t>RICE 8 SCR + oxidation catalyst and stack</t>
        </is>
      </c>
      <c r="G4550" s="12" t="inlineStr">
        <is>
          <t>JB-RICE 8 SCR + oxida-AI01</t>
        </is>
      </c>
      <c r="H4550" s="12" t="inlineStr">
        <is>
          <t>RICE 8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7" t="n">
        <v>92</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I-I-0184</t>
        </is>
      </c>
      <c r="B4551" s="12" t="inlineStr">
        <is>
          <t>I</t>
        </is>
      </c>
      <c r="C4551" s="12" t="inlineStr">
        <is>
          <t>Modular / portable power</t>
        </is>
      </c>
      <c r="D4551" s="12" t="inlineStr">
        <is>
          <t>Home run JB-RICE 8 SCR + oxida-AI01 to the control / marshalling room</t>
        </is>
      </c>
      <c r="E4551" s="12" t="inlineStr"/>
      <c r="F4551" s="12" t="inlineStr">
        <is>
          <t>PCM: power control module</t>
        </is>
      </c>
      <c r="G4551" s="12" t="inlineStr">
        <is>
          <t>JB-RICE 8 SCR + oxida-AI01</t>
        </is>
      </c>
      <c r="H4551" s="12" t="inlineStr">
        <is>
          <t>RICE 8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7" t="n">
        <v>322</v>
      </c>
      <c r="U4551" s="17" t="n">
        <v>112</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I-I-0185</t>
        </is>
      </c>
      <c r="B4552" s="12" t="inlineStr">
        <is>
          <t>I</t>
        </is>
      </c>
      <c r="C4552" s="12" t="inlineStr">
        <is>
          <t>Modular / portable power</t>
        </is>
      </c>
      <c r="D4552" s="12" t="inlineStr">
        <is>
          <t>Discrete device to JB JB-RICE 8 SCR + oxida-DI01: 6 x 1 pr (field cables)</t>
        </is>
      </c>
      <c r="E4552" s="12" t="inlineStr"/>
      <c r="F4552" s="12" t="inlineStr">
        <is>
          <t>RICE 8 SCR + oxidation catalyst and stack</t>
        </is>
      </c>
      <c r="G4552" s="12" t="inlineStr">
        <is>
          <t>JB-RICE 8 SCR + oxida-DI01</t>
        </is>
      </c>
      <c r="H4552" s="12" t="inlineStr">
        <is>
          <t>RICE 8 SCR + oxidation catalyst and stack</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6</v>
      </c>
      <c r="O4552" s="12" t="n">
        <v>1</v>
      </c>
      <c r="P4552" s="12" t="n"/>
      <c r="Q4552" s="12" t="n"/>
      <c r="R4552" s="12" t="n"/>
      <c r="S4552" s="12" t="inlineStr">
        <is>
          <t>Tray / conduit</t>
        </is>
      </c>
      <c r="T4552" s="17" t="n">
        <v>92</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I-I-0186</t>
        </is>
      </c>
      <c r="B4553" s="12" t="inlineStr">
        <is>
          <t>I</t>
        </is>
      </c>
      <c r="C4553" s="12" t="inlineStr">
        <is>
          <t>Modular / portable power</t>
        </is>
      </c>
      <c r="D4553" s="12" t="inlineStr">
        <is>
          <t>Home run JB-RICE 8 SCR + oxida-DI01 to the control / marshalling room</t>
        </is>
      </c>
      <c r="E4553" s="12" t="inlineStr"/>
      <c r="F4553" s="12" t="inlineStr">
        <is>
          <t>PCM: power control module</t>
        </is>
      </c>
      <c r="G4553" s="12" t="inlineStr">
        <is>
          <t>JB-RICE 8 SCR + oxida-DI01</t>
        </is>
      </c>
      <c r="H4553" s="12" t="inlineStr">
        <is>
          <t>RICE 8 SCR + oxidation catalyst and stack</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7" t="n">
        <v>322</v>
      </c>
      <c r="U4553" s="17" t="n">
        <v>112</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I-I-0187</t>
        </is>
      </c>
      <c r="B4554" s="12" t="inlineStr">
        <is>
          <t>I</t>
        </is>
      </c>
      <c r="C4554" s="12" t="inlineStr">
        <is>
          <t>Modular / portable power</t>
        </is>
      </c>
      <c r="D4554" s="12" t="inlineStr">
        <is>
          <t>Analog instrument to JB JB-RICE 8 radiators (-AI01: 5 x 1 pr (field cables)</t>
        </is>
      </c>
      <c r="E4554" s="12" t="inlineStr"/>
      <c r="F4554" s="12" t="inlineStr">
        <is>
          <t>RICE 8 radiators (5)</t>
        </is>
      </c>
      <c r="G4554" s="12" t="inlineStr">
        <is>
          <t>JB-RICE 8 radiators (-AI01</t>
        </is>
      </c>
      <c r="H4554" s="12" t="inlineStr">
        <is>
          <t>RICE 8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5</v>
      </c>
      <c r="O4554" s="12" t="n">
        <v>1</v>
      </c>
      <c r="P4554" s="12" t="n"/>
      <c r="Q4554" s="12" t="n"/>
      <c r="R4554" s="12" t="n"/>
      <c r="S4554" s="12" t="inlineStr">
        <is>
          <t>Tray / conduit</t>
        </is>
      </c>
      <c r="T4554" s="17" t="n">
        <v>80</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I-I-0188</t>
        </is>
      </c>
      <c r="B4555" s="12" t="inlineStr">
        <is>
          <t>I</t>
        </is>
      </c>
      <c r="C4555" s="12" t="inlineStr">
        <is>
          <t>Modular / portable power</t>
        </is>
      </c>
      <c r="D4555" s="12" t="inlineStr">
        <is>
          <t>Home run JB-RICE 8 radiators (-AI01 to the control / marshalling room</t>
        </is>
      </c>
      <c r="E4555" s="12" t="inlineStr"/>
      <c r="F4555" s="12" t="inlineStr">
        <is>
          <t>PCM: power control module</t>
        </is>
      </c>
      <c r="G4555" s="12" t="inlineStr">
        <is>
          <t>JB-RICE 8 radiators (-AI01</t>
        </is>
      </c>
      <c r="H4555" s="12" t="inlineStr">
        <is>
          <t>RICE 8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7" t="n">
        <v>0</v>
      </c>
      <c r="U4555" s="17" t="n">
        <v>94</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I-I-0189</t>
        </is>
      </c>
      <c r="B4556" s="12" t="inlineStr">
        <is>
          <t>I</t>
        </is>
      </c>
      <c r="C4556" s="12" t="inlineStr">
        <is>
          <t>Modular / portable power</t>
        </is>
      </c>
      <c r="D4556" s="12" t="inlineStr">
        <is>
          <t>Discrete device to JB JB-RICE 8 radiators (-DI01: 10 x 1 pr (field cables)</t>
        </is>
      </c>
      <c r="E4556" s="12" t="inlineStr"/>
      <c r="F4556" s="12" t="inlineStr">
        <is>
          <t>RICE 8 radiators (5)</t>
        </is>
      </c>
      <c r="G4556" s="12" t="inlineStr">
        <is>
          <t>JB-RICE 8 radiators (-DI01</t>
        </is>
      </c>
      <c r="H4556" s="12" t="inlineStr">
        <is>
          <t>RICE 8 radiators (5)</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7" t="n">
        <v>80</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I-I-0190</t>
        </is>
      </c>
      <c r="B4557" s="12" t="inlineStr">
        <is>
          <t>I</t>
        </is>
      </c>
      <c r="C4557" s="12" t="inlineStr">
        <is>
          <t>Modular / portable power</t>
        </is>
      </c>
      <c r="D4557" s="12" t="inlineStr">
        <is>
          <t>Home run JB-RICE 8 radiators (-DI01 to the control / marshalling room</t>
        </is>
      </c>
      <c r="E4557" s="12" t="inlineStr"/>
      <c r="F4557" s="12" t="inlineStr">
        <is>
          <t>PCM: power control module</t>
        </is>
      </c>
      <c r="G4557" s="12" t="inlineStr">
        <is>
          <t>JB-RICE 8 radiators (-DI01</t>
        </is>
      </c>
      <c r="H4557" s="12" t="inlineStr">
        <is>
          <t>RICE 8 radiators (5)</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Tray</t>
        </is>
      </c>
      <c r="T4557" s="17" t="n">
        <v>0</v>
      </c>
      <c r="U4557" s="17" t="n">
        <v>94</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I-I-0191</t>
        </is>
      </c>
      <c r="B4558" s="12" t="inlineStr">
        <is>
          <t>I</t>
        </is>
      </c>
      <c r="C4558" s="12" t="inlineStr">
        <is>
          <t>Modular / portable power</t>
        </is>
      </c>
      <c r="D4558" s="12" t="inlineStr">
        <is>
          <t>Instrumentation</t>
        </is>
      </c>
      <c r="E4558" s="12" t="inlineStr"/>
      <c r="F4558" s="12" t="inlineStr">
        <is>
          <t>PCM: power control module</t>
        </is>
      </c>
      <c r="G4558" s="12" t="inlineStr">
        <is>
          <t>RICE</t>
        </is>
      </c>
      <c r="H4558" s="12" t="inlineStr">
        <is>
          <t>RICE engine hall (8 engines)</t>
        </is>
      </c>
      <c r="I4558" s="12" t="inlineStr">
        <is>
          <t>Instrumentation</t>
        </is>
      </c>
      <c r="J4558" s="12" t="inlineStr">
        <is>
          <t>Instrumentation PLTC / TC-ER 300 V, #18 twisted shielded pairs, overall shield</t>
        </is>
      </c>
      <c r="K4558" s="12" t="inlineStr">
        <is>
          <t>PLTC|4 pr|18</t>
        </is>
      </c>
      <c r="L4558" s="12" t="inlineStr">
        <is>
          <t>4 pr</t>
        </is>
      </c>
      <c r="M4558" s="12" t="inlineStr">
        <is>
          <t>18</t>
        </is>
      </c>
      <c r="N4558" s="12" t="n">
        <v>1</v>
      </c>
      <c r="O4558" s="12" t="n">
        <v>1</v>
      </c>
      <c r="P4558" s="12" t="n"/>
      <c r="Q4558" s="12" t="n"/>
      <c r="R4558" s="12" t="n"/>
      <c r="S4558" s="12" t="inlineStr">
        <is>
          <t>Duct bank</t>
        </is>
      </c>
      <c r="T4558" s="17" t="n">
        <v>367</v>
      </c>
      <c r="U4558" s="17" t="n">
        <v>95</v>
      </c>
      <c r="V4558" s="17">
        <f>ROUNDUP((T4558+U4558+2*'Read Me'!$B$13)*(1+'Read Me'!$B$12),-1)</f>
        <v/>
      </c>
      <c r="W4558" s="17">
        <f>V4558*N4558*O4558</f>
        <v/>
      </c>
      <c r="X4558" s="12">
        <f>IF(LEFT(I4558,2)="MV",2*N4558*IF(L4558="1/C",O4558,1),0)</f>
        <v/>
      </c>
      <c r="Y4558" s="12">
        <f>IF(OR(LEFT(K4558,4)="LVAX",LEFT(K4558,6)="MV15AX",LEFT(K4558,4)="CTAX",LEFT(K4558,2)="W|"),2*N4558*O4558,0)</f>
        <v/>
      </c>
      <c r="Z4558" s="12" t="inlineStr"/>
      <c r="AA4558" s="12">
        <f>N4558*O4558</f>
        <v/>
      </c>
    </row>
    <row r="4559">
      <c r="A4559" s="12" t="inlineStr">
        <is>
          <t>I-I-0192</t>
        </is>
      </c>
      <c r="B4559" s="12" t="inlineStr">
        <is>
          <t>I</t>
        </is>
      </c>
      <c r="C4559" s="12" t="inlineStr">
        <is>
          <t>Modular / portable power</t>
        </is>
      </c>
      <c r="D4559" s="12" t="inlineStr">
        <is>
          <t>Instrumentation</t>
        </is>
      </c>
      <c r="E4559" s="12" t="inlineStr"/>
      <c r="F4559" s="12" t="inlineStr">
        <is>
          <t>PCM: power control module</t>
        </is>
      </c>
      <c r="G4559" s="12" t="inlineStr">
        <is>
          <t>RICE</t>
        </is>
      </c>
      <c r="H4559" s="12" t="inlineStr">
        <is>
          <t>RICE engine hall (8 engines)</t>
        </is>
      </c>
      <c r="I4559" s="12" t="inlineStr">
        <is>
          <t>Instrumentation</t>
        </is>
      </c>
      <c r="J4559" s="12" t="inlineStr">
        <is>
          <t>Instrumentation PLTC / TC-ER 300 V, #18 twisted shielded pairs, overall shield</t>
        </is>
      </c>
      <c r="K4559" s="12" t="inlineStr">
        <is>
          <t>PLTC|4 pr|18</t>
        </is>
      </c>
      <c r="L4559" s="12" t="inlineStr">
        <is>
          <t>4 pr</t>
        </is>
      </c>
      <c r="M4559" s="12" t="inlineStr">
        <is>
          <t>18</t>
        </is>
      </c>
      <c r="N4559" s="12" t="n">
        <v>1</v>
      </c>
      <c r="O4559" s="12" t="n">
        <v>1</v>
      </c>
      <c r="P4559" s="12" t="n"/>
      <c r="Q4559" s="12" t="n"/>
      <c r="R4559" s="12" t="n"/>
      <c r="S4559" s="12" t="inlineStr">
        <is>
          <t>Duct bank</t>
        </is>
      </c>
      <c r="T4559" s="17" t="n">
        <v>367</v>
      </c>
      <c r="U4559" s="17" t="n">
        <v>95</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I-I-0193</t>
        </is>
      </c>
      <c r="B4560" s="12" t="inlineStr">
        <is>
          <t>I</t>
        </is>
      </c>
      <c r="C4560" s="12" t="inlineStr">
        <is>
          <t>Modular / portable power</t>
        </is>
      </c>
      <c r="D4560" s="12" t="inlineStr">
        <is>
          <t>Instrumentation</t>
        </is>
      </c>
      <c r="E4560" s="12" t="inlineStr"/>
      <c r="F4560" s="12" t="inlineStr">
        <is>
          <t>PCM: power control module</t>
        </is>
      </c>
      <c r="G4560" s="12" t="inlineStr">
        <is>
          <t>RICE</t>
        </is>
      </c>
      <c r="H4560" s="12" t="inlineStr">
        <is>
          <t>RICE engine hall (8 engines)</t>
        </is>
      </c>
      <c r="I4560" s="12" t="inlineStr">
        <is>
          <t>Instrumentation</t>
        </is>
      </c>
      <c r="J4560" s="12" t="inlineStr">
        <is>
          <t>Instrumentation PLTC / TC-ER 300 V, #18 twisted shielded pairs, overall shield</t>
        </is>
      </c>
      <c r="K4560" s="12" t="inlineStr">
        <is>
          <t>PLTC|12 pr|18</t>
        </is>
      </c>
      <c r="L4560" s="12" t="inlineStr">
        <is>
          <t>12 pr</t>
        </is>
      </c>
      <c r="M4560" s="12" t="inlineStr">
        <is>
          <t>18</t>
        </is>
      </c>
      <c r="N4560" s="12" t="n">
        <v>1</v>
      </c>
      <c r="O4560" s="12" t="n">
        <v>1</v>
      </c>
      <c r="P4560" s="12" t="n"/>
      <c r="Q4560" s="12" t="n"/>
      <c r="R4560" s="12" t="n"/>
      <c r="S4560" s="12" t="inlineStr">
        <is>
          <t>Duct bank</t>
        </is>
      </c>
      <c r="T4560" s="17" t="n">
        <v>367</v>
      </c>
      <c r="U4560" s="17" t="n">
        <v>95</v>
      </c>
      <c r="V4560" s="17">
        <f>ROUNDUP((T4560+U4560+2*'Read Me'!$B$13)*(1+'Read Me'!$B$12),-1)</f>
        <v/>
      </c>
      <c r="W4560" s="17">
        <f>V4560*N4560*O4560</f>
        <v/>
      </c>
      <c r="X4560" s="12">
        <f>IF(LEFT(I4560,2)="MV",2*N4560*IF(L4560="1/C",O4560,1),0)</f>
        <v/>
      </c>
      <c r="Y4560" s="12">
        <f>IF(OR(LEFT(K4560,4)="LVAX",LEFT(K4560,6)="MV15AX",LEFT(K4560,4)="CTAX",LEFT(K4560,2)="W|"),2*N4560*O4560,0)</f>
        <v/>
      </c>
      <c r="Z4560" s="12" t="inlineStr"/>
      <c r="AA4560" s="12">
        <f>N4560*O4560</f>
        <v/>
      </c>
    </row>
    <row r="4561">
      <c r="A4561" s="12" t="inlineStr">
        <is>
          <t>I-I-0194</t>
        </is>
      </c>
      <c r="B4561" s="12" t="inlineStr">
        <is>
          <t>I</t>
        </is>
      </c>
      <c r="C4561" s="12" t="inlineStr">
        <is>
          <t>Modular / portable power</t>
        </is>
      </c>
      <c r="D4561" s="12" t="inlineStr">
        <is>
          <t>Instrumentation</t>
        </is>
      </c>
      <c r="E4561" s="12" t="inlineStr"/>
      <c r="F4561" s="12" t="inlineStr">
        <is>
          <t>PCM: power control module</t>
        </is>
      </c>
      <c r="G4561" s="12" t="inlineStr">
        <is>
          <t>RICE</t>
        </is>
      </c>
      <c r="H4561" s="12" t="inlineStr">
        <is>
          <t>RICE engine hall (8 engines)</t>
        </is>
      </c>
      <c r="I4561" s="12" t="inlineStr">
        <is>
          <t>Instrumentation</t>
        </is>
      </c>
      <c r="J4561" s="12" t="inlineStr">
        <is>
          <t>Instrumentation PLTC / TC-ER 300 V, #18 twisted shielded pairs, overall shield</t>
        </is>
      </c>
      <c r="K4561" s="12" t="inlineStr">
        <is>
          <t>PLTC|12 pr|18</t>
        </is>
      </c>
      <c r="L4561" s="12" t="inlineStr">
        <is>
          <t>12 pr</t>
        </is>
      </c>
      <c r="M4561" s="12" t="inlineStr">
        <is>
          <t>18</t>
        </is>
      </c>
      <c r="N4561" s="12" t="n">
        <v>1</v>
      </c>
      <c r="O4561" s="12" t="n">
        <v>1</v>
      </c>
      <c r="P4561" s="12" t="n"/>
      <c r="Q4561" s="12" t="n"/>
      <c r="R4561" s="12" t="n"/>
      <c r="S4561" s="12" t="inlineStr">
        <is>
          <t>Duct bank</t>
        </is>
      </c>
      <c r="T4561" s="17" t="n">
        <v>367</v>
      </c>
      <c r="U4561" s="17" t="n">
        <v>95</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I-I-0195</t>
        </is>
      </c>
      <c r="B4562" s="12" t="inlineStr">
        <is>
          <t>I</t>
        </is>
      </c>
      <c r="C4562" s="12" t="inlineStr">
        <is>
          <t>Modular / portable power</t>
        </is>
      </c>
      <c r="D4562" s="12" t="inlineStr">
        <is>
          <t>Instrumentation</t>
        </is>
      </c>
      <c r="E4562" s="12" t="inlineStr"/>
      <c r="F4562" s="12" t="inlineStr">
        <is>
          <t>PCM: power control module</t>
        </is>
      </c>
      <c r="G4562" s="12" t="inlineStr">
        <is>
          <t>RICE</t>
        </is>
      </c>
      <c r="H4562" s="12" t="inlineStr">
        <is>
          <t>RICE engine hall (8 engines)</t>
        </is>
      </c>
      <c r="I4562" s="12" t="inlineStr">
        <is>
          <t>Instrumentation</t>
        </is>
      </c>
      <c r="J4562" s="12" t="inlineStr">
        <is>
          <t>Instrumentation PLTC / TC-ER 300 V, #18 twisted shielded pairs, overall shield</t>
        </is>
      </c>
      <c r="K4562" s="12" t="inlineStr">
        <is>
          <t>PLTC|12 pr|18</t>
        </is>
      </c>
      <c r="L4562" s="12" t="inlineStr">
        <is>
          <t>12 pr</t>
        </is>
      </c>
      <c r="M4562" s="12" t="inlineStr">
        <is>
          <t>18</t>
        </is>
      </c>
      <c r="N4562" s="12" t="n">
        <v>1</v>
      </c>
      <c r="O4562" s="12" t="n">
        <v>1</v>
      </c>
      <c r="P4562" s="12" t="n"/>
      <c r="Q4562" s="12" t="n"/>
      <c r="R4562" s="12" t="n"/>
      <c r="S4562" s="12" t="inlineStr">
        <is>
          <t>Duct bank</t>
        </is>
      </c>
      <c r="T4562" s="17" t="n">
        <v>367</v>
      </c>
      <c r="U4562" s="17" t="n">
        <v>95</v>
      </c>
      <c r="V4562" s="17">
        <f>ROUNDUP((T4562+U4562+2*'Read Me'!$B$13)*(1+'Read Me'!$B$12),-1)</f>
        <v/>
      </c>
      <c r="W4562" s="17">
        <f>V4562*N4562*O4562</f>
        <v/>
      </c>
      <c r="X4562" s="12">
        <f>IF(LEFT(I4562,2)="MV",2*N4562*IF(L4562="1/C",O4562,1),0)</f>
        <v/>
      </c>
      <c r="Y4562" s="12">
        <f>IF(OR(LEFT(K4562,4)="LVAX",LEFT(K4562,6)="MV15AX",LEFT(K4562,4)="CTAX",LEFT(K4562,2)="W|"),2*N4562*O4562,0)</f>
        <v/>
      </c>
      <c r="Z4562" s="12" t="inlineStr"/>
      <c r="AA4562" s="12">
        <f>N4562*O4562</f>
        <v/>
      </c>
    </row>
    <row r="4563">
      <c r="A4563" s="12" t="inlineStr">
        <is>
          <t>I-I-0196</t>
        </is>
      </c>
      <c r="B4563" s="12" t="inlineStr">
        <is>
          <t>I</t>
        </is>
      </c>
      <c r="C4563" s="12" t="inlineStr">
        <is>
          <t>Modular / portable power</t>
        </is>
      </c>
      <c r="D4563" s="12" t="inlineStr">
        <is>
          <t>Instrumentation</t>
        </is>
      </c>
      <c r="E4563" s="12" t="inlineStr"/>
      <c r="F4563" s="12" t="inlineStr">
        <is>
          <t>PCM: power control module</t>
        </is>
      </c>
      <c r="G4563" s="12" t="inlineStr">
        <is>
          <t>RICE</t>
        </is>
      </c>
      <c r="H4563" s="12" t="inlineStr">
        <is>
          <t>RICE engine hall (8 engines)</t>
        </is>
      </c>
      <c r="I4563" s="12" t="inlineStr">
        <is>
          <t>Instrumentation</t>
        </is>
      </c>
      <c r="J4563" s="12" t="inlineStr">
        <is>
          <t>Instrumentation PLTC / TC-ER 300 V, #18 twisted shielded pairs, overall shield</t>
        </is>
      </c>
      <c r="K4563" s="12" t="inlineStr">
        <is>
          <t>PLTC|12 pr|18</t>
        </is>
      </c>
      <c r="L4563" s="12" t="inlineStr">
        <is>
          <t>12 pr</t>
        </is>
      </c>
      <c r="M4563" s="12" t="inlineStr">
        <is>
          <t>18</t>
        </is>
      </c>
      <c r="N4563" s="12" t="n">
        <v>1</v>
      </c>
      <c r="O4563" s="12" t="n">
        <v>1</v>
      </c>
      <c r="P4563" s="12" t="n"/>
      <c r="Q4563" s="12" t="n"/>
      <c r="R4563" s="12" t="n"/>
      <c r="S4563" s="12" t="inlineStr">
        <is>
          <t>Duct bank</t>
        </is>
      </c>
      <c r="T4563" s="17" t="n">
        <v>367</v>
      </c>
      <c r="U4563" s="17" t="n">
        <v>95</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I-I-0197</t>
        </is>
      </c>
      <c r="B4564" s="12" t="inlineStr">
        <is>
          <t>I</t>
        </is>
      </c>
      <c r="C4564" s="12" t="inlineStr">
        <is>
          <t>Modular / portable power</t>
        </is>
      </c>
      <c r="D4564" s="12" t="inlineStr">
        <is>
          <t>Instrumentation</t>
        </is>
      </c>
      <c r="E4564" s="12" t="inlineStr"/>
      <c r="F4564" s="12" t="inlineStr">
        <is>
          <t>PCM: power control module</t>
        </is>
      </c>
      <c r="G4564" s="12" t="inlineStr">
        <is>
          <t>RICE</t>
        </is>
      </c>
      <c r="H4564" s="12" t="inlineStr">
        <is>
          <t>RICE engine hall (8 engines)</t>
        </is>
      </c>
      <c r="I4564" s="12" t="inlineStr">
        <is>
          <t>Instrumentation</t>
        </is>
      </c>
      <c r="J4564" s="12" t="inlineStr">
        <is>
          <t>Instrumentation PLTC / TC-ER 300 V, #18 twisted shielded pairs, overall shield</t>
        </is>
      </c>
      <c r="K4564" s="12" t="inlineStr">
        <is>
          <t>PLTC|12 pr|18</t>
        </is>
      </c>
      <c r="L4564" s="12" t="inlineStr">
        <is>
          <t>12 pr</t>
        </is>
      </c>
      <c r="M4564" s="12" t="inlineStr">
        <is>
          <t>18</t>
        </is>
      </c>
      <c r="N4564" s="12" t="n">
        <v>1</v>
      </c>
      <c r="O4564" s="12" t="n">
        <v>1</v>
      </c>
      <c r="P4564" s="12" t="n"/>
      <c r="Q4564" s="12" t="n"/>
      <c r="R4564" s="12" t="n"/>
      <c r="S4564" s="12" t="inlineStr">
        <is>
          <t>Duct bank</t>
        </is>
      </c>
      <c r="T4564" s="17" t="n">
        <v>367</v>
      </c>
      <c r="U4564" s="17" t="n">
        <v>95</v>
      </c>
      <c r="V4564" s="17">
        <f>ROUNDUP((T4564+U4564+2*'Read Me'!$B$13)*(1+'Read Me'!$B$12),-1)</f>
        <v/>
      </c>
      <c r="W4564" s="17">
        <f>V4564*N4564*O4564</f>
        <v/>
      </c>
      <c r="X4564" s="12">
        <f>IF(LEFT(I4564,2)="MV",2*N4564*IF(L4564="1/C",O4564,1),0)</f>
        <v/>
      </c>
      <c r="Y4564" s="12">
        <f>IF(OR(LEFT(K4564,4)="LVAX",LEFT(K4564,6)="MV15AX",LEFT(K4564,4)="CTAX",LEFT(K4564,2)="W|"),2*N4564*O4564,0)</f>
        <v/>
      </c>
      <c r="Z4564" s="12" t="inlineStr"/>
      <c r="AA4564" s="12">
        <f>N4564*O4564</f>
        <v/>
      </c>
    </row>
    <row r="4565">
      <c r="A4565" s="12" t="inlineStr">
        <is>
          <t>I-I-0198</t>
        </is>
      </c>
      <c r="B4565" s="12" t="inlineStr">
        <is>
          <t>I</t>
        </is>
      </c>
      <c r="C4565" s="12" t="inlineStr">
        <is>
          <t>Modular / portable power</t>
        </is>
      </c>
      <c r="D4565" s="12" t="inlineStr">
        <is>
          <t>Instrumentation</t>
        </is>
      </c>
      <c r="E4565" s="12" t="inlineStr"/>
      <c r="F4565" s="12" t="inlineStr">
        <is>
          <t>PCM: power control module</t>
        </is>
      </c>
      <c r="G4565" s="12" t="inlineStr">
        <is>
          <t>RICE</t>
        </is>
      </c>
      <c r="H4565" s="12" t="inlineStr">
        <is>
          <t>RICE engine hall (8 engines)</t>
        </is>
      </c>
      <c r="I4565" s="12" t="inlineStr">
        <is>
          <t>Instrumentation</t>
        </is>
      </c>
      <c r="J4565" s="12" t="inlineStr">
        <is>
          <t>Instrumentation PLTC / TC-ER 300 V, #18 twisted shielded pairs, overall shield</t>
        </is>
      </c>
      <c r="K4565" s="12" t="inlineStr">
        <is>
          <t>PLTC|12 pr|18</t>
        </is>
      </c>
      <c r="L4565" s="12" t="inlineStr">
        <is>
          <t>12 pr</t>
        </is>
      </c>
      <c r="M4565" s="12" t="inlineStr">
        <is>
          <t>18</t>
        </is>
      </c>
      <c r="N4565" s="12" t="n">
        <v>1</v>
      </c>
      <c r="O4565" s="12" t="n">
        <v>1</v>
      </c>
      <c r="P4565" s="12" t="n"/>
      <c r="Q4565" s="12" t="n"/>
      <c r="R4565" s="12" t="n"/>
      <c r="S4565" s="12" t="inlineStr">
        <is>
          <t>Duct bank</t>
        </is>
      </c>
      <c r="T4565" s="17" t="n">
        <v>367</v>
      </c>
      <c r="U4565" s="17" t="n">
        <v>95</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I-I-0199</t>
        </is>
      </c>
      <c r="B4566" s="12" t="inlineStr">
        <is>
          <t>I</t>
        </is>
      </c>
      <c r="C4566" s="12" t="inlineStr">
        <is>
          <t>Modular / portable power</t>
        </is>
      </c>
      <c r="D4566" s="12" t="inlineStr">
        <is>
          <t>Instrumentation</t>
        </is>
      </c>
      <c r="E4566" s="12" t="inlineStr"/>
      <c r="F4566" s="12" t="inlineStr">
        <is>
          <t>PCM: power control module</t>
        </is>
      </c>
      <c r="G4566" s="12" t="inlineStr">
        <is>
          <t>RICE</t>
        </is>
      </c>
      <c r="H4566" s="12" t="inlineStr">
        <is>
          <t>RICE engine hall (8 engines)</t>
        </is>
      </c>
      <c r="I4566" s="12" t="inlineStr">
        <is>
          <t>Instrumentation</t>
        </is>
      </c>
      <c r="J4566" s="12" t="inlineStr">
        <is>
          <t>Instrumentation PLTC / TC-ER 300 V, #18 twisted shielded pairs, overall shield</t>
        </is>
      </c>
      <c r="K4566" s="12" t="inlineStr">
        <is>
          <t>PLTC|12 pr|18</t>
        </is>
      </c>
      <c r="L4566" s="12" t="inlineStr">
        <is>
          <t>12 pr</t>
        </is>
      </c>
      <c r="M4566" s="12" t="inlineStr">
        <is>
          <t>18</t>
        </is>
      </c>
      <c r="N4566" s="12" t="n">
        <v>1</v>
      </c>
      <c r="O4566" s="12" t="n">
        <v>1</v>
      </c>
      <c r="P4566" s="12" t="n"/>
      <c r="Q4566" s="12" t="n"/>
      <c r="R4566" s="12" t="n"/>
      <c r="S4566" s="12" t="inlineStr">
        <is>
          <t>Duct bank</t>
        </is>
      </c>
      <c r="T4566" s="17" t="n">
        <v>367</v>
      </c>
      <c r="U4566" s="17" t="n">
        <v>95</v>
      </c>
      <c r="V4566" s="17">
        <f>ROUNDUP((T4566+U4566+2*'Read Me'!$B$13)*(1+'Read Me'!$B$12),-1)</f>
        <v/>
      </c>
      <c r="W4566" s="17">
        <f>V4566*N4566*O4566</f>
        <v/>
      </c>
      <c r="X4566" s="12">
        <f>IF(LEFT(I4566,2)="MV",2*N4566*IF(L4566="1/C",O4566,1),0)</f>
        <v/>
      </c>
      <c r="Y4566" s="12">
        <f>IF(OR(LEFT(K4566,4)="LVAX",LEFT(K4566,6)="MV15AX",LEFT(K4566,4)="CTAX",LEFT(K4566,2)="W|"),2*N4566*O4566,0)</f>
        <v/>
      </c>
      <c r="Z4566" s="12" t="inlineStr"/>
      <c r="AA4566" s="12">
        <f>N4566*O4566</f>
        <v/>
      </c>
    </row>
    <row r="4567">
      <c r="A4567" s="12" t="inlineStr">
        <is>
          <t>I-I-0200</t>
        </is>
      </c>
      <c r="B4567" s="12" t="inlineStr">
        <is>
          <t>I</t>
        </is>
      </c>
      <c r="C4567" s="12" t="inlineStr">
        <is>
          <t>Modular / portable power</t>
        </is>
      </c>
      <c r="D4567" s="12" t="inlineStr">
        <is>
          <t>Instrumentation</t>
        </is>
      </c>
      <c r="E4567" s="12" t="inlineStr"/>
      <c r="F4567" s="12" t="inlineStr">
        <is>
          <t>PCM: power control module</t>
        </is>
      </c>
      <c r="G4567" s="12" t="inlineStr">
        <is>
          <t>RICE</t>
        </is>
      </c>
      <c r="H4567" s="12" t="inlineStr">
        <is>
          <t>RICE engine hall (8 engines)</t>
        </is>
      </c>
      <c r="I4567" s="12" t="inlineStr">
        <is>
          <t>Instrumentation</t>
        </is>
      </c>
      <c r="J4567" s="12" t="inlineStr">
        <is>
          <t>Instrumentation PLTC / TC-ER 300 V, #18 twisted shielded pairs, overall shield</t>
        </is>
      </c>
      <c r="K4567" s="12" t="inlineStr">
        <is>
          <t>PLTC|12 pr|18</t>
        </is>
      </c>
      <c r="L4567" s="12" t="inlineStr">
        <is>
          <t>12 pr</t>
        </is>
      </c>
      <c r="M4567" s="12" t="inlineStr">
        <is>
          <t>18</t>
        </is>
      </c>
      <c r="N4567" s="12" t="n">
        <v>1</v>
      </c>
      <c r="O4567" s="12" t="n">
        <v>1</v>
      </c>
      <c r="P4567" s="12" t="n"/>
      <c r="Q4567" s="12" t="n"/>
      <c r="R4567" s="12" t="n"/>
      <c r="S4567" s="12" t="inlineStr">
        <is>
          <t>Duct bank</t>
        </is>
      </c>
      <c r="T4567" s="17" t="n">
        <v>367</v>
      </c>
      <c r="U4567" s="17" t="n">
        <v>95</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I-I-0201</t>
        </is>
      </c>
      <c r="B4568" s="12" t="inlineStr">
        <is>
          <t>I</t>
        </is>
      </c>
      <c r="C4568" s="12" t="inlineStr">
        <is>
          <t>Modular / portable power</t>
        </is>
      </c>
      <c r="D4568" s="12" t="inlineStr">
        <is>
          <t>Thermocouples</t>
        </is>
      </c>
      <c r="E4568" s="12" t="inlineStr"/>
      <c r="F4568" s="12" t="inlineStr">
        <is>
          <t>PCM: power control module</t>
        </is>
      </c>
      <c r="G4568" s="12" t="inlineStr">
        <is>
          <t>RICE</t>
        </is>
      </c>
      <c r="H4568" s="12" t="inlineStr">
        <is>
          <t>RICE engine hall (8 engines)</t>
        </is>
      </c>
      <c r="I4568" s="12" t="inlineStr">
        <is>
          <t>Instrumentation</t>
        </is>
      </c>
      <c r="J4568" s="12" t="inlineStr">
        <is>
          <t>Thermocouple extension KX, #16 shielded pairs, PLTC</t>
        </is>
      </c>
      <c r="K4568" s="12" t="inlineStr">
        <is>
          <t>TCX|12 pr|16</t>
        </is>
      </c>
      <c r="L4568" s="12" t="inlineStr">
        <is>
          <t>12 pr</t>
        </is>
      </c>
      <c r="M4568" s="12" t="inlineStr">
        <is>
          <t>16</t>
        </is>
      </c>
      <c r="N4568" s="12" t="n">
        <v>1</v>
      </c>
      <c r="O4568" s="12" t="n">
        <v>1</v>
      </c>
      <c r="P4568" s="12" t="n"/>
      <c r="Q4568" s="12" t="n"/>
      <c r="R4568" s="12" t="n"/>
      <c r="S4568" s="12" t="inlineStr">
        <is>
          <t>Duct bank</t>
        </is>
      </c>
      <c r="T4568" s="17" t="n">
        <v>367</v>
      </c>
      <c r="U4568" s="17" t="n">
        <v>95</v>
      </c>
      <c r="V4568" s="17">
        <f>ROUNDUP((T4568+U4568+2*'Read Me'!$B$13)*(1+'Read Me'!$B$12),-1)</f>
        <v/>
      </c>
      <c r="W4568" s="17">
        <f>V4568*N4568*O4568</f>
        <v/>
      </c>
      <c r="X4568" s="12">
        <f>IF(LEFT(I4568,2)="MV",2*N4568*IF(L4568="1/C",O4568,1),0)</f>
        <v/>
      </c>
      <c r="Y4568" s="12">
        <f>IF(OR(LEFT(K4568,4)="LVAX",LEFT(K4568,6)="MV15AX",LEFT(K4568,4)="CTAX",LEFT(K4568,2)="W|"),2*N4568*O4568,0)</f>
        <v/>
      </c>
      <c r="Z4568" s="12" t="inlineStr"/>
      <c r="AA4568" s="12">
        <f>N4568*O4568</f>
        <v/>
      </c>
    </row>
    <row r="4569">
      <c r="A4569" s="12" t="inlineStr">
        <is>
          <t>I-I-0202</t>
        </is>
      </c>
      <c r="B4569" s="12" t="inlineStr">
        <is>
          <t>I</t>
        </is>
      </c>
      <c r="C4569" s="12" t="inlineStr">
        <is>
          <t>Modular / portable power</t>
        </is>
      </c>
      <c r="D4569" s="12" t="inlineStr">
        <is>
          <t>Thermocouples</t>
        </is>
      </c>
      <c r="E4569" s="12" t="inlineStr"/>
      <c r="F4569" s="12" t="inlineStr">
        <is>
          <t>PCM: power control module</t>
        </is>
      </c>
      <c r="G4569" s="12" t="inlineStr">
        <is>
          <t>RICE</t>
        </is>
      </c>
      <c r="H4569" s="12" t="inlineStr">
        <is>
          <t>RICE engine hall (8 engines)</t>
        </is>
      </c>
      <c r="I4569" s="12" t="inlineStr">
        <is>
          <t>Instrumentation</t>
        </is>
      </c>
      <c r="J4569" s="12" t="inlineStr">
        <is>
          <t>Thermocouple extension KX, #16 shielded pairs, PLTC</t>
        </is>
      </c>
      <c r="K4569" s="12" t="inlineStr">
        <is>
          <t>TCX|12 pr|16</t>
        </is>
      </c>
      <c r="L4569" s="12" t="inlineStr">
        <is>
          <t>12 pr</t>
        </is>
      </c>
      <c r="M4569" s="12" t="inlineStr">
        <is>
          <t>16</t>
        </is>
      </c>
      <c r="N4569" s="12" t="n">
        <v>1</v>
      </c>
      <c r="O4569" s="12" t="n">
        <v>1</v>
      </c>
      <c r="P4569" s="12" t="n"/>
      <c r="Q4569" s="12" t="n"/>
      <c r="R4569" s="12" t="n"/>
      <c r="S4569" s="12" t="inlineStr">
        <is>
          <t>Duct bank</t>
        </is>
      </c>
      <c r="T4569" s="17" t="n">
        <v>367</v>
      </c>
      <c r="U4569" s="17" t="n">
        <v>95</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I-I-0203</t>
        </is>
      </c>
      <c r="B4570" s="12" t="inlineStr">
        <is>
          <t>I</t>
        </is>
      </c>
      <c r="C4570" s="12" t="inlineStr">
        <is>
          <t>Modular / portable power</t>
        </is>
      </c>
      <c r="D4570" s="12" t="inlineStr">
        <is>
          <t>Thermocouples</t>
        </is>
      </c>
      <c r="E4570" s="12" t="inlineStr"/>
      <c r="F4570" s="12" t="inlineStr">
        <is>
          <t>PCM: power control module</t>
        </is>
      </c>
      <c r="G4570" s="12" t="inlineStr">
        <is>
          <t>RICE</t>
        </is>
      </c>
      <c r="H4570" s="12" t="inlineStr">
        <is>
          <t>RICE engine hall (8 engines)</t>
        </is>
      </c>
      <c r="I4570" s="12" t="inlineStr">
        <is>
          <t>Instrumentation</t>
        </is>
      </c>
      <c r="J4570" s="12" t="inlineStr">
        <is>
          <t>Thermocouple extension KX, #16 shielded pairs, PLTC</t>
        </is>
      </c>
      <c r="K4570" s="12" t="inlineStr">
        <is>
          <t>TCX|12 pr|16</t>
        </is>
      </c>
      <c r="L4570" s="12" t="inlineStr">
        <is>
          <t>12 pr</t>
        </is>
      </c>
      <c r="M4570" s="12" t="inlineStr">
        <is>
          <t>16</t>
        </is>
      </c>
      <c r="N4570" s="12" t="n">
        <v>1</v>
      </c>
      <c r="O4570" s="12" t="n">
        <v>1</v>
      </c>
      <c r="P4570" s="12" t="n"/>
      <c r="Q4570" s="12" t="n"/>
      <c r="R4570" s="12" t="n"/>
      <c r="S4570" s="12" t="inlineStr">
        <is>
          <t>Duct bank</t>
        </is>
      </c>
      <c r="T4570" s="17" t="n">
        <v>367</v>
      </c>
      <c r="U4570" s="17" t="n">
        <v>95</v>
      </c>
      <c r="V4570" s="17">
        <f>ROUNDUP((T4570+U4570+2*'Read Me'!$B$13)*(1+'Read Me'!$B$12),-1)</f>
        <v/>
      </c>
      <c r="W4570" s="17">
        <f>V4570*N4570*O4570</f>
        <v/>
      </c>
      <c r="X4570" s="12">
        <f>IF(LEFT(I4570,2)="MV",2*N4570*IF(L4570="1/C",O4570,1),0)</f>
        <v/>
      </c>
      <c r="Y4570" s="12">
        <f>IF(OR(LEFT(K4570,4)="LVAX",LEFT(K4570,6)="MV15AX",LEFT(K4570,4)="CTAX",LEFT(K4570,2)="W|"),2*N4570*O4570,0)</f>
        <v/>
      </c>
      <c r="Z4570" s="12" t="inlineStr"/>
      <c r="AA4570" s="12">
        <f>N4570*O4570</f>
        <v/>
      </c>
    </row>
    <row r="4571">
      <c r="A4571" s="12" t="inlineStr">
        <is>
          <t>I-I-0204</t>
        </is>
      </c>
      <c r="B4571" s="12" t="inlineStr">
        <is>
          <t>I</t>
        </is>
      </c>
      <c r="C4571" s="12" t="inlineStr">
        <is>
          <t>Modular / portable power</t>
        </is>
      </c>
      <c r="D4571" s="12" t="inlineStr">
        <is>
          <t>Thermocouples</t>
        </is>
      </c>
      <c r="E4571" s="12" t="inlineStr"/>
      <c r="F4571" s="12" t="inlineStr">
        <is>
          <t>PCM: power control module</t>
        </is>
      </c>
      <c r="G4571" s="12" t="inlineStr">
        <is>
          <t>RICE</t>
        </is>
      </c>
      <c r="H4571" s="12" t="inlineStr">
        <is>
          <t>RICE engine hall (8 engines)</t>
        </is>
      </c>
      <c r="I4571" s="12" t="inlineStr">
        <is>
          <t>Instrumentation</t>
        </is>
      </c>
      <c r="J4571" s="12" t="inlineStr">
        <is>
          <t>Thermocouple extension KX, #16 shielded pairs, PLTC</t>
        </is>
      </c>
      <c r="K4571" s="12" t="inlineStr">
        <is>
          <t>TCX|12 pr|16</t>
        </is>
      </c>
      <c r="L4571" s="12" t="inlineStr">
        <is>
          <t>12 pr</t>
        </is>
      </c>
      <c r="M4571" s="12" t="inlineStr">
        <is>
          <t>16</t>
        </is>
      </c>
      <c r="N4571" s="12" t="n">
        <v>1</v>
      </c>
      <c r="O4571" s="12" t="n">
        <v>1</v>
      </c>
      <c r="P4571" s="12" t="n"/>
      <c r="Q4571" s="12" t="n"/>
      <c r="R4571" s="12" t="n"/>
      <c r="S4571" s="12" t="inlineStr">
        <is>
          <t>Duct bank</t>
        </is>
      </c>
      <c r="T4571" s="17" t="n">
        <v>367</v>
      </c>
      <c r="U4571" s="17" t="n">
        <v>95</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I-I-0205</t>
        </is>
      </c>
      <c r="B4572" s="12" t="inlineStr">
        <is>
          <t>I</t>
        </is>
      </c>
      <c r="C4572" s="12" t="inlineStr">
        <is>
          <t>Modular / portable power</t>
        </is>
      </c>
      <c r="D4572" s="12" t="inlineStr">
        <is>
          <t>Thermocouples</t>
        </is>
      </c>
      <c r="E4572" s="12" t="inlineStr"/>
      <c r="F4572" s="12" t="inlineStr">
        <is>
          <t>PCM: power control module</t>
        </is>
      </c>
      <c r="G4572" s="12" t="inlineStr">
        <is>
          <t>RICE</t>
        </is>
      </c>
      <c r="H4572" s="12" t="inlineStr">
        <is>
          <t>RICE engine hall (8 engines)</t>
        </is>
      </c>
      <c r="I4572" s="12" t="inlineStr">
        <is>
          <t>Instrumentation</t>
        </is>
      </c>
      <c r="J4572" s="12" t="inlineStr">
        <is>
          <t>Thermocouple extension KX, #16 shielded pairs, PLTC</t>
        </is>
      </c>
      <c r="K4572" s="12" t="inlineStr">
        <is>
          <t>TCX|12 pr|16</t>
        </is>
      </c>
      <c r="L4572" s="12" t="inlineStr">
        <is>
          <t>12 pr</t>
        </is>
      </c>
      <c r="M4572" s="12" t="inlineStr">
        <is>
          <t>16</t>
        </is>
      </c>
      <c r="N4572" s="12" t="n">
        <v>1</v>
      </c>
      <c r="O4572" s="12" t="n">
        <v>1</v>
      </c>
      <c r="P4572" s="12" t="n"/>
      <c r="Q4572" s="12" t="n"/>
      <c r="R4572" s="12" t="n"/>
      <c r="S4572" s="12" t="inlineStr">
        <is>
          <t>Duct bank</t>
        </is>
      </c>
      <c r="T4572" s="17" t="n">
        <v>367</v>
      </c>
      <c r="U4572" s="17" t="n">
        <v>95</v>
      </c>
      <c r="V4572" s="17">
        <f>ROUNDUP((T4572+U4572+2*'Read Me'!$B$13)*(1+'Read Me'!$B$12),-1)</f>
        <v/>
      </c>
      <c r="W4572" s="17">
        <f>V4572*N4572*O4572</f>
        <v/>
      </c>
      <c r="X4572" s="12">
        <f>IF(LEFT(I4572,2)="MV",2*N4572*IF(L4572="1/C",O4572,1),0)</f>
        <v/>
      </c>
      <c r="Y4572" s="12">
        <f>IF(OR(LEFT(K4572,4)="LVAX",LEFT(K4572,6)="MV15AX",LEFT(K4572,4)="CTAX",LEFT(K4572,2)="W|"),2*N4572*O4572,0)</f>
        <v/>
      </c>
      <c r="Z4572" s="12" t="inlineStr"/>
      <c r="AA4572" s="12">
        <f>N4572*O4572</f>
        <v/>
      </c>
    </row>
    <row r="4573">
      <c r="A4573" s="12" t="inlineStr">
        <is>
          <t>I-I-0206</t>
        </is>
      </c>
      <c r="B4573" s="12" t="inlineStr">
        <is>
          <t>I</t>
        </is>
      </c>
      <c r="C4573" s="12" t="inlineStr">
        <is>
          <t>Modular / portable power</t>
        </is>
      </c>
      <c r="D4573" s="12" t="inlineStr">
        <is>
          <t>Thermocouples</t>
        </is>
      </c>
      <c r="E4573" s="12" t="inlineStr"/>
      <c r="F4573" s="12" t="inlineStr">
        <is>
          <t>PCM: power control module</t>
        </is>
      </c>
      <c r="G4573" s="12" t="inlineStr">
        <is>
          <t>RICE</t>
        </is>
      </c>
      <c r="H4573" s="12" t="inlineStr">
        <is>
          <t>RICE engine hall (8 engines)</t>
        </is>
      </c>
      <c r="I4573" s="12" t="inlineStr">
        <is>
          <t>Instrumentation</t>
        </is>
      </c>
      <c r="J4573" s="12" t="inlineStr">
        <is>
          <t>Thermocouple extension KX, #16 shielded pairs, PLTC</t>
        </is>
      </c>
      <c r="K4573" s="12" t="inlineStr">
        <is>
          <t>TCX|12 pr|16</t>
        </is>
      </c>
      <c r="L4573" s="12" t="inlineStr">
        <is>
          <t>12 pr</t>
        </is>
      </c>
      <c r="M4573" s="12" t="inlineStr">
        <is>
          <t>16</t>
        </is>
      </c>
      <c r="N4573" s="12" t="n">
        <v>1</v>
      </c>
      <c r="O4573" s="12" t="n">
        <v>1</v>
      </c>
      <c r="P4573" s="12" t="n"/>
      <c r="Q4573" s="12" t="n"/>
      <c r="R4573" s="12" t="n"/>
      <c r="S4573" s="12" t="inlineStr">
        <is>
          <t>Duct bank</t>
        </is>
      </c>
      <c r="T4573" s="17" t="n">
        <v>367</v>
      </c>
      <c r="U4573" s="17" t="n">
        <v>95</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I-I-0207</t>
        </is>
      </c>
      <c r="B4574" s="12" t="inlineStr">
        <is>
          <t>I</t>
        </is>
      </c>
      <c r="C4574" s="12" t="inlineStr">
        <is>
          <t>Modular / portable power</t>
        </is>
      </c>
      <c r="D4574" s="12" t="inlineStr">
        <is>
          <t>Analog instrument to JB JB-RICE-1-AI01: 20 x 1 pr (field cables)</t>
        </is>
      </c>
      <c r="E4574" s="12" t="inlineStr">
        <is>
          <t>RICE-1</t>
        </is>
      </c>
      <c r="F4574" s="12" t="inlineStr">
        <is>
          <t>RICE engine-generator 1</t>
        </is>
      </c>
      <c r="G4574" s="12" t="inlineStr">
        <is>
          <t>JB-RICE-1-AI01</t>
        </is>
      </c>
      <c r="H4574" s="12" t="inlineStr">
        <is>
          <t>RICE engine-generator 1</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20</v>
      </c>
      <c r="O4574" s="12" t="n">
        <v>1</v>
      </c>
      <c r="P4574" s="12" t="n"/>
      <c r="Q4574" s="12" t="n"/>
      <c r="R4574" s="12" t="n"/>
      <c r="S4574" s="12" t="inlineStr">
        <is>
          <t>Tray / conduit</t>
        </is>
      </c>
      <c r="T4574" s="17" t="n">
        <v>72</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I-I-0208</t>
        </is>
      </c>
      <c r="B4575" s="12" t="inlineStr">
        <is>
          <t>I</t>
        </is>
      </c>
      <c r="C4575" s="12" t="inlineStr">
        <is>
          <t>Modular / portable power</t>
        </is>
      </c>
      <c r="D4575" s="12" t="inlineStr">
        <is>
          <t>Home run JB-RICE-1-AI01 to the control / marshalling room</t>
        </is>
      </c>
      <c r="E4575" s="12" t="inlineStr"/>
      <c r="F4575" s="12" t="inlineStr">
        <is>
          <t>PCM: power control module</t>
        </is>
      </c>
      <c r="G4575" s="12" t="inlineStr">
        <is>
          <t>JB-RICE-1-AI01</t>
        </is>
      </c>
      <c r="H4575" s="12" t="inlineStr">
        <is>
          <t>RICE engine-generator 1</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7" t="n">
        <v>550</v>
      </c>
      <c r="U4575" s="17" t="n">
        <v>137</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I-I-0209</t>
        </is>
      </c>
      <c r="B4576" s="12" t="inlineStr">
        <is>
          <t>I</t>
        </is>
      </c>
      <c r="C4576" s="12" t="inlineStr">
        <is>
          <t>Modular / portable power</t>
        </is>
      </c>
      <c r="D4576" s="12" t="inlineStr">
        <is>
          <t>Analog instrument to JB JB-RICE-1-AI02: 20 x 1 pr (field cables)</t>
        </is>
      </c>
      <c r="E4576" s="12" t="inlineStr">
        <is>
          <t>RICE-1</t>
        </is>
      </c>
      <c r="F4576" s="12" t="inlineStr">
        <is>
          <t>RICE engine-generator 1</t>
        </is>
      </c>
      <c r="G4576" s="12" t="inlineStr">
        <is>
          <t>JB-RICE-1-AI02</t>
        </is>
      </c>
      <c r="H4576" s="12" t="inlineStr">
        <is>
          <t>RICE engine-generator 1</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20</v>
      </c>
      <c r="O4576" s="12" t="n">
        <v>1</v>
      </c>
      <c r="P4576" s="12" t="n"/>
      <c r="Q4576" s="12" t="n"/>
      <c r="R4576" s="12" t="n"/>
      <c r="S4576" s="12" t="inlineStr">
        <is>
          <t>Tray / conduit</t>
        </is>
      </c>
      <c r="T4576" s="17" t="n">
        <v>72</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I-I-0210</t>
        </is>
      </c>
      <c r="B4577" s="12" t="inlineStr">
        <is>
          <t>I</t>
        </is>
      </c>
      <c r="C4577" s="12" t="inlineStr">
        <is>
          <t>Modular / portable power</t>
        </is>
      </c>
      <c r="D4577" s="12" t="inlineStr">
        <is>
          <t>Home run JB-RICE-1-AI02 to the control / marshalling room</t>
        </is>
      </c>
      <c r="E4577" s="12" t="inlineStr"/>
      <c r="F4577" s="12" t="inlineStr">
        <is>
          <t>PCM: power control module</t>
        </is>
      </c>
      <c r="G4577" s="12" t="inlineStr">
        <is>
          <t>JB-RICE-1-AI02</t>
        </is>
      </c>
      <c r="H4577" s="12" t="inlineStr">
        <is>
          <t>RICE engine-generator 1</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Duct bank</t>
        </is>
      </c>
      <c r="T4577" s="17" t="n">
        <v>550</v>
      </c>
      <c r="U4577" s="17" t="n">
        <v>137</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I-I-0211</t>
        </is>
      </c>
      <c r="B4578" s="12" t="inlineStr">
        <is>
          <t>I</t>
        </is>
      </c>
      <c r="C4578" s="12" t="inlineStr">
        <is>
          <t>Modular / portable power</t>
        </is>
      </c>
      <c r="D4578" s="12" t="inlineStr">
        <is>
          <t>Analog instrument to JB JB-RICE-1-AI03: 20 x 1 pr (field cables)</t>
        </is>
      </c>
      <c r="E4578" s="12" t="inlineStr">
        <is>
          <t>RICE-1</t>
        </is>
      </c>
      <c r="F4578" s="12" t="inlineStr">
        <is>
          <t>RICE engine-generator 1</t>
        </is>
      </c>
      <c r="G4578" s="12" t="inlineStr">
        <is>
          <t>JB-RICE-1-AI03</t>
        </is>
      </c>
      <c r="H4578" s="12" t="inlineStr">
        <is>
          <t>RICE engine-generator 1</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20</v>
      </c>
      <c r="O4578" s="12" t="n">
        <v>1</v>
      </c>
      <c r="P4578" s="12" t="n"/>
      <c r="Q4578" s="12" t="n"/>
      <c r="R4578" s="12" t="n"/>
      <c r="S4578" s="12" t="inlineStr">
        <is>
          <t>Tray / conduit</t>
        </is>
      </c>
      <c r="T4578" s="17" t="n">
        <v>72</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I-I-0212</t>
        </is>
      </c>
      <c r="B4579" s="12" t="inlineStr">
        <is>
          <t>I</t>
        </is>
      </c>
      <c r="C4579" s="12" t="inlineStr">
        <is>
          <t>Modular / portable power</t>
        </is>
      </c>
      <c r="D4579" s="12" t="inlineStr">
        <is>
          <t>Home run JB-RICE-1-AI03 to the control / marshalling room</t>
        </is>
      </c>
      <c r="E4579" s="12" t="inlineStr"/>
      <c r="F4579" s="12" t="inlineStr">
        <is>
          <t>PCM: power control module</t>
        </is>
      </c>
      <c r="G4579" s="12" t="inlineStr">
        <is>
          <t>JB-RICE-1-AI03</t>
        </is>
      </c>
      <c r="H4579" s="12" t="inlineStr">
        <is>
          <t>RICE engine-generator 1</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7" t="n">
        <v>550</v>
      </c>
      <c r="U4579" s="17" t="n">
        <v>137</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I-I-0213</t>
        </is>
      </c>
      <c r="B4580" s="12" t="inlineStr">
        <is>
          <t>I</t>
        </is>
      </c>
      <c r="C4580" s="12" t="inlineStr">
        <is>
          <t>Modular / portable power</t>
        </is>
      </c>
      <c r="D4580" s="12" t="inlineStr">
        <is>
          <t>Analog instrument to JB JB-RICE-1-AI04: 20 x 1 pr (field cables)</t>
        </is>
      </c>
      <c r="E4580" s="12" t="inlineStr">
        <is>
          <t>RICE-1</t>
        </is>
      </c>
      <c r="F4580" s="12" t="inlineStr">
        <is>
          <t>RICE engine-generator 1</t>
        </is>
      </c>
      <c r="G4580" s="12" t="inlineStr">
        <is>
          <t>JB-RICE-1-AI04</t>
        </is>
      </c>
      <c r="H4580" s="12" t="inlineStr">
        <is>
          <t>RICE engine-generator 1</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20</v>
      </c>
      <c r="O4580" s="12" t="n">
        <v>1</v>
      </c>
      <c r="P4580" s="12" t="n"/>
      <c r="Q4580" s="12" t="n"/>
      <c r="R4580" s="12" t="n"/>
      <c r="S4580" s="12" t="inlineStr">
        <is>
          <t>Tray / conduit</t>
        </is>
      </c>
      <c r="T4580" s="17" t="n">
        <v>72</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I-I-0214</t>
        </is>
      </c>
      <c r="B4581" s="12" t="inlineStr">
        <is>
          <t>I</t>
        </is>
      </c>
      <c r="C4581" s="12" t="inlineStr">
        <is>
          <t>Modular / portable power</t>
        </is>
      </c>
      <c r="D4581" s="12" t="inlineStr">
        <is>
          <t>Home run JB-RICE-1-AI04 to the control / marshalling room</t>
        </is>
      </c>
      <c r="E4581" s="12" t="inlineStr"/>
      <c r="F4581" s="12" t="inlineStr">
        <is>
          <t>PCM: power control module</t>
        </is>
      </c>
      <c r="G4581" s="12" t="inlineStr">
        <is>
          <t>JB-RICE-1-AI04</t>
        </is>
      </c>
      <c r="H4581" s="12" t="inlineStr">
        <is>
          <t>RICE engine-generator 1</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7" t="n">
        <v>550</v>
      </c>
      <c r="U4581" s="17" t="n">
        <v>137</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I-I-0215</t>
        </is>
      </c>
      <c r="B4582" s="12" t="inlineStr">
        <is>
          <t>I</t>
        </is>
      </c>
      <c r="C4582" s="12" t="inlineStr">
        <is>
          <t>Modular / portable power</t>
        </is>
      </c>
      <c r="D4582" s="12" t="inlineStr">
        <is>
          <t>Discrete device to JB JB-RICE-1-DI01: 20 x 1 pr (field cables)</t>
        </is>
      </c>
      <c r="E4582" s="12" t="inlineStr">
        <is>
          <t>RICE-1</t>
        </is>
      </c>
      <c r="F4582" s="12" t="inlineStr">
        <is>
          <t>RICE engine-generator 1</t>
        </is>
      </c>
      <c r="G4582" s="12" t="inlineStr">
        <is>
          <t>JB-RICE-1-DI01</t>
        </is>
      </c>
      <c r="H4582" s="12" t="inlineStr">
        <is>
          <t>RICE engine-generator 1</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20</v>
      </c>
      <c r="O4582" s="12" t="n">
        <v>1</v>
      </c>
      <c r="P4582" s="12" t="n"/>
      <c r="Q4582" s="12" t="n"/>
      <c r="R4582" s="12" t="n"/>
      <c r="S4582" s="12" t="inlineStr">
        <is>
          <t>Tray / conduit</t>
        </is>
      </c>
      <c r="T4582" s="17" t="n">
        <v>72</v>
      </c>
      <c r="U4582" s="17" t="n">
        <v>10</v>
      </c>
      <c r="V4582" s="17">
        <f>ROUNDUP((T4582+U4582+2*'Read Me'!$B$13)*(1+'Read Me'!$B$12),-1)</f>
        <v/>
      </c>
      <c r="W4582" s="17">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I-I-0216</t>
        </is>
      </c>
      <c r="B4583" s="12" t="inlineStr">
        <is>
          <t>I</t>
        </is>
      </c>
      <c r="C4583" s="12" t="inlineStr">
        <is>
          <t>Modular / portable power</t>
        </is>
      </c>
      <c r="D4583" s="12" t="inlineStr">
        <is>
          <t>Home run JB-RICE-1-DI01 to the control / marshalling room</t>
        </is>
      </c>
      <c r="E4583" s="12" t="inlineStr"/>
      <c r="F4583" s="12" t="inlineStr">
        <is>
          <t>PCM: power control module</t>
        </is>
      </c>
      <c r="G4583" s="12" t="inlineStr">
        <is>
          <t>JB-RICE-1-DI01</t>
        </is>
      </c>
      <c r="H4583" s="12" t="inlineStr">
        <is>
          <t>RICE engine-generator 1</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7" t="n">
        <v>550</v>
      </c>
      <c r="U4583" s="17" t="n">
        <v>137</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I-I-0217</t>
        </is>
      </c>
      <c r="B4584" s="12" t="inlineStr">
        <is>
          <t>I</t>
        </is>
      </c>
      <c r="C4584" s="12" t="inlineStr">
        <is>
          <t>Modular / portable power</t>
        </is>
      </c>
      <c r="D4584" s="12" t="inlineStr">
        <is>
          <t>Discrete device to JB JB-RICE-1-DI02: 20 x 1 pr (field cables)</t>
        </is>
      </c>
      <c r="E4584" s="12" t="inlineStr">
        <is>
          <t>RICE-1</t>
        </is>
      </c>
      <c r="F4584" s="12" t="inlineStr">
        <is>
          <t>RICE engine-generator 1</t>
        </is>
      </c>
      <c r="G4584" s="12" t="inlineStr">
        <is>
          <t>JB-RICE-1-DI02</t>
        </is>
      </c>
      <c r="H4584" s="12" t="inlineStr">
        <is>
          <t>RICE engine-generator 1</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20</v>
      </c>
      <c r="O4584" s="12" t="n">
        <v>1</v>
      </c>
      <c r="P4584" s="12" t="n"/>
      <c r="Q4584" s="12" t="n"/>
      <c r="R4584" s="12" t="n"/>
      <c r="S4584" s="12" t="inlineStr">
        <is>
          <t>Tray / conduit</t>
        </is>
      </c>
      <c r="T4584" s="17" t="n">
        <v>72</v>
      </c>
      <c r="U4584" s="17" t="n">
        <v>10</v>
      </c>
      <c r="V4584" s="17">
        <f>ROUNDUP((T4584+U4584+2*'Read Me'!$B$13)*(1+'Read Me'!$B$12),-1)</f>
        <v/>
      </c>
      <c r="W4584" s="17">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I-I-0218</t>
        </is>
      </c>
      <c r="B4585" s="12" t="inlineStr">
        <is>
          <t>I</t>
        </is>
      </c>
      <c r="C4585" s="12" t="inlineStr">
        <is>
          <t>Modular / portable power</t>
        </is>
      </c>
      <c r="D4585" s="12" t="inlineStr">
        <is>
          <t>Home run JB-RICE-1-DI02 to the control / marshalling room</t>
        </is>
      </c>
      <c r="E4585" s="12" t="inlineStr"/>
      <c r="F4585" s="12" t="inlineStr">
        <is>
          <t>PCM: power control module</t>
        </is>
      </c>
      <c r="G4585" s="12" t="inlineStr">
        <is>
          <t>JB-RICE-1-DI02</t>
        </is>
      </c>
      <c r="H4585" s="12" t="inlineStr">
        <is>
          <t>RICE engine-generator 1</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7" t="n">
        <v>550</v>
      </c>
      <c r="U4585" s="17" t="n">
        <v>137</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I-I-0219</t>
        </is>
      </c>
      <c r="B4586" s="12" t="inlineStr">
        <is>
          <t>I</t>
        </is>
      </c>
      <c r="C4586" s="12" t="inlineStr">
        <is>
          <t>Modular / portable power</t>
        </is>
      </c>
      <c r="D4586" s="12" t="inlineStr">
        <is>
          <t>Discrete device to JB JB-RICE-1-DI03: 20 x 1 pr (field cables)</t>
        </is>
      </c>
      <c r="E4586" s="12" t="inlineStr">
        <is>
          <t>RICE-1</t>
        </is>
      </c>
      <c r="F4586" s="12" t="inlineStr">
        <is>
          <t>RICE engine-generator 1</t>
        </is>
      </c>
      <c r="G4586" s="12" t="inlineStr">
        <is>
          <t>JB-RICE-1-DI03</t>
        </is>
      </c>
      <c r="H4586" s="12" t="inlineStr">
        <is>
          <t>RICE engine-generator 1</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20</v>
      </c>
      <c r="O4586" s="12" t="n">
        <v>1</v>
      </c>
      <c r="P4586" s="12" t="n"/>
      <c r="Q4586" s="12" t="n"/>
      <c r="R4586" s="12" t="n"/>
      <c r="S4586" s="12" t="inlineStr">
        <is>
          <t>Tray / conduit</t>
        </is>
      </c>
      <c r="T4586" s="17" t="n">
        <v>72</v>
      </c>
      <c r="U4586" s="17" t="n">
        <v>10</v>
      </c>
      <c r="V4586" s="17">
        <f>ROUNDUP((T4586+U4586+2*'Read Me'!$B$13)*(1+'Read Me'!$B$12),-1)</f>
        <v/>
      </c>
      <c r="W4586" s="17">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I-I-0220</t>
        </is>
      </c>
      <c r="B4587" s="12" t="inlineStr">
        <is>
          <t>I</t>
        </is>
      </c>
      <c r="C4587" s="12" t="inlineStr">
        <is>
          <t>Modular / portable power</t>
        </is>
      </c>
      <c r="D4587" s="12" t="inlineStr">
        <is>
          <t>Home run JB-RICE-1-DI03 to the control / marshalling room</t>
        </is>
      </c>
      <c r="E4587" s="12" t="inlineStr"/>
      <c r="F4587" s="12" t="inlineStr">
        <is>
          <t>PCM: power control module</t>
        </is>
      </c>
      <c r="G4587" s="12" t="inlineStr">
        <is>
          <t>JB-RICE-1-DI03</t>
        </is>
      </c>
      <c r="H4587" s="12" t="inlineStr">
        <is>
          <t>RICE engine-generator 1</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7" t="n">
        <v>550</v>
      </c>
      <c r="U4587" s="17" t="n">
        <v>137</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I-I-0221</t>
        </is>
      </c>
      <c r="B4588" s="12" t="inlineStr">
        <is>
          <t>I</t>
        </is>
      </c>
      <c r="C4588" s="12" t="inlineStr">
        <is>
          <t>Modular / portable power</t>
        </is>
      </c>
      <c r="D4588" s="12" t="inlineStr">
        <is>
          <t>Thermocouple to TC JB JB-RICE-1-TC01: 20 x 1 pr (field cables)</t>
        </is>
      </c>
      <c r="E4588" s="12" t="inlineStr">
        <is>
          <t>RICE-1</t>
        </is>
      </c>
      <c r="F4588" s="12" t="inlineStr">
        <is>
          <t>RICE engine-generator 1</t>
        </is>
      </c>
      <c r="G4588" s="12" t="inlineStr">
        <is>
          <t>JB-RICE-1-TC01</t>
        </is>
      </c>
      <c r="H4588" s="12" t="inlineStr">
        <is>
          <t>RICE engine-generator 1</t>
        </is>
      </c>
      <c r="I4588" s="12" t="inlineStr">
        <is>
          <t>Instrumentation</t>
        </is>
      </c>
      <c r="J4588" s="12" t="inlineStr">
        <is>
          <t>Thermocouple extension KX, #16 shielded pairs, PLTC</t>
        </is>
      </c>
      <c r="K4588" s="12" t="inlineStr">
        <is>
          <t>TCX|1 pr|16</t>
        </is>
      </c>
      <c r="L4588" s="12" t="inlineStr">
        <is>
          <t>1 pr</t>
        </is>
      </c>
      <c r="M4588" s="12" t="inlineStr">
        <is>
          <t>16</t>
        </is>
      </c>
      <c r="N4588" s="12" t="n">
        <v>20</v>
      </c>
      <c r="O4588" s="12" t="n">
        <v>1</v>
      </c>
      <c r="P4588" s="12" t="n"/>
      <c r="Q4588" s="12" t="n"/>
      <c r="R4588" s="12" t="n"/>
      <c r="S4588" s="12" t="inlineStr">
        <is>
          <t>Tray / conduit</t>
        </is>
      </c>
      <c r="T4588" s="17" t="n">
        <v>72</v>
      </c>
      <c r="U4588" s="17" t="n">
        <v>10</v>
      </c>
      <c r="V4588" s="17">
        <f>ROUNDUP((T4588+U4588+2*'Read Me'!$B$13)*(1+'Read Me'!$B$12),-1)</f>
        <v/>
      </c>
      <c r="W4588" s="17">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I-I-0222</t>
        </is>
      </c>
      <c r="B4589" s="12" t="inlineStr">
        <is>
          <t>I</t>
        </is>
      </c>
      <c r="C4589" s="12" t="inlineStr">
        <is>
          <t>Modular / portable power</t>
        </is>
      </c>
      <c r="D4589" s="12" t="inlineStr">
        <is>
          <t>Home run JB-RICE-1-TC01 to the control / marshalling room</t>
        </is>
      </c>
      <c r="E4589" s="12" t="inlineStr"/>
      <c r="F4589" s="12" t="inlineStr">
        <is>
          <t>PCM: power control module</t>
        </is>
      </c>
      <c r="G4589" s="12" t="inlineStr">
        <is>
          <t>JB-RICE-1-TC01</t>
        </is>
      </c>
      <c r="H4589" s="12" t="inlineStr">
        <is>
          <t>RICE engine-generator 1</t>
        </is>
      </c>
      <c r="I4589" s="12" t="inlineStr">
        <is>
          <t>Instrumentation</t>
        </is>
      </c>
      <c r="J4589" s="12" t="inlineStr">
        <is>
          <t>Thermocouple extension KX, #16 shielded pairs, PLTC</t>
        </is>
      </c>
      <c r="K4589" s="12" t="inlineStr">
        <is>
          <t>TCX|24 pr|16</t>
        </is>
      </c>
      <c r="L4589" s="12" t="inlineStr">
        <is>
          <t>24 pr</t>
        </is>
      </c>
      <c r="M4589" s="12" t="inlineStr">
        <is>
          <t>16</t>
        </is>
      </c>
      <c r="N4589" s="12" t="n">
        <v>1</v>
      </c>
      <c r="O4589" s="12" t="n">
        <v>1</v>
      </c>
      <c r="P4589" s="12" t="n"/>
      <c r="Q4589" s="12" t="n"/>
      <c r="R4589" s="12" t="n"/>
      <c r="S4589" s="12" t="inlineStr">
        <is>
          <t>Duct bank</t>
        </is>
      </c>
      <c r="T4589" s="17" t="n">
        <v>550</v>
      </c>
      <c r="U4589" s="17" t="n">
        <v>137</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I-I-0223</t>
        </is>
      </c>
      <c r="B4590" s="12" t="inlineStr">
        <is>
          <t>I</t>
        </is>
      </c>
      <c r="C4590" s="12" t="inlineStr">
        <is>
          <t>Modular / portable power</t>
        </is>
      </c>
      <c r="D4590" s="12" t="inlineStr">
        <is>
          <t>Thermocouple to TC JB JB-RICE-1-TC02: 10 x 1 pr (field cables)</t>
        </is>
      </c>
      <c r="E4590" s="12" t="inlineStr">
        <is>
          <t>RICE-1</t>
        </is>
      </c>
      <c r="F4590" s="12" t="inlineStr">
        <is>
          <t>RICE engine-generator 1</t>
        </is>
      </c>
      <c r="G4590" s="12" t="inlineStr">
        <is>
          <t>JB-RICE-1-TC02</t>
        </is>
      </c>
      <c r="H4590" s="12" t="inlineStr">
        <is>
          <t>RICE engine-generator 1</t>
        </is>
      </c>
      <c r="I4590" s="12" t="inlineStr">
        <is>
          <t>Instrumentation</t>
        </is>
      </c>
      <c r="J4590" s="12" t="inlineStr">
        <is>
          <t>Thermocouple extension KX, #16 shielded pairs, PLTC</t>
        </is>
      </c>
      <c r="K4590" s="12" t="inlineStr">
        <is>
          <t>TCX|1 pr|16</t>
        </is>
      </c>
      <c r="L4590" s="12" t="inlineStr">
        <is>
          <t>1 pr</t>
        </is>
      </c>
      <c r="M4590" s="12" t="inlineStr">
        <is>
          <t>16</t>
        </is>
      </c>
      <c r="N4590" s="12" t="n">
        <v>10</v>
      </c>
      <c r="O4590" s="12" t="n">
        <v>1</v>
      </c>
      <c r="P4590" s="12" t="n"/>
      <c r="Q4590" s="12" t="n"/>
      <c r="R4590" s="12" t="n"/>
      <c r="S4590" s="12" t="inlineStr">
        <is>
          <t>Tray / conduit</t>
        </is>
      </c>
      <c r="T4590" s="17" t="n">
        <v>72</v>
      </c>
      <c r="U4590" s="17" t="n">
        <v>10</v>
      </c>
      <c r="V4590" s="17">
        <f>ROUNDUP((T4590+U4590+2*'Read Me'!$B$13)*(1+'Read Me'!$B$12),-1)</f>
        <v/>
      </c>
      <c r="W4590" s="17">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I-I-0224</t>
        </is>
      </c>
      <c r="B4591" s="12" t="inlineStr">
        <is>
          <t>I</t>
        </is>
      </c>
      <c r="C4591" s="12" t="inlineStr">
        <is>
          <t>Modular / portable power</t>
        </is>
      </c>
      <c r="D4591" s="12" t="inlineStr">
        <is>
          <t>Home run JB-RICE-1-TC02 to the control / marshalling room</t>
        </is>
      </c>
      <c r="E4591" s="12" t="inlineStr"/>
      <c r="F4591" s="12" t="inlineStr">
        <is>
          <t>PCM: power control module</t>
        </is>
      </c>
      <c r="G4591" s="12" t="inlineStr">
        <is>
          <t>JB-RICE-1-TC02</t>
        </is>
      </c>
      <c r="H4591" s="12" t="inlineStr">
        <is>
          <t>RICE engine-generator 1</t>
        </is>
      </c>
      <c r="I4591" s="12" t="inlineStr">
        <is>
          <t>Instrumentation</t>
        </is>
      </c>
      <c r="J4591" s="12" t="inlineStr">
        <is>
          <t>Thermocouple extension KX, #16 shielded pairs, PLTC</t>
        </is>
      </c>
      <c r="K4591" s="12" t="inlineStr">
        <is>
          <t>TCX|24 pr|16</t>
        </is>
      </c>
      <c r="L4591" s="12" t="inlineStr">
        <is>
          <t>24 pr</t>
        </is>
      </c>
      <c r="M4591" s="12" t="inlineStr">
        <is>
          <t>16</t>
        </is>
      </c>
      <c r="N4591" s="12" t="n">
        <v>1</v>
      </c>
      <c r="O4591" s="12" t="n">
        <v>1</v>
      </c>
      <c r="P4591" s="12" t="n"/>
      <c r="Q4591" s="12" t="n"/>
      <c r="R4591" s="12" t="n"/>
      <c r="S4591" s="12" t="inlineStr">
        <is>
          <t>Duct bank</t>
        </is>
      </c>
      <c r="T4591" s="17" t="n">
        <v>550</v>
      </c>
      <c r="U4591" s="17" t="n">
        <v>137</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I-I-0225</t>
        </is>
      </c>
      <c r="B4592" s="12" t="inlineStr">
        <is>
          <t>I</t>
        </is>
      </c>
      <c r="C4592" s="12" t="inlineStr">
        <is>
          <t>Modular / portable power</t>
        </is>
      </c>
      <c r="D4592" s="12" t="inlineStr">
        <is>
          <t>RTD to JB JB-RICE-1-RTD01: 10 x 1 tri (field cables)</t>
        </is>
      </c>
      <c r="E4592" s="12" t="inlineStr">
        <is>
          <t>RICE-1</t>
        </is>
      </c>
      <c r="F4592" s="12" t="inlineStr">
        <is>
          <t>RICE engine-generator 1</t>
        </is>
      </c>
      <c r="G4592" s="12" t="inlineStr">
        <is>
          <t>JB-RICE-1-RTD01</t>
        </is>
      </c>
      <c r="H4592" s="12" t="inlineStr">
        <is>
          <t>RICE engine-generator 1</t>
        </is>
      </c>
      <c r="I4592" s="12" t="inlineStr">
        <is>
          <t>Instrumentation</t>
        </is>
      </c>
      <c r="J4592" s="12" t="inlineStr">
        <is>
          <t>RTD cable, #18 shielded triads, PLTC</t>
        </is>
      </c>
      <c r="K4592" s="12" t="inlineStr">
        <is>
          <t>RTD|1 tri|18</t>
        </is>
      </c>
      <c r="L4592" s="12" t="inlineStr">
        <is>
          <t>1 tri</t>
        </is>
      </c>
      <c r="M4592" s="12" t="inlineStr">
        <is>
          <t>18</t>
        </is>
      </c>
      <c r="N4592" s="12" t="n">
        <v>10</v>
      </c>
      <c r="O4592" s="12" t="n">
        <v>1</v>
      </c>
      <c r="P4592" s="12" t="n"/>
      <c r="Q4592" s="12" t="n"/>
      <c r="R4592" s="12" t="n"/>
      <c r="S4592" s="12" t="inlineStr">
        <is>
          <t>Tray / conduit</t>
        </is>
      </c>
      <c r="T4592" s="17" t="n">
        <v>72</v>
      </c>
      <c r="U4592" s="17" t="n">
        <v>10</v>
      </c>
      <c r="V4592" s="17">
        <f>ROUNDUP((T4592+U4592+2*'Read Me'!$B$13)*(1+'Read Me'!$B$12),-1)</f>
        <v/>
      </c>
      <c r="W4592" s="17">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I-I-0226</t>
        </is>
      </c>
      <c r="B4593" s="12" t="inlineStr">
        <is>
          <t>I</t>
        </is>
      </c>
      <c r="C4593" s="12" t="inlineStr">
        <is>
          <t>Modular / portable power</t>
        </is>
      </c>
      <c r="D4593" s="12" t="inlineStr">
        <is>
          <t>Home run JB-RICE-1-RTD01 to the control / marshalling room</t>
        </is>
      </c>
      <c r="E4593" s="12" t="inlineStr"/>
      <c r="F4593" s="12" t="inlineStr">
        <is>
          <t>PCM: power control module</t>
        </is>
      </c>
      <c r="G4593" s="12" t="inlineStr">
        <is>
          <t>JB-RICE-1-RTD01</t>
        </is>
      </c>
      <c r="H4593" s="12" t="inlineStr">
        <is>
          <t>RICE engine-generator 1</t>
        </is>
      </c>
      <c r="I4593" s="12" t="inlineStr">
        <is>
          <t>Instrumentation</t>
        </is>
      </c>
      <c r="J4593" s="12" t="inlineStr">
        <is>
          <t>RTD cable, #18 shielded triads, PLTC</t>
        </is>
      </c>
      <c r="K4593" s="12" t="inlineStr">
        <is>
          <t>RTD|12 tri|18</t>
        </is>
      </c>
      <c r="L4593" s="12" t="inlineStr">
        <is>
          <t>12 tri</t>
        </is>
      </c>
      <c r="M4593" s="12" t="inlineStr">
        <is>
          <t>18</t>
        </is>
      </c>
      <c r="N4593" s="12" t="n">
        <v>1</v>
      </c>
      <c r="O4593" s="12" t="n">
        <v>1</v>
      </c>
      <c r="P4593" s="12" t="n"/>
      <c r="Q4593" s="12" t="n"/>
      <c r="R4593" s="12" t="n"/>
      <c r="S4593" s="12" t="inlineStr">
        <is>
          <t>Duct bank</t>
        </is>
      </c>
      <c r="T4593" s="17" t="n">
        <v>550</v>
      </c>
      <c r="U4593" s="17" t="n">
        <v>137</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I-I-0227</t>
        </is>
      </c>
      <c r="B4594" s="12" t="inlineStr">
        <is>
          <t>I</t>
        </is>
      </c>
      <c r="C4594" s="12" t="inlineStr">
        <is>
          <t>Modular / portable power</t>
        </is>
      </c>
      <c r="D4594" s="12" t="inlineStr">
        <is>
          <t>RTD to JB JB-RICE-1-RTD02: 2 x 1 tri (field cables)</t>
        </is>
      </c>
      <c r="E4594" s="12" t="inlineStr">
        <is>
          <t>RICE-1</t>
        </is>
      </c>
      <c r="F4594" s="12" t="inlineStr">
        <is>
          <t>RICE engine-generator 1</t>
        </is>
      </c>
      <c r="G4594" s="12" t="inlineStr">
        <is>
          <t>JB-RICE-1-RTD02</t>
        </is>
      </c>
      <c r="H4594" s="12" t="inlineStr">
        <is>
          <t>RICE engine-generator 1</t>
        </is>
      </c>
      <c r="I4594" s="12" t="inlineStr">
        <is>
          <t>Instrumentation</t>
        </is>
      </c>
      <c r="J4594" s="12" t="inlineStr">
        <is>
          <t>RTD cable, #18 shielded triads, PLTC</t>
        </is>
      </c>
      <c r="K4594" s="12" t="inlineStr">
        <is>
          <t>RTD|1 tri|18</t>
        </is>
      </c>
      <c r="L4594" s="12" t="inlineStr">
        <is>
          <t>1 tri</t>
        </is>
      </c>
      <c r="M4594" s="12" t="inlineStr">
        <is>
          <t>18</t>
        </is>
      </c>
      <c r="N4594" s="12" t="n">
        <v>2</v>
      </c>
      <c r="O4594" s="12" t="n">
        <v>1</v>
      </c>
      <c r="P4594" s="12" t="n"/>
      <c r="Q4594" s="12" t="n"/>
      <c r="R4594" s="12" t="n"/>
      <c r="S4594" s="12" t="inlineStr">
        <is>
          <t>Tray / conduit</t>
        </is>
      </c>
      <c r="T4594" s="17" t="n">
        <v>72</v>
      </c>
      <c r="U4594" s="17" t="n">
        <v>10</v>
      </c>
      <c r="V4594" s="17">
        <f>ROUNDUP((T4594+U4594+2*'Read Me'!$B$13)*(1+'Read Me'!$B$12),-1)</f>
        <v/>
      </c>
      <c r="W4594" s="17">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I-I-0228</t>
        </is>
      </c>
      <c r="B4595" s="12" t="inlineStr">
        <is>
          <t>I</t>
        </is>
      </c>
      <c r="C4595" s="12" t="inlineStr">
        <is>
          <t>Modular / portable power</t>
        </is>
      </c>
      <c r="D4595" s="12" t="inlineStr">
        <is>
          <t>Home run JB-RICE-1-RTD02 to the control / marshalling room</t>
        </is>
      </c>
      <c r="E4595" s="12" t="inlineStr"/>
      <c r="F4595" s="12" t="inlineStr">
        <is>
          <t>PCM: power control module</t>
        </is>
      </c>
      <c r="G4595" s="12" t="inlineStr">
        <is>
          <t>JB-RICE-1-RTD02</t>
        </is>
      </c>
      <c r="H4595" s="12" t="inlineStr">
        <is>
          <t>RICE engine-generator 1</t>
        </is>
      </c>
      <c r="I4595" s="12" t="inlineStr">
        <is>
          <t>Instrumentation</t>
        </is>
      </c>
      <c r="J4595" s="12" t="inlineStr">
        <is>
          <t>RTD cable, #18 shielded triads, PLTC</t>
        </is>
      </c>
      <c r="K4595" s="12" t="inlineStr">
        <is>
          <t>RTD|12 tri|18</t>
        </is>
      </c>
      <c r="L4595" s="12" t="inlineStr">
        <is>
          <t>12 tri</t>
        </is>
      </c>
      <c r="M4595" s="12" t="inlineStr">
        <is>
          <t>18</t>
        </is>
      </c>
      <c r="N4595" s="12" t="n">
        <v>1</v>
      </c>
      <c r="O4595" s="12" t="n">
        <v>1</v>
      </c>
      <c r="P4595" s="12" t="n"/>
      <c r="Q4595" s="12" t="n"/>
      <c r="R4595" s="12" t="n"/>
      <c r="S4595" s="12" t="inlineStr">
        <is>
          <t>Duct bank</t>
        </is>
      </c>
      <c r="T4595" s="17" t="n">
        <v>550</v>
      </c>
      <c r="U4595" s="17" t="n">
        <v>137</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I-I-0229</t>
        </is>
      </c>
      <c r="B4596" s="12" t="inlineStr">
        <is>
          <t>I</t>
        </is>
      </c>
      <c r="C4596" s="12" t="inlineStr">
        <is>
          <t>Modular / portable power</t>
        </is>
      </c>
      <c r="D4596" s="12" t="inlineStr">
        <is>
          <t>Analog instrument to JB JB-RICE-2-AI01: 20 x 1 pr (field cables)</t>
        </is>
      </c>
      <c r="E4596" s="12" t="inlineStr">
        <is>
          <t>RICE-2</t>
        </is>
      </c>
      <c r="F4596" s="12" t="inlineStr">
        <is>
          <t>RICE engine-generator 2</t>
        </is>
      </c>
      <c r="G4596" s="12" t="inlineStr">
        <is>
          <t>JB-RICE-2-AI01</t>
        </is>
      </c>
      <c r="H4596" s="12" t="inlineStr">
        <is>
          <t>RICE engine-generator 2</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7" t="n">
        <v>72</v>
      </c>
      <c r="U4596" s="17" t="n">
        <v>10</v>
      </c>
      <c r="V4596" s="17">
        <f>ROUNDUP((T4596+U4596+2*'Read Me'!$B$13)*(1+'Read Me'!$B$12),-1)</f>
        <v/>
      </c>
      <c r="W4596" s="17">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I-I-0230</t>
        </is>
      </c>
      <c r="B4597" s="12" t="inlineStr">
        <is>
          <t>I</t>
        </is>
      </c>
      <c r="C4597" s="12" t="inlineStr">
        <is>
          <t>Modular / portable power</t>
        </is>
      </c>
      <c r="D4597" s="12" t="inlineStr">
        <is>
          <t>Home run JB-RICE-2-AI01 to the control / marshalling room</t>
        </is>
      </c>
      <c r="E4597" s="12" t="inlineStr"/>
      <c r="F4597" s="12" t="inlineStr">
        <is>
          <t>PCM: power control module</t>
        </is>
      </c>
      <c r="G4597" s="12" t="inlineStr">
        <is>
          <t>JB-RICE-2-AI01</t>
        </is>
      </c>
      <c r="H4597" s="12" t="inlineStr">
        <is>
          <t>RICE engine-generator 2</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7" t="n">
        <v>550</v>
      </c>
      <c r="U4597" s="17" t="n">
        <v>109</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I-I-0231</t>
        </is>
      </c>
      <c r="B4598" s="12" t="inlineStr">
        <is>
          <t>I</t>
        </is>
      </c>
      <c r="C4598" s="12" t="inlineStr">
        <is>
          <t>Modular / portable power</t>
        </is>
      </c>
      <c r="D4598" s="12" t="inlineStr">
        <is>
          <t>Analog instrument to JB JB-RICE-2-AI02: 20 x 1 pr (field cables)</t>
        </is>
      </c>
      <c r="E4598" s="12" t="inlineStr">
        <is>
          <t>RICE-2</t>
        </is>
      </c>
      <c r="F4598" s="12" t="inlineStr">
        <is>
          <t>RICE engine-generator 2</t>
        </is>
      </c>
      <c r="G4598" s="12" t="inlineStr">
        <is>
          <t>JB-RICE-2-AI02</t>
        </is>
      </c>
      <c r="H4598" s="12" t="inlineStr">
        <is>
          <t>RICE engine-generator 2</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7" t="n">
        <v>72</v>
      </c>
      <c r="U4598" s="17" t="n">
        <v>10</v>
      </c>
      <c r="V4598" s="17">
        <f>ROUNDUP((T4598+U4598+2*'Read Me'!$B$13)*(1+'Read Me'!$B$12),-1)</f>
        <v/>
      </c>
      <c r="W4598" s="17">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I-I-0232</t>
        </is>
      </c>
      <c r="B4599" s="12" t="inlineStr">
        <is>
          <t>I</t>
        </is>
      </c>
      <c r="C4599" s="12" t="inlineStr">
        <is>
          <t>Modular / portable power</t>
        </is>
      </c>
      <c r="D4599" s="12" t="inlineStr">
        <is>
          <t>Home run JB-RICE-2-AI02 to the control / marshalling room</t>
        </is>
      </c>
      <c r="E4599" s="12" t="inlineStr"/>
      <c r="F4599" s="12" t="inlineStr">
        <is>
          <t>PCM: power control module</t>
        </is>
      </c>
      <c r="G4599" s="12" t="inlineStr">
        <is>
          <t>JB-RICE-2-AI02</t>
        </is>
      </c>
      <c r="H4599" s="12" t="inlineStr">
        <is>
          <t>RICE engine-generator 2</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7" t="n">
        <v>550</v>
      </c>
      <c r="U4599" s="17" t="n">
        <v>109</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I-I-0233</t>
        </is>
      </c>
      <c r="B4600" s="12" t="inlineStr">
        <is>
          <t>I</t>
        </is>
      </c>
      <c r="C4600" s="12" t="inlineStr">
        <is>
          <t>Modular / portable power</t>
        </is>
      </c>
      <c r="D4600" s="12" t="inlineStr">
        <is>
          <t>Analog instrument to JB JB-RICE-2-AI03: 20 x 1 pr (field cables)</t>
        </is>
      </c>
      <c r="E4600" s="12" t="inlineStr">
        <is>
          <t>RICE-2</t>
        </is>
      </c>
      <c r="F4600" s="12" t="inlineStr">
        <is>
          <t>RICE engine-generator 2</t>
        </is>
      </c>
      <c r="G4600" s="12" t="inlineStr">
        <is>
          <t>JB-RICE-2-AI03</t>
        </is>
      </c>
      <c r="H4600" s="12" t="inlineStr">
        <is>
          <t>RICE engine-generator 2</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7" t="n">
        <v>72</v>
      </c>
      <c r="U4600" s="17" t="n">
        <v>10</v>
      </c>
      <c r="V4600" s="17">
        <f>ROUNDUP((T4600+U4600+2*'Read Me'!$B$13)*(1+'Read Me'!$B$12),-1)</f>
        <v/>
      </c>
      <c r="W4600" s="17">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I-I-0234</t>
        </is>
      </c>
      <c r="B4601" s="12" t="inlineStr">
        <is>
          <t>I</t>
        </is>
      </c>
      <c r="C4601" s="12" t="inlineStr">
        <is>
          <t>Modular / portable power</t>
        </is>
      </c>
      <c r="D4601" s="12" t="inlineStr">
        <is>
          <t>Home run JB-RICE-2-AI03 to the control / marshalling room</t>
        </is>
      </c>
      <c r="E4601" s="12" t="inlineStr"/>
      <c r="F4601" s="12" t="inlineStr">
        <is>
          <t>PCM: power control module</t>
        </is>
      </c>
      <c r="G4601" s="12" t="inlineStr">
        <is>
          <t>JB-RICE-2-AI03</t>
        </is>
      </c>
      <c r="H4601" s="12" t="inlineStr">
        <is>
          <t>RICE engine-generator 2</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7" t="n">
        <v>550</v>
      </c>
      <c r="U4601" s="17" t="n">
        <v>109</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I-I-0235</t>
        </is>
      </c>
      <c r="B4602" s="12" t="inlineStr">
        <is>
          <t>I</t>
        </is>
      </c>
      <c r="C4602" s="12" t="inlineStr">
        <is>
          <t>Modular / portable power</t>
        </is>
      </c>
      <c r="D4602" s="12" t="inlineStr">
        <is>
          <t>Analog instrument to JB JB-RICE-2-AI04: 20 x 1 pr (field cables)</t>
        </is>
      </c>
      <c r="E4602" s="12" t="inlineStr">
        <is>
          <t>RICE-2</t>
        </is>
      </c>
      <c r="F4602" s="12" t="inlineStr">
        <is>
          <t>RICE engine-generator 2</t>
        </is>
      </c>
      <c r="G4602" s="12" t="inlineStr">
        <is>
          <t>JB-RICE-2-AI04</t>
        </is>
      </c>
      <c r="H4602" s="12" t="inlineStr">
        <is>
          <t>RICE engine-generator 2</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7" t="n">
        <v>72</v>
      </c>
      <c r="U4602" s="17" t="n">
        <v>10</v>
      </c>
      <c r="V4602" s="17">
        <f>ROUNDUP((T4602+U4602+2*'Read Me'!$B$13)*(1+'Read Me'!$B$12),-1)</f>
        <v/>
      </c>
      <c r="W4602" s="17">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I-I-0236</t>
        </is>
      </c>
      <c r="B4603" s="12" t="inlineStr">
        <is>
          <t>I</t>
        </is>
      </c>
      <c r="C4603" s="12" t="inlineStr">
        <is>
          <t>Modular / portable power</t>
        </is>
      </c>
      <c r="D4603" s="12" t="inlineStr">
        <is>
          <t>Home run JB-RICE-2-AI04 to the control / marshalling room</t>
        </is>
      </c>
      <c r="E4603" s="12" t="inlineStr"/>
      <c r="F4603" s="12" t="inlineStr">
        <is>
          <t>PCM: power control module</t>
        </is>
      </c>
      <c r="G4603" s="12" t="inlineStr">
        <is>
          <t>JB-RICE-2-AI04</t>
        </is>
      </c>
      <c r="H4603" s="12" t="inlineStr">
        <is>
          <t>RICE engine-generator 2</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7" t="n">
        <v>550</v>
      </c>
      <c r="U4603" s="17" t="n">
        <v>109</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I-I-0237</t>
        </is>
      </c>
      <c r="B4604" s="12" t="inlineStr">
        <is>
          <t>I</t>
        </is>
      </c>
      <c r="C4604" s="12" t="inlineStr">
        <is>
          <t>Modular / portable power</t>
        </is>
      </c>
      <c r="D4604" s="12" t="inlineStr">
        <is>
          <t>Discrete device to JB JB-RICE-2-DI01: 20 x 1 pr (field cables)</t>
        </is>
      </c>
      <c r="E4604" s="12" t="inlineStr">
        <is>
          <t>RICE-2</t>
        </is>
      </c>
      <c r="F4604" s="12" t="inlineStr">
        <is>
          <t>RICE engine-generator 2</t>
        </is>
      </c>
      <c r="G4604" s="12" t="inlineStr">
        <is>
          <t>JB-RICE-2-DI01</t>
        </is>
      </c>
      <c r="H4604" s="12" t="inlineStr">
        <is>
          <t>RICE engine-generator 2</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7" t="n">
        <v>72</v>
      </c>
      <c r="U4604" s="17" t="n">
        <v>10</v>
      </c>
      <c r="V4604" s="17">
        <f>ROUNDUP((T4604+U4604+2*'Read Me'!$B$13)*(1+'Read Me'!$B$12),-1)</f>
        <v/>
      </c>
      <c r="W4604" s="17">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I-I-0238</t>
        </is>
      </c>
      <c r="B4605" s="12" t="inlineStr">
        <is>
          <t>I</t>
        </is>
      </c>
      <c r="C4605" s="12" t="inlineStr">
        <is>
          <t>Modular / portable power</t>
        </is>
      </c>
      <c r="D4605" s="12" t="inlineStr">
        <is>
          <t>Home run JB-RICE-2-DI01 to the control / marshalling room</t>
        </is>
      </c>
      <c r="E4605" s="12" t="inlineStr"/>
      <c r="F4605" s="12" t="inlineStr">
        <is>
          <t>PCM: power control module</t>
        </is>
      </c>
      <c r="G4605" s="12" t="inlineStr">
        <is>
          <t>JB-RICE-2-DI01</t>
        </is>
      </c>
      <c r="H4605" s="12" t="inlineStr">
        <is>
          <t>RICE engine-generator 2</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7" t="n">
        <v>550</v>
      </c>
      <c r="U4605" s="17" t="n">
        <v>109</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I-I-0239</t>
        </is>
      </c>
      <c r="B4606" s="12" t="inlineStr">
        <is>
          <t>I</t>
        </is>
      </c>
      <c r="C4606" s="12" t="inlineStr">
        <is>
          <t>Modular / portable power</t>
        </is>
      </c>
      <c r="D4606" s="12" t="inlineStr">
        <is>
          <t>Discrete device to JB JB-RICE-2-DI02: 20 x 1 pr (field cables)</t>
        </is>
      </c>
      <c r="E4606" s="12" t="inlineStr">
        <is>
          <t>RICE-2</t>
        </is>
      </c>
      <c r="F4606" s="12" t="inlineStr">
        <is>
          <t>RICE engine-generator 2</t>
        </is>
      </c>
      <c r="G4606" s="12" t="inlineStr">
        <is>
          <t>JB-RICE-2-DI02</t>
        </is>
      </c>
      <c r="H4606" s="12" t="inlineStr">
        <is>
          <t>RICE engine-generator 2</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7" t="n">
        <v>72</v>
      </c>
      <c r="U4606" s="17" t="n">
        <v>10</v>
      </c>
      <c r="V4606" s="17">
        <f>ROUNDUP((T4606+U4606+2*'Read Me'!$B$13)*(1+'Read Me'!$B$12),-1)</f>
        <v/>
      </c>
      <c r="W4606" s="17">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I-I-0240</t>
        </is>
      </c>
      <c r="B4607" s="12" t="inlineStr">
        <is>
          <t>I</t>
        </is>
      </c>
      <c r="C4607" s="12" t="inlineStr">
        <is>
          <t>Modular / portable power</t>
        </is>
      </c>
      <c r="D4607" s="12" t="inlineStr">
        <is>
          <t>Home run JB-RICE-2-DI02 to the control / marshalling room</t>
        </is>
      </c>
      <c r="E4607" s="12" t="inlineStr"/>
      <c r="F4607" s="12" t="inlineStr">
        <is>
          <t>PCM: power control module</t>
        </is>
      </c>
      <c r="G4607" s="12" t="inlineStr">
        <is>
          <t>JB-RICE-2-DI02</t>
        </is>
      </c>
      <c r="H4607" s="12" t="inlineStr">
        <is>
          <t>RICE engine-generator 2</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7" t="n">
        <v>550</v>
      </c>
      <c r="U4607" s="17" t="n">
        <v>109</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I-I-0241</t>
        </is>
      </c>
      <c r="B4608" s="12" t="inlineStr">
        <is>
          <t>I</t>
        </is>
      </c>
      <c r="C4608" s="12" t="inlineStr">
        <is>
          <t>Modular / portable power</t>
        </is>
      </c>
      <c r="D4608" s="12" t="inlineStr">
        <is>
          <t>Discrete device to JB JB-RICE-2-DI03: 20 x 1 pr (field cables)</t>
        </is>
      </c>
      <c r="E4608" s="12" t="inlineStr">
        <is>
          <t>RICE-2</t>
        </is>
      </c>
      <c r="F4608" s="12" t="inlineStr">
        <is>
          <t>RICE engine-generator 2</t>
        </is>
      </c>
      <c r="G4608" s="12" t="inlineStr">
        <is>
          <t>JB-RICE-2-DI03</t>
        </is>
      </c>
      <c r="H4608" s="12" t="inlineStr">
        <is>
          <t>RICE engine-generator 2</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7" t="n">
        <v>72</v>
      </c>
      <c r="U4608" s="17" t="n">
        <v>10</v>
      </c>
      <c r="V4608" s="17">
        <f>ROUNDUP((T4608+U4608+2*'Read Me'!$B$13)*(1+'Read Me'!$B$12),-1)</f>
        <v/>
      </c>
      <c r="W4608" s="17">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I-I-0242</t>
        </is>
      </c>
      <c r="B4609" s="12" t="inlineStr">
        <is>
          <t>I</t>
        </is>
      </c>
      <c r="C4609" s="12" t="inlineStr">
        <is>
          <t>Modular / portable power</t>
        </is>
      </c>
      <c r="D4609" s="12" t="inlineStr">
        <is>
          <t>Home run JB-RICE-2-DI03 to the control / marshalling room</t>
        </is>
      </c>
      <c r="E4609" s="12" t="inlineStr"/>
      <c r="F4609" s="12" t="inlineStr">
        <is>
          <t>PCM: power control module</t>
        </is>
      </c>
      <c r="G4609" s="12" t="inlineStr">
        <is>
          <t>JB-RICE-2-DI03</t>
        </is>
      </c>
      <c r="H4609" s="12" t="inlineStr">
        <is>
          <t>RICE engine-generator 2</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7" t="n">
        <v>550</v>
      </c>
      <c r="U4609" s="17" t="n">
        <v>109</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I-I-0243</t>
        </is>
      </c>
      <c r="B4610" s="12" t="inlineStr">
        <is>
          <t>I</t>
        </is>
      </c>
      <c r="C4610" s="12" t="inlineStr">
        <is>
          <t>Modular / portable power</t>
        </is>
      </c>
      <c r="D4610" s="12" t="inlineStr">
        <is>
          <t>Thermocouple to TC JB JB-RICE-2-TC01: 20 x 1 pr (field cables)</t>
        </is>
      </c>
      <c r="E4610" s="12" t="inlineStr">
        <is>
          <t>RICE-2</t>
        </is>
      </c>
      <c r="F4610" s="12" t="inlineStr">
        <is>
          <t>RICE engine-generator 2</t>
        </is>
      </c>
      <c r="G4610" s="12" t="inlineStr">
        <is>
          <t>JB-RICE-2-TC01</t>
        </is>
      </c>
      <c r="H4610" s="12" t="inlineStr">
        <is>
          <t>RICE engine-generator 2</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7" t="n">
        <v>72</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I-I-0244</t>
        </is>
      </c>
      <c r="B4611" s="12" t="inlineStr">
        <is>
          <t>I</t>
        </is>
      </c>
      <c r="C4611" s="12" t="inlineStr">
        <is>
          <t>Modular / portable power</t>
        </is>
      </c>
      <c r="D4611" s="12" t="inlineStr">
        <is>
          <t>Home run JB-RICE-2-TC01 to the control / marshalling room</t>
        </is>
      </c>
      <c r="E4611" s="12" t="inlineStr"/>
      <c r="F4611" s="12" t="inlineStr">
        <is>
          <t>PCM: power control module</t>
        </is>
      </c>
      <c r="G4611" s="12" t="inlineStr">
        <is>
          <t>JB-RICE-2-TC01</t>
        </is>
      </c>
      <c r="H4611" s="12" t="inlineStr">
        <is>
          <t>RICE engine-generator 2</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7" t="n">
        <v>550</v>
      </c>
      <c r="U4611" s="17" t="n">
        <v>109</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I-I-0245</t>
        </is>
      </c>
      <c r="B4612" s="12" t="inlineStr">
        <is>
          <t>I</t>
        </is>
      </c>
      <c r="C4612" s="12" t="inlineStr">
        <is>
          <t>Modular / portable power</t>
        </is>
      </c>
      <c r="D4612" s="12" t="inlineStr">
        <is>
          <t>Thermocouple to TC JB JB-RICE-2-TC02: 10 x 1 pr (field cables)</t>
        </is>
      </c>
      <c r="E4612" s="12" t="inlineStr">
        <is>
          <t>RICE-2</t>
        </is>
      </c>
      <c r="F4612" s="12" t="inlineStr">
        <is>
          <t>RICE engine-generator 2</t>
        </is>
      </c>
      <c r="G4612" s="12" t="inlineStr">
        <is>
          <t>JB-RICE-2-TC02</t>
        </is>
      </c>
      <c r="H4612" s="12" t="inlineStr">
        <is>
          <t>RICE engine-generator 2</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7" t="n">
        <v>72</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I-I-0246</t>
        </is>
      </c>
      <c r="B4613" s="12" t="inlineStr">
        <is>
          <t>I</t>
        </is>
      </c>
      <c r="C4613" s="12" t="inlineStr">
        <is>
          <t>Modular / portable power</t>
        </is>
      </c>
      <c r="D4613" s="12" t="inlineStr">
        <is>
          <t>Home run JB-RICE-2-TC02 to the control / marshalling room</t>
        </is>
      </c>
      <c r="E4613" s="12" t="inlineStr"/>
      <c r="F4613" s="12" t="inlineStr">
        <is>
          <t>PCM: power control module</t>
        </is>
      </c>
      <c r="G4613" s="12" t="inlineStr">
        <is>
          <t>JB-RICE-2-TC02</t>
        </is>
      </c>
      <c r="H4613" s="12" t="inlineStr">
        <is>
          <t>RICE engine-generator 2</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7" t="n">
        <v>550</v>
      </c>
      <c r="U4613" s="17" t="n">
        <v>109</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I-I-0247</t>
        </is>
      </c>
      <c r="B4614" s="12" t="inlineStr">
        <is>
          <t>I</t>
        </is>
      </c>
      <c r="C4614" s="12" t="inlineStr">
        <is>
          <t>Modular / portable power</t>
        </is>
      </c>
      <c r="D4614" s="12" t="inlineStr">
        <is>
          <t>RTD to JB JB-RICE-2-RTD01: 10 x 1 tri (field cables)</t>
        </is>
      </c>
      <c r="E4614" s="12" t="inlineStr">
        <is>
          <t>RICE-2</t>
        </is>
      </c>
      <c r="F4614" s="12" t="inlineStr">
        <is>
          <t>RICE engine-generator 2</t>
        </is>
      </c>
      <c r="G4614" s="12" t="inlineStr">
        <is>
          <t>JB-RICE-2-RTD01</t>
        </is>
      </c>
      <c r="H4614" s="12" t="inlineStr">
        <is>
          <t>RICE engine-generator 2</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7" t="n">
        <v>72</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I-I-0248</t>
        </is>
      </c>
      <c r="B4615" s="12" t="inlineStr">
        <is>
          <t>I</t>
        </is>
      </c>
      <c r="C4615" s="12" t="inlineStr">
        <is>
          <t>Modular / portable power</t>
        </is>
      </c>
      <c r="D4615" s="12" t="inlineStr">
        <is>
          <t>Home run JB-RICE-2-RTD01 to the control / marshalling room</t>
        </is>
      </c>
      <c r="E4615" s="12" t="inlineStr"/>
      <c r="F4615" s="12" t="inlineStr">
        <is>
          <t>PCM: power control module</t>
        </is>
      </c>
      <c r="G4615" s="12" t="inlineStr">
        <is>
          <t>JB-RICE-2-RTD01</t>
        </is>
      </c>
      <c r="H4615" s="12" t="inlineStr">
        <is>
          <t>RICE engine-generator 2</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7" t="n">
        <v>550</v>
      </c>
      <c r="U4615" s="17" t="n">
        <v>109</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I-I-0249</t>
        </is>
      </c>
      <c r="B4616" s="12" t="inlineStr">
        <is>
          <t>I</t>
        </is>
      </c>
      <c r="C4616" s="12" t="inlineStr">
        <is>
          <t>Modular / portable power</t>
        </is>
      </c>
      <c r="D4616" s="12" t="inlineStr">
        <is>
          <t>RTD to JB JB-RICE-2-RTD02: 2 x 1 tri (field cables)</t>
        </is>
      </c>
      <c r="E4616" s="12" t="inlineStr">
        <is>
          <t>RICE-2</t>
        </is>
      </c>
      <c r="F4616" s="12" t="inlineStr">
        <is>
          <t>RICE engine-generator 2</t>
        </is>
      </c>
      <c r="G4616" s="12" t="inlineStr">
        <is>
          <t>JB-RICE-2-RTD02</t>
        </is>
      </c>
      <c r="H4616" s="12" t="inlineStr">
        <is>
          <t>RICE engine-generator 2</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7" t="n">
        <v>72</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I-I-0250</t>
        </is>
      </c>
      <c r="B4617" s="12" t="inlineStr">
        <is>
          <t>I</t>
        </is>
      </c>
      <c r="C4617" s="12" t="inlineStr">
        <is>
          <t>Modular / portable power</t>
        </is>
      </c>
      <c r="D4617" s="12" t="inlineStr">
        <is>
          <t>Home run JB-RICE-2-RTD02 to the control / marshalling room</t>
        </is>
      </c>
      <c r="E4617" s="12" t="inlineStr"/>
      <c r="F4617" s="12" t="inlineStr">
        <is>
          <t>PCM: power control module</t>
        </is>
      </c>
      <c r="G4617" s="12" t="inlineStr">
        <is>
          <t>JB-RICE-2-RTD02</t>
        </is>
      </c>
      <c r="H4617" s="12" t="inlineStr">
        <is>
          <t>RICE engine-generator 2</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7" t="n">
        <v>550</v>
      </c>
      <c r="U4617" s="17" t="n">
        <v>109</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I-I-0251</t>
        </is>
      </c>
      <c r="B4618" s="12" t="inlineStr">
        <is>
          <t>I</t>
        </is>
      </c>
      <c r="C4618" s="12" t="inlineStr">
        <is>
          <t>Modular / portable power</t>
        </is>
      </c>
      <c r="D4618" s="12" t="inlineStr">
        <is>
          <t>Analog instrument to JB JB-RICE-3-AI01: 20 x 1 pr (field cables)</t>
        </is>
      </c>
      <c r="E4618" s="12" t="inlineStr">
        <is>
          <t>RICE-3</t>
        </is>
      </c>
      <c r="F4618" s="12" t="inlineStr">
        <is>
          <t>RICE engine-generator 3</t>
        </is>
      </c>
      <c r="G4618" s="12" t="inlineStr">
        <is>
          <t>JB-RICE-3-AI01</t>
        </is>
      </c>
      <c r="H4618" s="12" t="inlineStr">
        <is>
          <t>RICE engine-generator 3</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7" t="n">
        <v>72</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I-I-0252</t>
        </is>
      </c>
      <c r="B4619" s="12" t="inlineStr">
        <is>
          <t>I</t>
        </is>
      </c>
      <c r="C4619" s="12" t="inlineStr">
        <is>
          <t>Modular / portable power</t>
        </is>
      </c>
      <c r="D4619" s="12" t="inlineStr">
        <is>
          <t>Home run JB-RICE-3-AI01 to the control / marshalling room</t>
        </is>
      </c>
      <c r="E4619" s="12" t="inlineStr"/>
      <c r="F4619" s="12" t="inlineStr">
        <is>
          <t>PCM: power control module</t>
        </is>
      </c>
      <c r="G4619" s="12" t="inlineStr">
        <is>
          <t>JB-RICE-3-AI01</t>
        </is>
      </c>
      <c r="H4619" s="12" t="inlineStr">
        <is>
          <t>RICE engine-generator 3</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7" t="n">
        <v>550</v>
      </c>
      <c r="U4619" s="17" t="n">
        <v>81</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I-I-0253</t>
        </is>
      </c>
      <c r="B4620" s="12" t="inlineStr">
        <is>
          <t>I</t>
        </is>
      </c>
      <c r="C4620" s="12" t="inlineStr">
        <is>
          <t>Modular / portable power</t>
        </is>
      </c>
      <c r="D4620" s="12" t="inlineStr">
        <is>
          <t>Analog instrument to JB JB-RICE-3-AI02: 20 x 1 pr (field cables)</t>
        </is>
      </c>
      <c r="E4620" s="12" t="inlineStr">
        <is>
          <t>RICE-3</t>
        </is>
      </c>
      <c r="F4620" s="12" t="inlineStr">
        <is>
          <t>RICE engine-generator 3</t>
        </is>
      </c>
      <c r="G4620" s="12" t="inlineStr">
        <is>
          <t>JB-RICE-3-AI02</t>
        </is>
      </c>
      <c r="H4620" s="12" t="inlineStr">
        <is>
          <t>RICE engine-generator 3</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7" t="n">
        <v>72</v>
      </c>
      <c r="U4620" s="17" t="n">
        <v>10</v>
      </c>
      <c r="V4620" s="17">
        <f>ROUNDUP((T4620+U4620+2*'Read Me'!$B$13)*(1+'Read Me'!$B$12),-1)</f>
        <v/>
      </c>
      <c r="W4620" s="17">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I-I-0254</t>
        </is>
      </c>
      <c r="B4621" s="12" t="inlineStr">
        <is>
          <t>I</t>
        </is>
      </c>
      <c r="C4621" s="12" t="inlineStr">
        <is>
          <t>Modular / portable power</t>
        </is>
      </c>
      <c r="D4621" s="12" t="inlineStr">
        <is>
          <t>Home run JB-RICE-3-AI02 to the control / marshalling room</t>
        </is>
      </c>
      <c r="E4621" s="12" t="inlineStr"/>
      <c r="F4621" s="12" t="inlineStr">
        <is>
          <t>PCM: power control module</t>
        </is>
      </c>
      <c r="G4621" s="12" t="inlineStr">
        <is>
          <t>JB-RICE-3-AI02</t>
        </is>
      </c>
      <c r="H4621" s="12" t="inlineStr">
        <is>
          <t>RICE engine-generator 3</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7" t="n">
        <v>550</v>
      </c>
      <c r="U4621" s="17" t="n">
        <v>81</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I-I-0255</t>
        </is>
      </c>
      <c r="B4622" s="12" t="inlineStr">
        <is>
          <t>I</t>
        </is>
      </c>
      <c r="C4622" s="12" t="inlineStr">
        <is>
          <t>Modular / portable power</t>
        </is>
      </c>
      <c r="D4622" s="12" t="inlineStr">
        <is>
          <t>Analog instrument to JB JB-RICE-3-AI03: 20 x 1 pr (field cables)</t>
        </is>
      </c>
      <c r="E4622" s="12" t="inlineStr">
        <is>
          <t>RICE-3</t>
        </is>
      </c>
      <c r="F4622" s="12" t="inlineStr">
        <is>
          <t>RICE engine-generator 3</t>
        </is>
      </c>
      <c r="G4622" s="12" t="inlineStr">
        <is>
          <t>JB-RICE-3-AI03</t>
        </is>
      </c>
      <c r="H4622" s="12" t="inlineStr">
        <is>
          <t>RICE engine-generator 3</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72</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I-I-0256</t>
        </is>
      </c>
      <c r="B4623" s="12" t="inlineStr">
        <is>
          <t>I</t>
        </is>
      </c>
      <c r="C4623" s="12" t="inlineStr">
        <is>
          <t>Modular / portable power</t>
        </is>
      </c>
      <c r="D4623" s="12" t="inlineStr">
        <is>
          <t>Home run JB-RICE-3-AI03 to the control / marshalling room</t>
        </is>
      </c>
      <c r="E4623" s="12" t="inlineStr"/>
      <c r="F4623" s="12" t="inlineStr">
        <is>
          <t>PCM: power control module</t>
        </is>
      </c>
      <c r="G4623" s="12" t="inlineStr">
        <is>
          <t>JB-RICE-3-AI03</t>
        </is>
      </c>
      <c r="H4623" s="12" t="inlineStr">
        <is>
          <t>RICE engine-generator 3</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7" t="n">
        <v>550</v>
      </c>
      <c r="U4623" s="17" t="n">
        <v>81</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I-I-0257</t>
        </is>
      </c>
      <c r="B4624" s="12" t="inlineStr">
        <is>
          <t>I</t>
        </is>
      </c>
      <c r="C4624" s="12" t="inlineStr">
        <is>
          <t>Modular / portable power</t>
        </is>
      </c>
      <c r="D4624" s="12" t="inlineStr">
        <is>
          <t>Analog instrument to JB JB-RICE-3-AI04: 20 x 1 pr (field cables)</t>
        </is>
      </c>
      <c r="E4624" s="12" t="inlineStr">
        <is>
          <t>RICE-3</t>
        </is>
      </c>
      <c r="F4624" s="12" t="inlineStr">
        <is>
          <t>RICE engine-generator 3</t>
        </is>
      </c>
      <c r="G4624" s="12" t="inlineStr">
        <is>
          <t>JB-RICE-3-AI04</t>
        </is>
      </c>
      <c r="H4624" s="12" t="inlineStr">
        <is>
          <t>RICE engine-generator 3</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7" t="n">
        <v>72</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I-I-0258</t>
        </is>
      </c>
      <c r="B4625" s="12" t="inlineStr">
        <is>
          <t>I</t>
        </is>
      </c>
      <c r="C4625" s="12" t="inlineStr">
        <is>
          <t>Modular / portable power</t>
        </is>
      </c>
      <c r="D4625" s="12" t="inlineStr">
        <is>
          <t>Home run JB-RICE-3-AI04 to the control / marshalling room</t>
        </is>
      </c>
      <c r="E4625" s="12" t="inlineStr"/>
      <c r="F4625" s="12" t="inlineStr">
        <is>
          <t>PCM: power control module</t>
        </is>
      </c>
      <c r="G4625" s="12" t="inlineStr">
        <is>
          <t>JB-RICE-3-AI04</t>
        </is>
      </c>
      <c r="H4625" s="12" t="inlineStr">
        <is>
          <t>RICE engine-generator 3</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7" t="n">
        <v>550</v>
      </c>
      <c r="U4625" s="17" t="n">
        <v>81</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I-I-0259</t>
        </is>
      </c>
      <c r="B4626" s="12" t="inlineStr">
        <is>
          <t>I</t>
        </is>
      </c>
      <c r="C4626" s="12" t="inlineStr">
        <is>
          <t>Modular / portable power</t>
        </is>
      </c>
      <c r="D4626" s="12" t="inlineStr">
        <is>
          <t>Discrete device to JB JB-RICE-3-DI01: 20 x 1 pr (field cables)</t>
        </is>
      </c>
      <c r="E4626" s="12" t="inlineStr">
        <is>
          <t>RICE-3</t>
        </is>
      </c>
      <c r="F4626" s="12" t="inlineStr">
        <is>
          <t>RICE engine-generator 3</t>
        </is>
      </c>
      <c r="G4626" s="12" t="inlineStr">
        <is>
          <t>JB-RICE-3-DI01</t>
        </is>
      </c>
      <c r="H4626" s="12" t="inlineStr">
        <is>
          <t>RICE engine-generator 3</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7" t="n">
        <v>72</v>
      </c>
      <c r="U4626" s="17" t="n">
        <v>10</v>
      </c>
      <c r="V4626" s="17">
        <f>ROUNDUP((T4626+U4626+2*'Read Me'!$B$13)*(1+'Read Me'!$B$12),-1)</f>
        <v/>
      </c>
      <c r="W4626" s="17">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I-I-0260</t>
        </is>
      </c>
      <c r="B4627" s="12" t="inlineStr">
        <is>
          <t>I</t>
        </is>
      </c>
      <c r="C4627" s="12" t="inlineStr">
        <is>
          <t>Modular / portable power</t>
        </is>
      </c>
      <c r="D4627" s="12" t="inlineStr">
        <is>
          <t>Home run JB-RICE-3-DI01 to the control / marshalling room</t>
        </is>
      </c>
      <c r="E4627" s="12" t="inlineStr"/>
      <c r="F4627" s="12" t="inlineStr">
        <is>
          <t>PCM: power control module</t>
        </is>
      </c>
      <c r="G4627" s="12" t="inlineStr">
        <is>
          <t>JB-RICE-3-DI01</t>
        </is>
      </c>
      <c r="H4627" s="12" t="inlineStr">
        <is>
          <t>RICE engine-generator 3</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7" t="n">
        <v>550</v>
      </c>
      <c r="U4627" s="17" t="n">
        <v>81</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I-I-0261</t>
        </is>
      </c>
      <c r="B4628" s="12" t="inlineStr">
        <is>
          <t>I</t>
        </is>
      </c>
      <c r="C4628" s="12" t="inlineStr">
        <is>
          <t>Modular / portable power</t>
        </is>
      </c>
      <c r="D4628" s="12" t="inlineStr">
        <is>
          <t>Discrete device to JB JB-RICE-3-DI02: 20 x 1 pr (field cables)</t>
        </is>
      </c>
      <c r="E4628" s="12" t="inlineStr">
        <is>
          <t>RICE-3</t>
        </is>
      </c>
      <c r="F4628" s="12" t="inlineStr">
        <is>
          <t>RICE engine-generator 3</t>
        </is>
      </c>
      <c r="G4628" s="12" t="inlineStr">
        <is>
          <t>JB-RICE-3-DI02</t>
        </is>
      </c>
      <c r="H4628" s="12" t="inlineStr">
        <is>
          <t>RICE engine-generator 3</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7" t="n">
        <v>72</v>
      </c>
      <c r="U4628" s="17" t="n">
        <v>10</v>
      </c>
      <c r="V4628" s="17">
        <f>ROUNDUP((T4628+U4628+2*'Read Me'!$B$13)*(1+'Read Me'!$B$12),-1)</f>
        <v/>
      </c>
      <c r="W4628" s="17">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I-I-0262</t>
        </is>
      </c>
      <c r="B4629" s="12" t="inlineStr">
        <is>
          <t>I</t>
        </is>
      </c>
      <c r="C4629" s="12" t="inlineStr">
        <is>
          <t>Modular / portable power</t>
        </is>
      </c>
      <c r="D4629" s="12" t="inlineStr">
        <is>
          <t>Home run JB-RICE-3-DI02 to the control / marshalling room</t>
        </is>
      </c>
      <c r="E4629" s="12" t="inlineStr"/>
      <c r="F4629" s="12" t="inlineStr">
        <is>
          <t>PCM: power control module</t>
        </is>
      </c>
      <c r="G4629" s="12" t="inlineStr">
        <is>
          <t>JB-RICE-3-DI02</t>
        </is>
      </c>
      <c r="H4629" s="12" t="inlineStr">
        <is>
          <t>RICE engine-generator 3</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7" t="n">
        <v>550</v>
      </c>
      <c r="U4629" s="17" t="n">
        <v>81</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I-I-0263</t>
        </is>
      </c>
      <c r="B4630" s="12" t="inlineStr">
        <is>
          <t>I</t>
        </is>
      </c>
      <c r="C4630" s="12" t="inlineStr">
        <is>
          <t>Modular / portable power</t>
        </is>
      </c>
      <c r="D4630" s="12" t="inlineStr">
        <is>
          <t>Discrete device to JB JB-RICE-3-DI03: 20 x 1 pr (field cables)</t>
        </is>
      </c>
      <c r="E4630" s="12" t="inlineStr">
        <is>
          <t>RICE-3</t>
        </is>
      </c>
      <c r="F4630" s="12" t="inlineStr">
        <is>
          <t>RICE engine-generator 3</t>
        </is>
      </c>
      <c r="G4630" s="12" t="inlineStr">
        <is>
          <t>JB-RICE-3-DI03</t>
        </is>
      </c>
      <c r="H4630" s="12" t="inlineStr">
        <is>
          <t>RICE engine-generator 3</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7" t="n">
        <v>72</v>
      </c>
      <c r="U4630" s="17" t="n">
        <v>10</v>
      </c>
      <c r="V4630" s="17">
        <f>ROUNDUP((T4630+U4630+2*'Read Me'!$B$13)*(1+'Read Me'!$B$12),-1)</f>
        <v/>
      </c>
      <c r="W4630" s="17">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I-I-0264</t>
        </is>
      </c>
      <c r="B4631" s="12" t="inlineStr">
        <is>
          <t>I</t>
        </is>
      </c>
      <c r="C4631" s="12" t="inlineStr">
        <is>
          <t>Modular / portable power</t>
        </is>
      </c>
      <c r="D4631" s="12" t="inlineStr">
        <is>
          <t>Home run JB-RICE-3-DI03 to the control / marshalling room</t>
        </is>
      </c>
      <c r="E4631" s="12" t="inlineStr"/>
      <c r="F4631" s="12" t="inlineStr">
        <is>
          <t>PCM: power control module</t>
        </is>
      </c>
      <c r="G4631" s="12" t="inlineStr">
        <is>
          <t>JB-RICE-3-DI03</t>
        </is>
      </c>
      <c r="H4631" s="12" t="inlineStr">
        <is>
          <t>RICE engine-generator 3</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7" t="n">
        <v>550</v>
      </c>
      <c r="U4631" s="17" t="n">
        <v>81</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I-I-0265</t>
        </is>
      </c>
      <c r="B4632" s="12" t="inlineStr">
        <is>
          <t>I</t>
        </is>
      </c>
      <c r="C4632" s="12" t="inlineStr">
        <is>
          <t>Modular / portable power</t>
        </is>
      </c>
      <c r="D4632" s="12" t="inlineStr">
        <is>
          <t>Thermocouple to TC JB JB-RICE-3-TC01: 20 x 1 pr (field cables)</t>
        </is>
      </c>
      <c r="E4632" s="12" t="inlineStr">
        <is>
          <t>RICE-3</t>
        </is>
      </c>
      <c r="F4632" s="12" t="inlineStr">
        <is>
          <t>RICE engine-generator 3</t>
        </is>
      </c>
      <c r="G4632" s="12" t="inlineStr">
        <is>
          <t>JB-RICE-3-TC01</t>
        </is>
      </c>
      <c r="H4632" s="12" t="inlineStr">
        <is>
          <t>RICE engine-generator 3</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7" t="n">
        <v>72</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I-I-0266</t>
        </is>
      </c>
      <c r="B4633" s="12" t="inlineStr">
        <is>
          <t>I</t>
        </is>
      </c>
      <c r="C4633" s="12" t="inlineStr">
        <is>
          <t>Modular / portable power</t>
        </is>
      </c>
      <c r="D4633" s="12" t="inlineStr">
        <is>
          <t>Home run JB-RICE-3-TC01 to the control / marshalling room</t>
        </is>
      </c>
      <c r="E4633" s="12" t="inlineStr"/>
      <c r="F4633" s="12" t="inlineStr">
        <is>
          <t>PCM: power control module</t>
        </is>
      </c>
      <c r="G4633" s="12" t="inlineStr">
        <is>
          <t>JB-RICE-3-TC01</t>
        </is>
      </c>
      <c r="H4633" s="12" t="inlineStr">
        <is>
          <t>RICE engine-generator 3</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7" t="n">
        <v>550</v>
      </c>
      <c r="U4633" s="17" t="n">
        <v>81</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I-I-0267</t>
        </is>
      </c>
      <c r="B4634" s="12" t="inlineStr">
        <is>
          <t>I</t>
        </is>
      </c>
      <c r="C4634" s="12" t="inlineStr">
        <is>
          <t>Modular / portable power</t>
        </is>
      </c>
      <c r="D4634" s="12" t="inlineStr">
        <is>
          <t>Thermocouple to TC JB JB-RICE-3-TC02: 10 x 1 pr (field cables)</t>
        </is>
      </c>
      <c r="E4634" s="12" t="inlineStr">
        <is>
          <t>RICE-3</t>
        </is>
      </c>
      <c r="F4634" s="12" t="inlineStr">
        <is>
          <t>RICE engine-generator 3</t>
        </is>
      </c>
      <c r="G4634" s="12" t="inlineStr">
        <is>
          <t>JB-RICE-3-TC02</t>
        </is>
      </c>
      <c r="H4634" s="12" t="inlineStr">
        <is>
          <t>RICE engine-generator 3</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7" t="n">
        <v>72</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I-I-0268</t>
        </is>
      </c>
      <c r="B4635" s="12" t="inlineStr">
        <is>
          <t>I</t>
        </is>
      </c>
      <c r="C4635" s="12" t="inlineStr">
        <is>
          <t>Modular / portable power</t>
        </is>
      </c>
      <c r="D4635" s="12" t="inlineStr">
        <is>
          <t>Home run JB-RICE-3-TC02 to the control / marshalling room</t>
        </is>
      </c>
      <c r="E4635" s="12" t="inlineStr"/>
      <c r="F4635" s="12" t="inlineStr">
        <is>
          <t>PCM: power control module</t>
        </is>
      </c>
      <c r="G4635" s="12" t="inlineStr">
        <is>
          <t>JB-RICE-3-TC02</t>
        </is>
      </c>
      <c r="H4635" s="12" t="inlineStr">
        <is>
          <t>RICE engine-generator 3</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7" t="n">
        <v>550</v>
      </c>
      <c r="U4635" s="17" t="n">
        <v>81</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I-I-0269</t>
        </is>
      </c>
      <c r="B4636" s="12" t="inlineStr">
        <is>
          <t>I</t>
        </is>
      </c>
      <c r="C4636" s="12" t="inlineStr">
        <is>
          <t>Modular / portable power</t>
        </is>
      </c>
      <c r="D4636" s="12" t="inlineStr">
        <is>
          <t>RTD to JB JB-RICE-3-RTD01: 10 x 1 tri (field cables)</t>
        </is>
      </c>
      <c r="E4636" s="12" t="inlineStr">
        <is>
          <t>RICE-3</t>
        </is>
      </c>
      <c r="F4636" s="12" t="inlineStr">
        <is>
          <t>RICE engine-generator 3</t>
        </is>
      </c>
      <c r="G4636" s="12" t="inlineStr">
        <is>
          <t>JB-RICE-3-RTD01</t>
        </is>
      </c>
      <c r="H4636" s="12" t="inlineStr">
        <is>
          <t>RICE engine-generator 3</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7" t="n">
        <v>72</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I-I-0270</t>
        </is>
      </c>
      <c r="B4637" s="12" t="inlineStr">
        <is>
          <t>I</t>
        </is>
      </c>
      <c r="C4637" s="12" t="inlineStr">
        <is>
          <t>Modular / portable power</t>
        </is>
      </c>
      <c r="D4637" s="12" t="inlineStr">
        <is>
          <t>Home run JB-RICE-3-RTD01 to the control / marshalling room</t>
        </is>
      </c>
      <c r="E4637" s="12" t="inlineStr"/>
      <c r="F4637" s="12" t="inlineStr">
        <is>
          <t>PCM: power control module</t>
        </is>
      </c>
      <c r="G4637" s="12" t="inlineStr">
        <is>
          <t>JB-RICE-3-RTD01</t>
        </is>
      </c>
      <c r="H4637" s="12" t="inlineStr">
        <is>
          <t>RICE engine-generator 3</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7" t="n">
        <v>550</v>
      </c>
      <c r="U4637" s="17" t="n">
        <v>81</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I-I-0271</t>
        </is>
      </c>
      <c r="B4638" s="12" t="inlineStr">
        <is>
          <t>I</t>
        </is>
      </c>
      <c r="C4638" s="12" t="inlineStr">
        <is>
          <t>Modular / portable power</t>
        </is>
      </c>
      <c r="D4638" s="12" t="inlineStr">
        <is>
          <t>RTD to JB JB-RICE-3-RTD02: 2 x 1 tri (field cables)</t>
        </is>
      </c>
      <c r="E4638" s="12" t="inlineStr">
        <is>
          <t>RICE-3</t>
        </is>
      </c>
      <c r="F4638" s="12" t="inlineStr">
        <is>
          <t>RICE engine-generator 3</t>
        </is>
      </c>
      <c r="G4638" s="12" t="inlineStr">
        <is>
          <t>JB-RICE-3-RTD02</t>
        </is>
      </c>
      <c r="H4638" s="12" t="inlineStr">
        <is>
          <t>RICE engine-generator 3</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7" t="n">
        <v>72</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I-I-0272</t>
        </is>
      </c>
      <c r="B4639" s="12" t="inlineStr">
        <is>
          <t>I</t>
        </is>
      </c>
      <c r="C4639" s="12" t="inlineStr">
        <is>
          <t>Modular / portable power</t>
        </is>
      </c>
      <c r="D4639" s="12" t="inlineStr">
        <is>
          <t>Home run JB-RICE-3-RTD02 to the control / marshalling room</t>
        </is>
      </c>
      <c r="E4639" s="12" t="inlineStr"/>
      <c r="F4639" s="12" t="inlineStr">
        <is>
          <t>PCM: power control module</t>
        </is>
      </c>
      <c r="G4639" s="12" t="inlineStr">
        <is>
          <t>JB-RICE-3-RTD02</t>
        </is>
      </c>
      <c r="H4639" s="12" t="inlineStr">
        <is>
          <t>RICE engine-generator 3</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7" t="n">
        <v>550</v>
      </c>
      <c r="U4639" s="17" t="n">
        <v>81</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I-I-0273</t>
        </is>
      </c>
      <c r="B4640" s="12" t="inlineStr">
        <is>
          <t>I</t>
        </is>
      </c>
      <c r="C4640" s="12" t="inlineStr">
        <is>
          <t>Modular / portable power</t>
        </is>
      </c>
      <c r="D4640" s="12" t="inlineStr">
        <is>
          <t>Analog instrument to JB JB-RICE-4-AI01: 20 x 1 pr (field cables)</t>
        </is>
      </c>
      <c r="E4640" s="12" t="inlineStr">
        <is>
          <t>RICE-4</t>
        </is>
      </c>
      <c r="F4640" s="12" t="inlineStr">
        <is>
          <t>RICE engine-generator 4</t>
        </is>
      </c>
      <c r="G4640" s="12" t="inlineStr">
        <is>
          <t>JB-RICE-4-AI01</t>
        </is>
      </c>
      <c r="H4640" s="12" t="inlineStr">
        <is>
          <t>RICE engine-generator 4</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72</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I-I-0274</t>
        </is>
      </c>
      <c r="B4641" s="12" t="inlineStr">
        <is>
          <t>I</t>
        </is>
      </c>
      <c r="C4641" s="12" t="inlineStr">
        <is>
          <t>Modular / portable power</t>
        </is>
      </c>
      <c r="D4641" s="12" t="inlineStr">
        <is>
          <t>Home run JB-RICE-4-AI01 to the control / marshalling room</t>
        </is>
      </c>
      <c r="E4641" s="12" t="inlineStr"/>
      <c r="F4641" s="12" t="inlineStr">
        <is>
          <t>PCM: power control module</t>
        </is>
      </c>
      <c r="G4641" s="12" t="inlineStr">
        <is>
          <t>JB-RICE-4-AI01</t>
        </is>
      </c>
      <c r="H4641" s="12" t="inlineStr">
        <is>
          <t>RICE engine-generator 4</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7" t="n">
        <v>550</v>
      </c>
      <c r="U4641" s="17" t="n">
        <v>53</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I-I-0275</t>
        </is>
      </c>
      <c r="B4642" s="12" t="inlineStr">
        <is>
          <t>I</t>
        </is>
      </c>
      <c r="C4642" s="12" t="inlineStr">
        <is>
          <t>Modular / portable power</t>
        </is>
      </c>
      <c r="D4642" s="12" t="inlineStr">
        <is>
          <t>Analog instrument to JB JB-RICE-4-AI02: 20 x 1 pr (field cables)</t>
        </is>
      </c>
      <c r="E4642" s="12" t="inlineStr">
        <is>
          <t>RICE-4</t>
        </is>
      </c>
      <c r="F4642" s="12" t="inlineStr">
        <is>
          <t>RICE engine-generator 4</t>
        </is>
      </c>
      <c r="G4642" s="12" t="inlineStr">
        <is>
          <t>JB-RICE-4-AI02</t>
        </is>
      </c>
      <c r="H4642" s="12" t="inlineStr">
        <is>
          <t>RICE engine-generator 4</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72</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I-I-0276</t>
        </is>
      </c>
      <c r="B4643" s="12" t="inlineStr">
        <is>
          <t>I</t>
        </is>
      </c>
      <c r="C4643" s="12" t="inlineStr">
        <is>
          <t>Modular / portable power</t>
        </is>
      </c>
      <c r="D4643" s="12" t="inlineStr">
        <is>
          <t>Home run JB-RICE-4-AI02 to the control / marshalling room</t>
        </is>
      </c>
      <c r="E4643" s="12" t="inlineStr"/>
      <c r="F4643" s="12" t="inlineStr">
        <is>
          <t>PCM: power control module</t>
        </is>
      </c>
      <c r="G4643" s="12" t="inlineStr">
        <is>
          <t>JB-RICE-4-AI02</t>
        </is>
      </c>
      <c r="H4643" s="12" t="inlineStr">
        <is>
          <t>RICE engine-generator 4</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550</v>
      </c>
      <c r="U4643" s="17" t="n">
        <v>53</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I-I-0277</t>
        </is>
      </c>
      <c r="B4644" s="12" t="inlineStr">
        <is>
          <t>I</t>
        </is>
      </c>
      <c r="C4644" s="12" t="inlineStr">
        <is>
          <t>Modular / portable power</t>
        </is>
      </c>
      <c r="D4644" s="12" t="inlineStr">
        <is>
          <t>Analog instrument to JB JB-RICE-4-AI03: 20 x 1 pr (field cables)</t>
        </is>
      </c>
      <c r="E4644" s="12" t="inlineStr">
        <is>
          <t>RICE-4</t>
        </is>
      </c>
      <c r="F4644" s="12" t="inlineStr">
        <is>
          <t>RICE engine-generator 4</t>
        </is>
      </c>
      <c r="G4644" s="12" t="inlineStr">
        <is>
          <t>JB-RICE-4-AI03</t>
        </is>
      </c>
      <c r="H4644" s="12" t="inlineStr">
        <is>
          <t>RICE engine-generator 4</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72</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I-I-0278</t>
        </is>
      </c>
      <c r="B4645" s="12" t="inlineStr">
        <is>
          <t>I</t>
        </is>
      </c>
      <c r="C4645" s="12" t="inlineStr">
        <is>
          <t>Modular / portable power</t>
        </is>
      </c>
      <c r="D4645" s="12" t="inlineStr">
        <is>
          <t>Home run JB-RICE-4-AI03 to the control / marshalling room</t>
        </is>
      </c>
      <c r="E4645" s="12" t="inlineStr"/>
      <c r="F4645" s="12" t="inlineStr">
        <is>
          <t>PCM: power control module</t>
        </is>
      </c>
      <c r="G4645" s="12" t="inlineStr">
        <is>
          <t>JB-RICE-4-AI03</t>
        </is>
      </c>
      <c r="H4645" s="12" t="inlineStr">
        <is>
          <t>RICE engine-generator 4</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550</v>
      </c>
      <c r="U4645" s="17" t="n">
        <v>53</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I-I-0279</t>
        </is>
      </c>
      <c r="B4646" s="12" t="inlineStr">
        <is>
          <t>I</t>
        </is>
      </c>
      <c r="C4646" s="12" t="inlineStr">
        <is>
          <t>Modular / portable power</t>
        </is>
      </c>
      <c r="D4646" s="12" t="inlineStr">
        <is>
          <t>Analog instrument to JB JB-RICE-4-AI04: 20 x 1 pr (field cables)</t>
        </is>
      </c>
      <c r="E4646" s="12" t="inlineStr">
        <is>
          <t>RICE-4</t>
        </is>
      </c>
      <c r="F4646" s="12" t="inlineStr">
        <is>
          <t>RICE engine-generator 4</t>
        </is>
      </c>
      <c r="G4646" s="12" t="inlineStr">
        <is>
          <t>JB-RICE-4-AI04</t>
        </is>
      </c>
      <c r="H4646" s="12" t="inlineStr">
        <is>
          <t>RICE engine-generator 4</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7" t="n">
        <v>72</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I-I-0280</t>
        </is>
      </c>
      <c r="B4647" s="12" t="inlineStr">
        <is>
          <t>I</t>
        </is>
      </c>
      <c r="C4647" s="12" t="inlineStr">
        <is>
          <t>Modular / portable power</t>
        </is>
      </c>
      <c r="D4647" s="12" t="inlineStr">
        <is>
          <t>Home run JB-RICE-4-AI04 to the control / marshalling room</t>
        </is>
      </c>
      <c r="E4647" s="12" t="inlineStr"/>
      <c r="F4647" s="12" t="inlineStr">
        <is>
          <t>PCM: power control module</t>
        </is>
      </c>
      <c r="G4647" s="12" t="inlineStr">
        <is>
          <t>JB-RICE-4-AI04</t>
        </is>
      </c>
      <c r="H4647" s="12" t="inlineStr">
        <is>
          <t>RICE engine-generator 4</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7" t="n">
        <v>550</v>
      </c>
      <c r="U4647" s="17" t="n">
        <v>53</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I-I-0281</t>
        </is>
      </c>
      <c r="B4648" s="12" t="inlineStr">
        <is>
          <t>I</t>
        </is>
      </c>
      <c r="C4648" s="12" t="inlineStr">
        <is>
          <t>Modular / portable power</t>
        </is>
      </c>
      <c r="D4648" s="12" t="inlineStr">
        <is>
          <t>Discrete device to JB JB-RICE-4-DI01: 20 x 1 pr (field cables)</t>
        </is>
      </c>
      <c r="E4648" s="12" t="inlineStr">
        <is>
          <t>RICE-4</t>
        </is>
      </c>
      <c r="F4648" s="12" t="inlineStr">
        <is>
          <t>RICE engine-generator 4</t>
        </is>
      </c>
      <c r="G4648" s="12" t="inlineStr">
        <is>
          <t>JB-RICE-4-DI01</t>
        </is>
      </c>
      <c r="H4648" s="12" t="inlineStr">
        <is>
          <t>RICE engine-generator 4</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7" t="n">
        <v>72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I-I-0282</t>
        </is>
      </c>
      <c r="B4649" s="12" t="inlineStr">
        <is>
          <t>I</t>
        </is>
      </c>
      <c r="C4649" s="12" t="inlineStr">
        <is>
          <t>Modular / portable power</t>
        </is>
      </c>
      <c r="D4649" s="12" t="inlineStr">
        <is>
          <t>Home run JB-RICE-4-DI01 to the control / marshalling room</t>
        </is>
      </c>
      <c r="E4649" s="12" t="inlineStr"/>
      <c r="F4649" s="12" t="inlineStr">
        <is>
          <t>PCM: power control module</t>
        </is>
      </c>
      <c r="G4649" s="12" t="inlineStr">
        <is>
          <t>JB-RICE-4-DI01</t>
        </is>
      </c>
      <c r="H4649" s="12" t="inlineStr">
        <is>
          <t>RICE engine-generator 4</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7" t="n">
        <v>550</v>
      </c>
      <c r="U4649" s="17" t="n">
        <v>53</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I-I-0283</t>
        </is>
      </c>
      <c r="B4650" s="12" t="inlineStr">
        <is>
          <t>I</t>
        </is>
      </c>
      <c r="C4650" s="12" t="inlineStr">
        <is>
          <t>Modular / portable power</t>
        </is>
      </c>
      <c r="D4650" s="12" t="inlineStr">
        <is>
          <t>Discrete device to JB JB-RICE-4-DI02: 20 x 1 pr (field cables)</t>
        </is>
      </c>
      <c r="E4650" s="12" t="inlineStr">
        <is>
          <t>RICE-4</t>
        </is>
      </c>
      <c r="F4650" s="12" t="inlineStr">
        <is>
          <t>RICE engine-generator 4</t>
        </is>
      </c>
      <c r="G4650" s="12" t="inlineStr">
        <is>
          <t>JB-RICE-4-DI02</t>
        </is>
      </c>
      <c r="H4650" s="12" t="inlineStr">
        <is>
          <t>RICE engine-generator 4</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7" t="n">
        <v>72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I-I-0284</t>
        </is>
      </c>
      <c r="B4651" s="12" t="inlineStr">
        <is>
          <t>I</t>
        </is>
      </c>
      <c r="C4651" s="12" t="inlineStr">
        <is>
          <t>Modular / portable power</t>
        </is>
      </c>
      <c r="D4651" s="12" t="inlineStr">
        <is>
          <t>Home run JB-RICE-4-DI02 to the control / marshalling room</t>
        </is>
      </c>
      <c r="E4651" s="12" t="inlineStr"/>
      <c r="F4651" s="12" t="inlineStr">
        <is>
          <t>PCM: power control module</t>
        </is>
      </c>
      <c r="G4651" s="12" t="inlineStr">
        <is>
          <t>JB-RICE-4-DI02</t>
        </is>
      </c>
      <c r="H4651" s="12" t="inlineStr">
        <is>
          <t>RICE engine-generator 4</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7" t="n">
        <v>550</v>
      </c>
      <c r="U4651" s="17" t="n">
        <v>53</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I-I-0285</t>
        </is>
      </c>
      <c r="B4652" s="12" t="inlineStr">
        <is>
          <t>I</t>
        </is>
      </c>
      <c r="C4652" s="12" t="inlineStr">
        <is>
          <t>Modular / portable power</t>
        </is>
      </c>
      <c r="D4652" s="12" t="inlineStr">
        <is>
          <t>Discrete device to JB JB-RICE-4-DI03: 20 x 1 pr (field cables)</t>
        </is>
      </c>
      <c r="E4652" s="12" t="inlineStr">
        <is>
          <t>RICE-4</t>
        </is>
      </c>
      <c r="F4652" s="12" t="inlineStr">
        <is>
          <t>RICE engine-generator 4</t>
        </is>
      </c>
      <c r="G4652" s="12" t="inlineStr">
        <is>
          <t>JB-RICE-4-DI03</t>
        </is>
      </c>
      <c r="H4652" s="12" t="inlineStr">
        <is>
          <t>RICE engine-generator 4</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7" t="n">
        <v>72</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I-I-0286</t>
        </is>
      </c>
      <c r="B4653" s="12" t="inlineStr">
        <is>
          <t>I</t>
        </is>
      </c>
      <c r="C4653" s="12" t="inlineStr">
        <is>
          <t>Modular / portable power</t>
        </is>
      </c>
      <c r="D4653" s="12" t="inlineStr">
        <is>
          <t>Home run JB-RICE-4-DI03 to the control / marshalling room</t>
        </is>
      </c>
      <c r="E4653" s="12" t="inlineStr"/>
      <c r="F4653" s="12" t="inlineStr">
        <is>
          <t>PCM: power control module</t>
        </is>
      </c>
      <c r="G4653" s="12" t="inlineStr">
        <is>
          <t>JB-RICE-4-DI03</t>
        </is>
      </c>
      <c r="H4653" s="12" t="inlineStr">
        <is>
          <t>RICE engine-generator 4</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7" t="n">
        <v>550</v>
      </c>
      <c r="U4653" s="17" t="n">
        <v>53</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I-I-0287</t>
        </is>
      </c>
      <c r="B4654" s="12" t="inlineStr">
        <is>
          <t>I</t>
        </is>
      </c>
      <c r="C4654" s="12" t="inlineStr">
        <is>
          <t>Modular / portable power</t>
        </is>
      </c>
      <c r="D4654" s="12" t="inlineStr">
        <is>
          <t>Thermocouple to TC JB JB-RICE-4-TC01: 20 x 1 pr (field cables)</t>
        </is>
      </c>
      <c r="E4654" s="12" t="inlineStr">
        <is>
          <t>RICE-4</t>
        </is>
      </c>
      <c r="F4654" s="12" t="inlineStr">
        <is>
          <t>RICE engine-generator 4</t>
        </is>
      </c>
      <c r="G4654" s="12" t="inlineStr">
        <is>
          <t>JB-RICE-4-TC01</t>
        </is>
      </c>
      <c r="H4654" s="12" t="inlineStr">
        <is>
          <t>RICE engine-generator 4</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7" t="n">
        <v>72</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I-I-0288</t>
        </is>
      </c>
      <c r="B4655" s="12" t="inlineStr">
        <is>
          <t>I</t>
        </is>
      </c>
      <c r="C4655" s="12" t="inlineStr">
        <is>
          <t>Modular / portable power</t>
        </is>
      </c>
      <c r="D4655" s="12" t="inlineStr">
        <is>
          <t>Home run JB-RICE-4-TC01 to the control / marshalling room</t>
        </is>
      </c>
      <c r="E4655" s="12" t="inlineStr"/>
      <c r="F4655" s="12" t="inlineStr">
        <is>
          <t>PCM: power control module</t>
        </is>
      </c>
      <c r="G4655" s="12" t="inlineStr">
        <is>
          <t>JB-RICE-4-TC01</t>
        </is>
      </c>
      <c r="H4655" s="12" t="inlineStr">
        <is>
          <t>RICE engine-generator 4</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7" t="n">
        <v>550</v>
      </c>
      <c r="U4655" s="17" t="n">
        <v>53</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I-I-0289</t>
        </is>
      </c>
      <c r="B4656" s="12" t="inlineStr">
        <is>
          <t>I</t>
        </is>
      </c>
      <c r="C4656" s="12" t="inlineStr">
        <is>
          <t>Modular / portable power</t>
        </is>
      </c>
      <c r="D4656" s="12" t="inlineStr">
        <is>
          <t>Thermocouple to TC JB JB-RICE-4-TC02: 10 x 1 pr (field cables)</t>
        </is>
      </c>
      <c r="E4656" s="12" t="inlineStr">
        <is>
          <t>RICE-4</t>
        </is>
      </c>
      <c r="F4656" s="12" t="inlineStr">
        <is>
          <t>RICE engine-generator 4</t>
        </is>
      </c>
      <c r="G4656" s="12" t="inlineStr">
        <is>
          <t>JB-RICE-4-TC02</t>
        </is>
      </c>
      <c r="H4656" s="12" t="inlineStr">
        <is>
          <t>RICE engine-generator 4</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7" t="n">
        <v>72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I-I-0290</t>
        </is>
      </c>
      <c r="B4657" s="12" t="inlineStr">
        <is>
          <t>I</t>
        </is>
      </c>
      <c r="C4657" s="12" t="inlineStr">
        <is>
          <t>Modular / portable power</t>
        </is>
      </c>
      <c r="D4657" s="12" t="inlineStr">
        <is>
          <t>Home run JB-RICE-4-TC02 to the control / marshalling room</t>
        </is>
      </c>
      <c r="E4657" s="12" t="inlineStr"/>
      <c r="F4657" s="12" t="inlineStr">
        <is>
          <t>PCM: power control module</t>
        </is>
      </c>
      <c r="G4657" s="12" t="inlineStr">
        <is>
          <t>JB-RICE-4-TC02</t>
        </is>
      </c>
      <c r="H4657" s="12" t="inlineStr">
        <is>
          <t>RICE engine-generator 4</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7" t="n">
        <v>550</v>
      </c>
      <c r="U4657" s="17" t="n">
        <v>53</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I-I-0291</t>
        </is>
      </c>
      <c r="B4658" s="12" t="inlineStr">
        <is>
          <t>I</t>
        </is>
      </c>
      <c r="C4658" s="12" t="inlineStr">
        <is>
          <t>Modular / portable power</t>
        </is>
      </c>
      <c r="D4658" s="12" t="inlineStr">
        <is>
          <t>RTD to JB JB-RICE-4-RTD01: 10 x 1 tri (field cables)</t>
        </is>
      </c>
      <c r="E4658" s="12" t="inlineStr">
        <is>
          <t>RICE-4</t>
        </is>
      </c>
      <c r="F4658" s="12" t="inlineStr">
        <is>
          <t>RICE engine-generator 4</t>
        </is>
      </c>
      <c r="G4658" s="12" t="inlineStr">
        <is>
          <t>JB-RICE-4-RTD01</t>
        </is>
      </c>
      <c r="H4658" s="12" t="inlineStr">
        <is>
          <t>RICE engine-generator 4</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7" t="n">
        <v>72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I-I-0292</t>
        </is>
      </c>
      <c r="B4659" s="12" t="inlineStr">
        <is>
          <t>I</t>
        </is>
      </c>
      <c r="C4659" s="12" t="inlineStr">
        <is>
          <t>Modular / portable power</t>
        </is>
      </c>
      <c r="D4659" s="12" t="inlineStr">
        <is>
          <t>Home run JB-RICE-4-RTD01 to the control / marshalling room</t>
        </is>
      </c>
      <c r="E4659" s="12" t="inlineStr"/>
      <c r="F4659" s="12" t="inlineStr">
        <is>
          <t>PCM: power control module</t>
        </is>
      </c>
      <c r="G4659" s="12" t="inlineStr">
        <is>
          <t>JB-RICE-4-RTD01</t>
        </is>
      </c>
      <c r="H4659" s="12" t="inlineStr">
        <is>
          <t>RICE engine-generator 4</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7" t="n">
        <v>550</v>
      </c>
      <c r="U4659" s="17" t="n">
        <v>53</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I-I-0293</t>
        </is>
      </c>
      <c r="B4660" s="12" t="inlineStr">
        <is>
          <t>I</t>
        </is>
      </c>
      <c r="C4660" s="12" t="inlineStr">
        <is>
          <t>Modular / portable power</t>
        </is>
      </c>
      <c r="D4660" s="12" t="inlineStr">
        <is>
          <t>RTD to JB JB-RICE-4-RTD02: 2 x 1 tri (field cables)</t>
        </is>
      </c>
      <c r="E4660" s="12" t="inlineStr">
        <is>
          <t>RICE-4</t>
        </is>
      </c>
      <c r="F4660" s="12" t="inlineStr">
        <is>
          <t>RICE engine-generator 4</t>
        </is>
      </c>
      <c r="G4660" s="12" t="inlineStr">
        <is>
          <t>JB-RICE-4-RTD02</t>
        </is>
      </c>
      <c r="H4660" s="12" t="inlineStr">
        <is>
          <t>RICE engine-generator 4</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7" t="n">
        <v>72</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I-I-0294</t>
        </is>
      </c>
      <c r="B4661" s="12" t="inlineStr">
        <is>
          <t>I</t>
        </is>
      </c>
      <c r="C4661" s="12" t="inlineStr">
        <is>
          <t>Modular / portable power</t>
        </is>
      </c>
      <c r="D4661" s="12" t="inlineStr">
        <is>
          <t>Home run JB-RICE-4-RTD02 to the control / marshalling room</t>
        </is>
      </c>
      <c r="E4661" s="12" t="inlineStr"/>
      <c r="F4661" s="12" t="inlineStr">
        <is>
          <t>PCM: power control module</t>
        </is>
      </c>
      <c r="G4661" s="12" t="inlineStr">
        <is>
          <t>JB-RICE-4-RTD02</t>
        </is>
      </c>
      <c r="H4661" s="12" t="inlineStr">
        <is>
          <t>RICE engine-generator 4</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7" t="n">
        <v>550</v>
      </c>
      <c r="U4661" s="17" t="n">
        <v>53</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I-I-0295</t>
        </is>
      </c>
      <c r="B4662" s="12" t="inlineStr">
        <is>
          <t>I</t>
        </is>
      </c>
      <c r="C4662" s="12" t="inlineStr">
        <is>
          <t>Modular / portable power</t>
        </is>
      </c>
      <c r="D4662" s="12" t="inlineStr">
        <is>
          <t>Analog instrument to JB JB-RICE-5-AI01: 20 x 1 pr (field cables)</t>
        </is>
      </c>
      <c r="E4662" s="12" t="inlineStr">
        <is>
          <t>RICE-5</t>
        </is>
      </c>
      <c r="F4662" s="12" t="inlineStr">
        <is>
          <t>RICE engine-generator 5</t>
        </is>
      </c>
      <c r="G4662" s="12" t="inlineStr">
        <is>
          <t>JB-RICE-5-AI01</t>
        </is>
      </c>
      <c r="H4662" s="12" t="inlineStr">
        <is>
          <t>RICE engine-generator 5</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7" t="n">
        <v>72</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I-I-0296</t>
        </is>
      </c>
      <c r="B4663" s="12" t="inlineStr">
        <is>
          <t>I</t>
        </is>
      </c>
      <c r="C4663" s="12" t="inlineStr">
        <is>
          <t>Modular / portable power</t>
        </is>
      </c>
      <c r="D4663" s="12" t="inlineStr">
        <is>
          <t>Home run JB-RICE-5-AI01 to the control / marshalling room</t>
        </is>
      </c>
      <c r="E4663" s="12" t="inlineStr"/>
      <c r="F4663" s="12" t="inlineStr">
        <is>
          <t>PCM: power control module</t>
        </is>
      </c>
      <c r="G4663" s="12" t="inlineStr">
        <is>
          <t>JB-RICE-5-AI01</t>
        </is>
      </c>
      <c r="H4663" s="12" t="inlineStr">
        <is>
          <t>RICE engine-generator 5</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7" t="n">
        <v>367</v>
      </c>
      <c r="U4663" s="17" t="n">
        <v>208</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I-I-0297</t>
        </is>
      </c>
      <c r="B4664" s="12" t="inlineStr">
        <is>
          <t>I</t>
        </is>
      </c>
      <c r="C4664" s="12" t="inlineStr">
        <is>
          <t>Modular / portable power</t>
        </is>
      </c>
      <c r="D4664" s="12" t="inlineStr">
        <is>
          <t>Analog instrument to JB JB-RICE-5-AI02: 20 x 1 pr (field cables)</t>
        </is>
      </c>
      <c r="E4664" s="12" t="inlineStr">
        <is>
          <t>RICE-5</t>
        </is>
      </c>
      <c r="F4664" s="12" t="inlineStr">
        <is>
          <t>RICE engine-generator 5</t>
        </is>
      </c>
      <c r="G4664" s="12" t="inlineStr">
        <is>
          <t>JB-RICE-5-AI02</t>
        </is>
      </c>
      <c r="H4664" s="12" t="inlineStr">
        <is>
          <t>RICE engine-generator 5</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7" t="n">
        <v>72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I-I-0298</t>
        </is>
      </c>
      <c r="B4665" s="12" t="inlineStr">
        <is>
          <t>I</t>
        </is>
      </c>
      <c r="C4665" s="12" t="inlineStr">
        <is>
          <t>Modular / portable power</t>
        </is>
      </c>
      <c r="D4665" s="12" t="inlineStr">
        <is>
          <t>Home run JB-RICE-5-AI02 to the control / marshalling room</t>
        </is>
      </c>
      <c r="E4665" s="12" t="inlineStr"/>
      <c r="F4665" s="12" t="inlineStr">
        <is>
          <t>PCM: power control module</t>
        </is>
      </c>
      <c r="G4665" s="12" t="inlineStr">
        <is>
          <t>JB-RICE-5-AI02</t>
        </is>
      </c>
      <c r="H4665" s="12" t="inlineStr">
        <is>
          <t>RICE engine-generator 5</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367</v>
      </c>
      <c r="U4665" s="17" t="n">
        <v>208</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I-I-0299</t>
        </is>
      </c>
      <c r="B4666" s="12" t="inlineStr">
        <is>
          <t>I</t>
        </is>
      </c>
      <c r="C4666" s="12" t="inlineStr">
        <is>
          <t>Modular / portable power</t>
        </is>
      </c>
      <c r="D4666" s="12" t="inlineStr">
        <is>
          <t>Analog instrument to JB JB-RICE-5-AI03: 20 x 1 pr (field cables)</t>
        </is>
      </c>
      <c r="E4666" s="12" t="inlineStr">
        <is>
          <t>RICE-5</t>
        </is>
      </c>
      <c r="F4666" s="12" t="inlineStr">
        <is>
          <t>RICE engine-generator 5</t>
        </is>
      </c>
      <c r="G4666" s="12" t="inlineStr">
        <is>
          <t>JB-RICE-5-AI03</t>
        </is>
      </c>
      <c r="H4666" s="12" t="inlineStr">
        <is>
          <t>RICE engine-generator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7" t="n">
        <v>72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I-I-0300</t>
        </is>
      </c>
      <c r="B4667" s="12" t="inlineStr">
        <is>
          <t>I</t>
        </is>
      </c>
      <c r="C4667" s="12" t="inlineStr">
        <is>
          <t>Modular / portable power</t>
        </is>
      </c>
      <c r="D4667" s="12" t="inlineStr">
        <is>
          <t>Home run JB-RICE-5-AI03 to the control / marshalling room</t>
        </is>
      </c>
      <c r="E4667" s="12" t="inlineStr"/>
      <c r="F4667" s="12" t="inlineStr">
        <is>
          <t>PCM: power control module</t>
        </is>
      </c>
      <c r="G4667" s="12" t="inlineStr">
        <is>
          <t>JB-RICE-5-AI03</t>
        </is>
      </c>
      <c r="H4667" s="12" t="inlineStr">
        <is>
          <t>RICE engine-generator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367</v>
      </c>
      <c r="U4667" s="17" t="n">
        <v>208</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I-I-0301</t>
        </is>
      </c>
      <c r="B4668" s="12" t="inlineStr">
        <is>
          <t>I</t>
        </is>
      </c>
      <c r="C4668" s="12" t="inlineStr">
        <is>
          <t>Modular / portable power</t>
        </is>
      </c>
      <c r="D4668" s="12" t="inlineStr">
        <is>
          <t>Analog instrument to JB JB-RICE-5-AI04: 20 x 1 pr (field cables)</t>
        </is>
      </c>
      <c r="E4668" s="12" t="inlineStr">
        <is>
          <t>RICE-5</t>
        </is>
      </c>
      <c r="F4668" s="12" t="inlineStr">
        <is>
          <t>RICE engine-generator 5</t>
        </is>
      </c>
      <c r="G4668" s="12" t="inlineStr">
        <is>
          <t>JB-RICE-5-AI04</t>
        </is>
      </c>
      <c r="H4668" s="12" t="inlineStr">
        <is>
          <t>RICE engine-generator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7" t="n">
        <v>72</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I-I-0302</t>
        </is>
      </c>
      <c r="B4669" s="12" t="inlineStr">
        <is>
          <t>I</t>
        </is>
      </c>
      <c r="C4669" s="12" t="inlineStr">
        <is>
          <t>Modular / portable power</t>
        </is>
      </c>
      <c r="D4669" s="12" t="inlineStr">
        <is>
          <t>Home run JB-RICE-5-AI04 to the control / marshalling room</t>
        </is>
      </c>
      <c r="E4669" s="12" t="inlineStr"/>
      <c r="F4669" s="12" t="inlineStr">
        <is>
          <t>PCM: power control module</t>
        </is>
      </c>
      <c r="G4669" s="12" t="inlineStr">
        <is>
          <t>JB-RICE-5-AI04</t>
        </is>
      </c>
      <c r="H4669" s="12" t="inlineStr">
        <is>
          <t>RICE engine-generator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7" t="n">
        <v>367</v>
      </c>
      <c r="U4669" s="17" t="n">
        <v>208</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I-I-0303</t>
        </is>
      </c>
      <c r="B4670" s="12" t="inlineStr">
        <is>
          <t>I</t>
        </is>
      </c>
      <c r="C4670" s="12" t="inlineStr">
        <is>
          <t>Modular / portable power</t>
        </is>
      </c>
      <c r="D4670" s="12" t="inlineStr">
        <is>
          <t>Discrete device to JB JB-RICE-5-DI01: 20 x 1 pr (field cables)</t>
        </is>
      </c>
      <c r="E4670" s="12" t="inlineStr">
        <is>
          <t>RICE-5</t>
        </is>
      </c>
      <c r="F4670" s="12" t="inlineStr">
        <is>
          <t>RICE engine-generator 5</t>
        </is>
      </c>
      <c r="G4670" s="12" t="inlineStr">
        <is>
          <t>JB-RICE-5-DI01</t>
        </is>
      </c>
      <c r="H4670" s="12" t="inlineStr">
        <is>
          <t>RICE engine-generator 5</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7" t="n">
        <v>72</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I-I-0304</t>
        </is>
      </c>
      <c r="B4671" s="12" t="inlineStr">
        <is>
          <t>I</t>
        </is>
      </c>
      <c r="C4671" s="12" t="inlineStr">
        <is>
          <t>Modular / portable power</t>
        </is>
      </c>
      <c r="D4671" s="12" t="inlineStr">
        <is>
          <t>Home run JB-RICE-5-DI01 to the control / marshalling room</t>
        </is>
      </c>
      <c r="E4671" s="12" t="inlineStr"/>
      <c r="F4671" s="12" t="inlineStr">
        <is>
          <t>PCM: power control module</t>
        </is>
      </c>
      <c r="G4671" s="12" t="inlineStr">
        <is>
          <t>JB-RICE-5-DI01</t>
        </is>
      </c>
      <c r="H4671" s="12" t="inlineStr">
        <is>
          <t>RICE engine-generator 5</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7" t="n">
        <v>367</v>
      </c>
      <c r="U4671" s="17" t="n">
        <v>208</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I-I-0305</t>
        </is>
      </c>
      <c r="B4672" s="12" t="inlineStr">
        <is>
          <t>I</t>
        </is>
      </c>
      <c r="C4672" s="12" t="inlineStr">
        <is>
          <t>Modular / portable power</t>
        </is>
      </c>
      <c r="D4672" s="12" t="inlineStr">
        <is>
          <t>Discrete device to JB JB-RICE-5-DI02: 20 x 1 pr (field cables)</t>
        </is>
      </c>
      <c r="E4672" s="12" t="inlineStr">
        <is>
          <t>RICE-5</t>
        </is>
      </c>
      <c r="F4672" s="12" t="inlineStr">
        <is>
          <t>RICE engine-generator 5</t>
        </is>
      </c>
      <c r="G4672" s="12" t="inlineStr">
        <is>
          <t>JB-RICE-5-DI02</t>
        </is>
      </c>
      <c r="H4672" s="12" t="inlineStr">
        <is>
          <t>RICE engine-generator 5</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7" t="n">
        <v>72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I-I-0306</t>
        </is>
      </c>
      <c r="B4673" s="12" t="inlineStr">
        <is>
          <t>I</t>
        </is>
      </c>
      <c r="C4673" s="12" t="inlineStr">
        <is>
          <t>Modular / portable power</t>
        </is>
      </c>
      <c r="D4673" s="12" t="inlineStr">
        <is>
          <t>Home run JB-RICE-5-DI02 to the control / marshalling room</t>
        </is>
      </c>
      <c r="E4673" s="12" t="inlineStr"/>
      <c r="F4673" s="12" t="inlineStr">
        <is>
          <t>PCM: power control module</t>
        </is>
      </c>
      <c r="G4673" s="12" t="inlineStr">
        <is>
          <t>JB-RICE-5-DI02</t>
        </is>
      </c>
      <c r="H4673" s="12" t="inlineStr">
        <is>
          <t>RICE engine-generator 5</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7" t="n">
        <v>367</v>
      </c>
      <c r="U4673" s="17" t="n">
        <v>208</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I-I-0307</t>
        </is>
      </c>
      <c r="B4674" s="12" t="inlineStr">
        <is>
          <t>I</t>
        </is>
      </c>
      <c r="C4674" s="12" t="inlineStr">
        <is>
          <t>Modular / portable power</t>
        </is>
      </c>
      <c r="D4674" s="12" t="inlineStr">
        <is>
          <t>Discrete device to JB JB-RICE-5-DI03: 20 x 1 pr (field cables)</t>
        </is>
      </c>
      <c r="E4674" s="12" t="inlineStr">
        <is>
          <t>RICE-5</t>
        </is>
      </c>
      <c r="F4674" s="12" t="inlineStr">
        <is>
          <t>RICE engine-generator 5</t>
        </is>
      </c>
      <c r="G4674" s="12" t="inlineStr">
        <is>
          <t>JB-RICE-5-DI03</t>
        </is>
      </c>
      <c r="H4674" s="12" t="inlineStr">
        <is>
          <t>RICE engine-generator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7" t="n">
        <v>72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I-I-0308</t>
        </is>
      </c>
      <c r="B4675" s="12" t="inlineStr">
        <is>
          <t>I</t>
        </is>
      </c>
      <c r="C4675" s="12" t="inlineStr">
        <is>
          <t>Modular / portable power</t>
        </is>
      </c>
      <c r="D4675" s="12" t="inlineStr">
        <is>
          <t>Home run JB-RICE-5-DI03 to the control / marshalling room</t>
        </is>
      </c>
      <c r="E4675" s="12" t="inlineStr"/>
      <c r="F4675" s="12" t="inlineStr">
        <is>
          <t>PCM: power control module</t>
        </is>
      </c>
      <c r="G4675" s="12" t="inlineStr">
        <is>
          <t>JB-RICE-5-DI03</t>
        </is>
      </c>
      <c r="H4675" s="12" t="inlineStr">
        <is>
          <t>RICE engine-generator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7" t="n">
        <v>367</v>
      </c>
      <c r="U4675" s="17" t="n">
        <v>208</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I-I-0309</t>
        </is>
      </c>
      <c r="B4676" s="12" t="inlineStr">
        <is>
          <t>I</t>
        </is>
      </c>
      <c r="C4676" s="12" t="inlineStr">
        <is>
          <t>Modular / portable power</t>
        </is>
      </c>
      <c r="D4676" s="12" t="inlineStr">
        <is>
          <t>Thermocouple to TC JB JB-RICE-5-TC01: 20 x 1 pr (field cables)</t>
        </is>
      </c>
      <c r="E4676" s="12" t="inlineStr">
        <is>
          <t>RICE-5</t>
        </is>
      </c>
      <c r="F4676" s="12" t="inlineStr">
        <is>
          <t>RICE engine-generator 5</t>
        </is>
      </c>
      <c r="G4676" s="12" t="inlineStr">
        <is>
          <t>JB-RICE-5-TC01</t>
        </is>
      </c>
      <c r="H4676" s="12" t="inlineStr">
        <is>
          <t>RICE engine-generator 5</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7" t="n">
        <v>72</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I-I-0310</t>
        </is>
      </c>
      <c r="B4677" s="12" t="inlineStr">
        <is>
          <t>I</t>
        </is>
      </c>
      <c r="C4677" s="12" t="inlineStr">
        <is>
          <t>Modular / portable power</t>
        </is>
      </c>
      <c r="D4677" s="12" t="inlineStr">
        <is>
          <t>Home run JB-RICE-5-TC01 to the control / marshalling room</t>
        </is>
      </c>
      <c r="E4677" s="12" t="inlineStr"/>
      <c r="F4677" s="12" t="inlineStr">
        <is>
          <t>PCM: power control module</t>
        </is>
      </c>
      <c r="G4677" s="12" t="inlineStr">
        <is>
          <t>JB-RICE-5-TC01</t>
        </is>
      </c>
      <c r="H4677" s="12" t="inlineStr">
        <is>
          <t>RICE engine-generator 5</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7" t="n">
        <v>367</v>
      </c>
      <c r="U4677" s="17" t="n">
        <v>208</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I-I-0311</t>
        </is>
      </c>
      <c r="B4678" s="12" t="inlineStr">
        <is>
          <t>I</t>
        </is>
      </c>
      <c r="C4678" s="12" t="inlineStr">
        <is>
          <t>Modular / portable power</t>
        </is>
      </c>
      <c r="D4678" s="12" t="inlineStr">
        <is>
          <t>Thermocouple to TC JB JB-RICE-5-TC02: 10 x 1 pr (field cables)</t>
        </is>
      </c>
      <c r="E4678" s="12" t="inlineStr">
        <is>
          <t>RICE-5</t>
        </is>
      </c>
      <c r="F4678" s="12" t="inlineStr">
        <is>
          <t>RICE engine-generator 5</t>
        </is>
      </c>
      <c r="G4678" s="12" t="inlineStr">
        <is>
          <t>JB-RICE-5-TC02</t>
        </is>
      </c>
      <c r="H4678" s="12" t="inlineStr">
        <is>
          <t>RICE engine-generator 5</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7" t="n">
        <v>72</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I-I-0312</t>
        </is>
      </c>
      <c r="B4679" s="12" t="inlineStr">
        <is>
          <t>I</t>
        </is>
      </c>
      <c r="C4679" s="12" t="inlineStr">
        <is>
          <t>Modular / portable power</t>
        </is>
      </c>
      <c r="D4679" s="12" t="inlineStr">
        <is>
          <t>Home run JB-RICE-5-TC02 to the control / marshalling room</t>
        </is>
      </c>
      <c r="E4679" s="12" t="inlineStr"/>
      <c r="F4679" s="12" t="inlineStr">
        <is>
          <t>PCM: power control module</t>
        </is>
      </c>
      <c r="G4679" s="12" t="inlineStr">
        <is>
          <t>JB-RICE-5-TC02</t>
        </is>
      </c>
      <c r="H4679" s="12" t="inlineStr">
        <is>
          <t>RICE engine-generator 5</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7" t="n">
        <v>367</v>
      </c>
      <c r="U4679" s="17" t="n">
        <v>208</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I-I-0313</t>
        </is>
      </c>
      <c r="B4680" s="12" t="inlineStr">
        <is>
          <t>I</t>
        </is>
      </c>
      <c r="C4680" s="12" t="inlineStr">
        <is>
          <t>Modular / portable power</t>
        </is>
      </c>
      <c r="D4680" s="12" t="inlineStr">
        <is>
          <t>RTD to JB JB-RICE-5-RTD01: 10 x 1 tri (field cables)</t>
        </is>
      </c>
      <c r="E4680" s="12" t="inlineStr">
        <is>
          <t>RICE-5</t>
        </is>
      </c>
      <c r="F4680" s="12" t="inlineStr">
        <is>
          <t>RICE engine-generator 5</t>
        </is>
      </c>
      <c r="G4680" s="12" t="inlineStr">
        <is>
          <t>JB-RICE-5-RTD01</t>
        </is>
      </c>
      <c r="H4680" s="12" t="inlineStr">
        <is>
          <t>RICE engine-generator 5</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7" t="n">
        <v>72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I-I-0314</t>
        </is>
      </c>
      <c r="B4681" s="12" t="inlineStr">
        <is>
          <t>I</t>
        </is>
      </c>
      <c r="C4681" s="12" t="inlineStr">
        <is>
          <t>Modular / portable power</t>
        </is>
      </c>
      <c r="D4681" s="12" t="inlineStr">
        <is>
          <t>Home run JB-RICE-5-RTD01 to the control / marshalling room</t>
        </is>
      </c>
      <c r="E4681" s="12" t="inlineStr"/>
      <c r="F4681" s="12" t="inlineStr">
        <is>
          <t>PCM: power control module</t>
        </is>
      </c>
      <c r="G4681" s="12" t="inlineStr">
        <is>
          <t>JB-RICE-5-RTD01</t>
        </is>
      </c>
      <c r="H4681" s="12" t="inlineStr">
        <is>
          <t>RICE engine-generator 5</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7" t="n">
        <v>367</v>
      </c>
      <c r="U4681" s="17" t="n">
        <v>208</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I-I-0315</t>
        </is>
      </c>
      <c r="B4682" s="12" t="inlineStr">
        <is>
          <t>I</t>
        </is>
      </c>
      <c r="C4682" s="12" t="inlineStr">
        <is>
          <t>Modular / portable power</t>
        </is>
      </c>
      <c r="D4682" s="12" t="inlineStr">
        <is>
          <t>RTD to JB JB-RICE-5-RTD02: 2 x 1 tri (field cables)</t>
        </is>
      </c>
      <c r="E4682" s="12" t="inlineStr">
        <is>
          <t>RICE-5</t>
        </is>
      </c>
      <c r="F4682" s="12" t="inlineStr">
        <is>
          <t>RICE engine-generator 5</t>
        </is>
      </c>
      <c r="G4682" s="12" t="inlineStr">
        <is>
          <t>JB-RICE-5-RTD02</t>
        </is>
      </c>
      <c r="H4682" s="12" t="inlineStr">
        <is>
          <t>RICE engine-generator 5</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7" t="n">
        <v>72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I-I-0316</t>
        </is>
      </c>
      <c r="B4683" s="12" t="inlineStr">
        <is>
          <t>I</t>
        </is>
      </c>
      <c r="C4683" s="12" t="inlineStr">
        <is>
          <t>Modular / portable power</t>
        </is>
      </c>
      <c r="D4683" s="12" t="inlineStr">
        <is>
          <t>Home run JB-RICE-5-RTD02 to the control / marshalling room</t>
        </is>
      </c>
      <c r="E4683" s="12" t="inlineStr"/>
      <c r="F4683" s="12" t="inlineStr">
        <is>
          <t>PCM: power control module</t>
        </is>
      </c>
      <c r="G4683" s="12" t="inlineStr">
        <is>
          <t>JB-RICE-5-RTD02</t>
        </is>
      </c>
      <c r="H4683" s="12" t="inlineStr">
        <is>
          <t>RICE engine-generator 5</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7" t="n">
        <v>367</v>
      </c>
      <c r="U4683" s="17" t="n">
        <v>208</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I-I-0317</t>
        </is>
      </c>
      <c r="B4684" s="12" t="inlineStr">
        <is>
          <t>I</t>
        </is>
      </c>
      <c r="C4684" s="12" t="inlineStr">
        <is>
          <t>Modular / portable power</t>
        </is>
      </c>
      <c r="D4684" s="12" t="inlineStr">
        <is>
          <t>Analog instrument to JB JB-RICE-6-AI01: 20 x 1 pr (field cables)</t>
        </is>
      </c>
      <c r="E4684" s="12" t="inlineStr">
        <is>
          <t>RICE-6</t>
        </is>
      </c>
      <c r="F4684" s="12" t="inlineStr">
        <is>
          <t>RICE engine-generator 6</t>
        </is>
      </c>
      <c r="G4684" s="12" t="inlineStr">
        <is>
          <t>JB-RICE-6-AI01</t>
        </is>
      </c>
      <c r="H4684" s="12" t="inlineStr">
        <is>
          <t>RICE engine-generator 6</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7" t="n">
        <v>72</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I-I-0318</t>
        </is>
      </c>
      <c r="B4685" s="12" t="inlineStr">
        <is>
          <t>I</t>
        </is>
      </c>
      <c r="C4685" s="12" t="inlineStr">
        <is>
          <t>Modular / portable power</t>
        </is>
      </c>
      <c r="D4685" s="12" t="inlineStr">
        <is>
          <t>Home run JB-RICE-6-AI01 to the control / marshalling room</t>
        </is>
      </c>
      <c r="E4685" s="12" t="inlineStr"/>
      <c r="F4685" s="12" t="inlineStr">
        <is>
          <t>PCM: power control module</t>
        </is>
      </c>
      <c r="G4685" s="12" t="inlineStr">
        <is>
          <t>JB-RICE-6-AI01</t>
        </is>
      </c>
      <c r="H4685" s="12" t="inlineStr">
        <is>
          <t>RICE engine-generator 6</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7" t="n">
        <v>367</v>
      </c>
      <c r="U4685" s="17" t="n">
        <v>180</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I-I-0319</t>
        </is>
      </c>
      <c r="B4686" s="12" t="inlineStr">
        <is>
          <t>I</t>
        </is>
      </c>
      <c r="C4686" s="12" t="inlineStr">
        <is>
          <t>Modular / portable power</t>
        </is>
      </c>
      <c r="D4686" s="12" t="inlineStr">
        <is>
          <t>Analog instrument to JB JB-RICE-6-AI02: 20 x 1 pr (field cables)</t>
        </is>
      </c>
      <c r="E4686" s="12" t="inlineStr">
        <is>
          <t>RICE-6</t>
        </is>
      </c>
      <c r="F4686" s="12" t="inlineStr">
        <is>
          <t>RICE engine-generator 6</t>
        </is>
      </c>
      <c r="G4686" s="12" t="inlineStr">
        <is>
          <t>JB-RICE-6-AI02</t>
        </is>
      </c>
      <c r="H4686" s="12" t="inlineStr">
        <is>
          <t>RICE engine-generator 6</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7" t="n">
        <v>72</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I-I-0320</t>
        </is>
      </c>
      <c r="B4687" s="12" t="inlineStr">
        <is>
          <t>I</t>
        </is>
      </c>
      <c r="C4687" s="12" t="inlineStr">
        <is>
          <t>Modular / portable power</t>
        </is>
      </c>
      <c r="D4687" s="12" t="inlineStr">
        <is>
          <t>Home run JB-RICE-6-AI02 to the control / marshalling room</t>
        </is>
      </c>
      <c r="E4687" s="12" t="inlineStr"/>
      <c r="F4687" s="12" t="inlineStr">
        <is>
          <t>PCM: power control module</t>
        </is>
      </c>
      <c r="G4687" s="12" t="inlineStr">
        <is>
          <t>JB-RICE-6-AI02</t>
        </is>
      </c>
      <c r="H4687" s="12" t="inlineStr">
        <is>
          <t>RICE engine-generator 6</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7" t="n">
        <v>367</v>
      </c>
      <c r="U4687" s="17" t="n">
        <v>180</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I-I-0321</t>
        </is>
      </c>
      <c r="B4688" s="12" t="inlineStr">
        <is>
          <t>I</t>
        </is>
      </c>
      <c r="C4688" s="12" t="inlineStr">
        <is>
          <t>Modular / portable power</t>
        </is>
      </c>
      <c r="D4688" s="12" t="inlineStr">
        <is>
          <t>Analog instrument to JB JB-RICE-6-AI03: 20 x 1 pr (field cables)</t>
        </is>
      </c>
      <c r="E4688" s="12" t="inlineStr">
        <is>
          <t>RICE-6</t>
        </is>
      </c>
      <c r="F4688" s="12" t="inlineStr">
        <is>
          <t>RICE engine-generator 6</t>
        </is>
      </c>
      <c r="G4688" s="12" t="inlineStr">
        <is>
          <t>JB-RICE-6-AI03</t>
        </is>
      </c>
      <c r="H4688" s="12" t="inlineStr">
        <is>
          <t>RICE engine-generator 6</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7" t="n">
        <v>72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I-I-0322</t>
        </is>
      </c>
      <c r="B4689" s="12" t="inlineStr">
        <is>
          <t>I</t>
        </is>
      </c>
      <c r="C4689" s="12" t="inlineStr">
        <is>
          <t>Modular / portable power</t>
        </is>
      </c>
      <c r="D4689" s="12" t="inlineStr">
        <is>
          <t>Home run JB-RICE-6-AI03 to the control / marshalling room</t>
        </is>
      </c>
      <c r="E4689" s="12" t="inlineStr"/>
      <c r="F4689" s="12" t="inlineStr">
        <is>
          <t>PCM: power control module</t>
        </is>
      </c>
      <c r="G4689" s="12" t="inlineStr">
        <is>
          <t>JB-RICE-6-AI03</t>
        </is>
      </c>
      <c r="H4689" s="12" t="inlineStr">
        <is>
          <t>RICE engine-generator 6</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367</v>
      </c>
      <c r="U4689" s="17" t="n">
        <v>180</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I-I-0323</t>
        </is>
      </c>
      <c r="B4690" s="12" t="inlineStr">
        <is>
          <t>I</t>
        </is>
      </c>
      <c r="C4690" s="12" t="inlineStr">
        <is>
          <t>Modular / portable power</t>
        </is>
      </c>
      <c r="D4690" s="12" t="inlineStr">
        <is>
          <t>Analog instrument to JB JB-RICE-6-AI04: 20 x 1 pr (field cables)</t>
        </is>
      </c>
      <c r="E4690" s="12" t="inlineStr">
        <is>
          <t>RICE-6</t>
        </is>
      </c>
      <c r="F4690" s="12" t="inlineStr">
        <is>
          <t>RICE engine-generator 6</t>
        </is>
      </c>
      <c r="G4690" s="12" t="inlineStr">
        <is>
          <t>JB-RICE-6-AI04</t>
        </is>
      </c>
      <c r="H4690" s="12" t="inlineStr">
        <is>
          <t>RICE engine-generator 6</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7" t="n">
        <v>72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I-I-0324</t>
        </is>
      </c>
      <c r="B4691" s="12" t="inlineStr">
        <is>
          <t>I</t>
        </is>
      </c>
      <c r="C4691" s="12" t="inlineStr">
        <is>
          <t>Modular / portable power</t>
        </is>
      </c>
      <c r="D4691" s="12" t="inlineStr">
        <is>
          <t>Home run JB-RICE-6-AI04 to the control / marshalling room</t>
        </is>
      </c>
      <c r="E4691" s="12" t="inlineStr"/>
      <c r="F4691" s="12" t="inlineStr">
        <is>
          <t>PCM: power control module</t>
        </is>
      </c>
      <c r="G4691" s="12" t="inlineStr">
        <is>
          <t>JB-RICE-6-AI04</t>
        </is>
      </c>
      <c r="H4691" s="12" t="inlineStr">
        <is>
          <t>RICE engine-generator 6</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7" t="n">
        <v>367</v>
      </c>
      <c r="U4691" s="17" t="n">
        <v>180</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I-I-0325</t>
        </is>
      </c>
      <c r="B4692" s="12" t="inlineStr">
        <is>
          <t>I</t>
        </is>
      </c>
      <c r="C4692" s="12" t="inlineStr">
        <is>
          <t>Modular / portable power</t>
        </is>
      </c>
      <c r="D4692" s="12" t="inlineStr">
        <is>
          <t>Discrete device to JB JB-RICE-6-DI01: 20 x 1 pr (field cables)</t>
        </is>
      </c>
      <c r="E4692" s="12" t="inlineStr">
        <is>
          <t>RICE-6</t>
        </is>
      </c>
      <c r="F4692" s="12" t="inlineStr">
        <is>
          <t>RICE engine-generator 6</t>
        </is>
      </c>
      <c r="G4692" s="12" t="inlineStr">
        <is>
          <t>JB-RICE-6-DI01</t>
        </is>
      </c>
      <c r="H4692" s="12" t="inlineStr">
        <is>
          <t>RICE engine-generator 6</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7" t="n">
        <v>72</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I-I-0326</t>
        </is>
      </c>
      <c r="B4693" s="12" t="inlineStr">
        <is>
          <t>I</t>
        </is>
      </c>
      <c r="C4693" s="12" t="inlineStr">
        <is>
          <t>Modular / portable power</t>
        </is>
      </c>
      <c r="D4693" s="12" t="inlineStr">
        <is>
          <t>Home run JB-RICE-6-DI01 to the control / marshalling room</t>
        </is>
      </c>
      <c r="E4693" s="12" t="inlineStr"/>
      <c r="F4693" s="12" t="inlineStr">
        <is>
          <t>PCM: power control module</t>
        </is>
      </c>
      <c r="G4693" s="12" t="inlineStr">
        <is>
          <t>JB-RICE-6-DI01</t>
        </is>
      </c>
      <c r="H4693" s="12" t="inlineStr">
        <is>
          <t>RICE engine-generator 6</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7" t="n">
        <v>367</v>
      </c>
      <c r="U4693" s="17" t="n">
        <v>180</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I-I-0327</t>
        </is>
      </c>
      <c r="B4694" s="12" t="inlineStr">
        <is>
          <t>I</t>
        </is>
      </c>
      <c r="C4694" s="12" t="inlineStr">
        <is>
          <t>Modular / portable power</t>
        </is>
      </c>
      <c r="D4694" s="12" t="inlineStr">
        <is>
          <t>Discrete device to JB JB-RICE-6-DI02: 20 x 1 pr (field cables)</t>
        </is>
      </c>
      <c r="E4694" s="12" t="inlineStr">
        <is>
          <t>RICE-6</t>
        </is>
      </c>
      <c r="F4694" s="12" t="inlineStr">
        <is>
          <t>RICE engine-generator 6</t>
        </is>
      </c>
      <c r="G4694" s="12" t="inlineStr">
        <is>
          <t>JB-RICE-6-DI02</t>
        </is>
      </c>
      <c r="H4694" s="12" t="inlineStr">
        <is>
          <t>RICE engine-generator 6</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7" t="n">
        <v>72</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I-I-0328</t>
        </is>
      </c>
      <c r="B4695" s="12" t="inlineStr">
        <is>
          <t>I</t>
        </is>
      </c>
      <c r="C4695" s="12" t="inlineStr">
        <is>
          <t>Modular / portable power</t>
        </is>
      </c>
      <c r="D4695" s="12" t="inlineStr">
        <is>
          <t>Home run JB-RICE-6-DI02 to the control / marshalling room</t>
        </is>
      </c>
      <c r="E4695" s="12" t="inlineStr"/>
      <c r="F4695" s="12" t="inlineStr">
        <is>
          <t>PCM: power control module</t>
        </is>
      </c>
      <c r="G4695" s="12" t="inlineStr">
        <is>
          <t>JB-RICE-6-DI02</t>
        </is>
      </c>
      <c r="H4695" s="12" t="inlineStr">
        <is>
          <t>RICE engine-generator 6</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7" t="n">
        <v>367</v>
      </c>
      <c r="U4695" s="17" t="n">
        <v>180</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I-I-0329</t>
        </is>
      </c>
      <c r="B4696" s="12" t="inlineStr">
        <is>
          <t>I</t>
        </is>
      </c>
      <c r="C4696" s="12" t="inlineStr">
        <is>
          <t>Modular / portable power</t>
        </is>
      </c>
      <c r="D4696" s="12" t="inlineStr">
        <is>
          <t>Discrete device to JB JB-RICE-6-DI03: 20 x 1 pr (field cables)</t>
        </is>
      </c>
      <c r="E4696" s="12" t="inlineStr">
        <is>
          <t>RICE-6</t>
        </is>
      </c>
      <c r="F4696" s="12" t="inlineStr">
        <is>
          <t>RICE engine-generator 6</t>
        </is>
      </c>
      <c r="G4696" s="12" t="inlineStr">
        <is>
          <t>JB-RICE-6-DI03</t>
        </is>
      </c>
      <c r="H4696" s="12" t="inlineStr">
        <is>
          <t>RICE engine-generator 6</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7" t="n">
        <v>72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I-I-0330</t>
        </is>
      </c>
      <c r="B4697" s="12" t="inlineStr">
        <is>
          <t>I</t>
        </is>
      </c>
      <c r="C4697" s="12" t="inlineStr">
        <is>
          <t>Modular / portable power</t>
        </is>
      </c>
      <c r="D4697" s="12" t="inlineStr">
        <is>
          <t>Home run JB-RICE-6-DI03 to the control / marshalling room</t>
        </is>
      </c>
      <c r="E4697" s="12" t="inlineStr"/>
      <c r="F4697" s="12" t="inlineStr">
        <is>
          <t>PCM: power control module</t>
        </is>
      </c>
      <c r="G4697" s="12" t="inlineStr">
        <is>
          <t>JB-RICE-6-DI03</t>
        </is>
      </c>
      <c r="H4697" s="12" t="inlineStr">
        <is>
          <t>RICE engine-generator 6</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7" t="n">
        <v>367</v>
      </c>
      <c r="U4697" s="17" t="n">
        <v>180</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I-I-0331</t>
        </is>
      </c>
      <c r="B4698" s="12" t="inlineStr">
        <is>
          <t>I</t>
        </is>
      </c>
      <c r="C4698" s="12" t="inlineStr">
        <is>
          <t>Modular / portable power</t>
        </is>
      </c>
      <c r="D4698" s="12" t="inlineStr">
        <is>
          <t>Thermocouple to TC JB JB-RICE-6-TC01: 20 x 1 pr (field cables)</t>
        </is>
      </c>
      <c r="E4698" s="12" t="inlineStr">
        <is>
          <t>RICE-6</t>
        </is>
      </c>
      <c r="F4698" s="12" t="inlineStr">
        <is>
          <t>RICE engine-generator 6</t>
        </is>
      </c>
      <c r="G4698" s="12" t="inlineStr">
        <is>
          <t>JB-RICE-6-TC01</t>
        </is>
      </c>
      <c r="H4698" s="12" t="inlineStr">
        <is>
          <t>RICE engine-generator 6</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7" t="n">
        <v>72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I-I-0332</t>
        </is>
      </c>
      <c r="B4699" s="12" t="inlineStr">
        <is>
          <t>I</t>
        </is>
      </c>
      <c r="C4699" s="12" t="inlineStr">
        <is>
          <t>Modular / portable power</t>
        </is>
      </c>
      <c r="D4699" s="12" t="inlineStr">
        <is>
          <t>Home run JB-RICE-6-TC01 to the control / marshalling room</t>
        </is>
      </c>
      <c r="E4699" s="12" t="inlineStr"/>
      <c r="F4699" s="12" t="inlineStr">
        <is>
          <t>PCM: power control module</t>
        </is>
      </c>
      <c r="G4699" s="12" t="inlineStr">
        <is>
          <t>JB-RICE-6-TC01</t>
        </is>
      </c>
      <c r="H4699" s="12" t="inlineStr">
        <is>
          <t>RICE engine-generator 6</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7" t="n">
        <v>367</v>
      </c>
      <c r="U4699" s="17" t="n">
        <v>180</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I-I-0333</t>
        </is>
      </c>
      <c r="B4700" s="12" t="inlineStr">
        <is>
          <t>I</t>
        </is>
      </c>
      <c r="C4700" s="12" t="inlineStr">
        <is>
          <t>Modular / portable power</t>
        </is>
      </c>
      <c r="D4700" s="12" t="inlineStr">
        <is>
          <t>Thermocouple to TC JB JB-RICE-6-TC02: 10 x 1 pr (field cables)</t>
        </is>
      </c>
      <c r="E4700" s="12" t="inlineStr">
        <is>
          <t>RICE-6</t>
        </is>
      </c>
      <c r="F4700" s="12" t="inlineStr">
        <is>
          <t>RICE engine-generator 6</t>
        </is>
      </c>
      <c r="G4700" s="12" t="inlineStr">
        <is>
          <t>JB-RICE-6-TC02</t>
        </is>
      </c>
      <c r="H4700" s="12" t="inlineStr">
        <is>
          <t>RICE engine-generator 6</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7" t="n">
        <v>72</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I-I-0334</t>
        </is>
      </c>
      <c r="B4701" s="12" t="inlineStr">
        <is>
          <t>I</t>
        </is>
      </c>
      <c r="C4701" s="12" t="inlineStr">
        <is>
          <t>Modular / portable power</t>
        </is>
      </c>
      <c r="D4701" s="12" t="inlineStr">
        <is>
          <t>Home run JB-RICE-6-TC02 to the control / marshalling room</t>
        </is>
      </c>
      <c r="E4701" s="12" t="inlineStr"/>
      <c r="F4701" s="12" t="inlineStr">
        <is>
          <t>PCM: power control module</t>
        </is>
      </c>
      <c r="G4701" s="12" t="inlineStr">
        <is>
          <t>JB-RICE-6-TC02</t>
        </is>
      </c>
      <c r="H4701" s="12" t="inlineStr">
        <is>
          <t>RICE engine-generator 6</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7" t="n">
        <v>367</v>
      </c>
      <c r="U4701" s="17" t="n">
        <v>180</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I-I-0335</t>
        </is>
      </c>
      <c r="B4702" s="12" t="inlineStr">
        <is>
          <t>I</t>
        </is>
      </c>
      <c r="C4702" s="12" t="inlineStr">
        <is>
          <t>Modular / portable power</t>
        </is>
      </c>
      <c r="D4702" s="12" t="inlineStr">
        <is>
          <t>RTD to JB JB-RICE-6-RTD01: 10 x 1 tri (field cables)</t>
        </is>
      </c>
      <c r="E4702" s="12" t="inlineStr">
        <is>
          <t>RICE-6</t>
        </is>
      </c>
      <c r="F4702" s="12" t="inlineStr">
        <is>
          <t>RICE engine-generator 6</t>
        </is>
      </c>
      <c r="G4702" s="12" t="inlineStr">
        <is>
          <t>JB-RICE-6-RTD01</t>
        </is>
      </c>
      <c r="H4702" s="12" t="inlineStr">
        <is>
          <t>RICE engine-generator 6</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7" t="n">
        <v>72</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I-I-0336</t>
        </is>
      </c>
      <c r="B4703" s="12" t="inlineStr">
        <is>
          <t>I</t>
        </is>
      </c>
      <c r="C4703" s="12" t="inlineStr">
        <is>
          <t>Modular / portable power</t>
        </is>
      </c>
      <c r="D4703" s="12" t="inlineStr">
        <is>
          <t>Home run JB-RICE-6-RTD01 to the control / marshalling room</t>
        </is>
      </c>
      <c r="E4703" s="12" t="inlineStr"/>
      <c r="F4703" s="12" t="inlineStr">
        <is>
          <t>PCM: power control module</t>
        </is>
      </c>
      <c r="G4703" s="12" t="inlineStr">
        <is>
          <t>JB-RICE-6-RTD01</t>
        </is>
      </c>
      <c r="H4703" s="12" t="inlineStr">
        <is>
          <t>RICE engine-generator 6</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7" t="n">
        <v>367</v>
      </c>
      <c r="U4703" s="17" t="n">
        <v>180</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I-I-0337</t>
        </is>
      </c>
      <c r="B4704" s="12" t="inlineStr">
        <is>
          <t>I</t>
        </is>
      </c>
      <c r="C4704" s="12" t="inlineStr">
        <is>
          <t>Modular / portable power</t>
        </is>
      </c>
      <c r="D4704" s="12" t="inlineStr">
        <is>
          <t>RTD to JB JB-RICE-6-RTD02: 2 x 1 tri (field cables)</t>
        </is>
      </c>
      <c r="E4704" s="12" t="inlineStr">
        <is>
          <t>RICE-6</t>
        </is>
      </c>
      <c r="F4704" s="12" t="inlineStr">
        <is>
          <t>RICE engine-generator 6</t>
        </is>
      </c>
      <c r="G4704" s="12" t="inlineStr">
        <is>
          <t>JB-RICE-6-RTD02</t>
        </is>
      </c>
      <c r="H4704" s="12" t="inlineStr">
        <is>
          <t>RICE engine-generator 6</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7" t="n">
        <v>72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I-I-0338</t>
        </is>
      </c>
      <c r="B4705" s="12" t="inlineStr">
        <is>
          <t>I</t>
        </is>
      </c>
      <c r="C4705" s="12" t="inlineStr">
        <is>
          <t>Modular / portable power</t>
        </is>
      </c>
      <c r="D4705" s="12" t="inlineStr">
        <is>
          <t>Home run JB-RICE-6-RTD02 to the control / marshalling room</t>
        </is>
      </c>
      <c r="E4705" s="12" t="inlineStr"/>
      <c r="F4705" s="12" t="inlineStr">
        <is>
          <t>PCM: power control module</t>
        </is>
      </c>
      <c r="G4705" s="12" t="inlineStr">
        <is>
          <t>JB-RICE-6-RTD02</t>
        </is>
      </c>
      <c r="H4705" s="12" t="inlineStr">
        <is>
          <t>RICE engine-generator 6</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7" t="n">
        <v>367</v>
      </c>
      <c r="U4705" s="17" t="n">
        <v>180</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I-I-0339</t>
        </is>
      </c>
      <c r="B4706" s="12" t="inlineStr">
        <is>
          <t>I</t>
        </is>
      </c>
      <c r="C4706" s="12" t="inlineStr">
        <is>
          <t>Modular / portable power</t>
        </is>
      </c>
      <c r="D4706" s="12" t="inlineStr">
        <is>
          <t>Analog instrument to JB JB-RICE-7-AI01: 20 x 1 pr (field cables)</t>
        </is>
      </c>
      <c r="E4706" s="12" t="inlineStr">
        <is>
          <t>RICE-7</t>
        </is>
      </c>
      <c r="F4706" s="12" t="inlineStr">
        <is>
          <t>RICE engine-generator 7</t>
        </is>
      </c>
      <c r="G4706" s="12" t="inlineStr">
        <is>
          <t>JB-RICE-7-AI01</t>
        </is>
      </c>
      <c r="H4706" s="12" t="inlineStr">
        <is>
          <t>RICE engine-generator 7</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7" t="n">
        <v>72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I-I-0340</t>
        </is>
      </c>
      <c r="B4707" s="12" t="inlineStr">
        <is>
          <t>I</t>
        </is>
      </c>
      <c r="C4707" s="12" t="inlineStr">
        <is>
          <t>Modular / portable power</t>
        </is>
      </c>
      <c r="D4707" s="12" t="inlineStr">
        <is>
          <t>Home run JB-RICE-7-AI01 to the control / marshalling room</t>
        </is>
      </c>
      <c r="E4707" s="12" t="inlineStr"/>
      <c r="F4707" s="12" t="inlineStr">
        <is>
          <t>PCM: power control module</t>
        </is>
      </c>
      <c r="G4707" s="12" t="inlineStr">
        <is>
          <t>JB-RICE-7-AI01</t>
        </is>
      </c>
      <c r="H4707" s="12" t="inlineStr">
        <is>
          <t>RICE engine-generator 7</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Tray</t>
        </is>
      </c>
      <c r="T4707" s="17" t="n">
        <v>0</v>
      </c>
      <c r="U4707" s="17" t="n">
        <v>189</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I-I-0341</t>
        </is>
      </c>
      <c r="B4708" s="12" t="inlineStr">
        <is>
          <t>I</t>
        </is>
      </c>
      <c r="C4708" s="12" t="inlineStr">
        <is>
          <t>Modular / portable power</t>
        </is>
      </c>
      <c r="D4708" s="12" t="inlineStr">
        <is>
          <t>Analog instrument to JB JB-RICE-7-AI02: 20 x 1 pr (field cables)</t>
        </is>
      </c>
      <c r="E4708" s="12" t="inlineStr">
        <is>
          <t>RICE-7</t>
        </is>
      </c>
      <c r="F4708" s="12" t="inlineStr">
        <is>
          <t>RICE engine-generator 7</t>
        </is>
      </c>
      <c r="G4708" s="12" t="inlineStr">
        <is>
          <t>JB-RICE-7-AI02</t>
        </is>
      </c>
      <c r="H4708" s="12" t="inlineStr">
        <is>
          <t>RICE engine-generator 7</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7" t="n">
        <v>72</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I-I-0342</t>
        </is>
      </c>
      <c r="B4709" s="12" t="inlineStr">
        <is>
          <t>I</t>
        </is>
      </c>
      <c r="C4709" s="12" t="inlineStr">
        <is>
          <t>Modular / portable power</t>
        </is>
      </c>
      <c r="D4709" s="12" t="inlineStr">
        <is>
          <t>Home run JB-RICE-7-AI02 to the control / marshalling room</t>
        </is>
      </c>
      <c r="E4709" s="12" t="inlineStr"/>
      <c r="F4709" s="12" t="inlineStr">
        <is>
          <t>PCM: power control module</t>
        </is>
      </c>
      <c r="G4709" s="12" t="inlineStr">
        <is>
          <t>JB-RICE-7-AI02</t>
        </is>
      </c>
      <c r="H4709" s="12" t="inlineStr">
        <is>
          <t>RICE engine-generator 7</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Tray</t>
        </is>
      </c>
      <c r="T4709" s="17" t="n">
        <v>0</v>
      </c>
      <c r="U4709" s="17" t="n">
        <v>189</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I-I-0343</t>
        </is>
      </c>
      <c r="B4710" s="12" t="inlineStr">
        <is>
          <t>I</t>
        </is>
      </c>
      <c r="C4710" s="12" t="inlineStr">
        <is>
          <t>Modular / portable power</t>
        </is>
      </c>
      <c r="D4710" s="12" t="inlineStr">
        <is>
          <t>Analog instrument to JB JB-RICE-7-AI03: 20 x 1 pr (field cables)</t>
        </is>
      </c>
      <c r="E4710" s="12" t="inlineStr">
        <is>
          <t>RICE-7</t>
        </is>
      </c>
      <c r="F4710" s="12" t="inlineStr">
        <is>
          <t>RICE engine-generator 7</t>
        </is>
      </c>
      <c r="G4710" s="12" t="inlineStr">
        <is>
          <t>JB-RICE-7-AI03</t>
        </is>
      </c>
      <c r="H4710" s="12" t="inlineStr">
        <is>
          <t>RICE engine-generator 7</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7" t="n">
        <v>72</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I-I-0344</t>
        </is>
      </c>
      <c r="B4711" s="12" t="inlineStr">
        <is>
          <t>I</t>
        </is>
      </c>
      <c r="C4711" s="12" t="inlineStr">
        <is>
          <t>Modular / portable power</t>
        </is>
      </c>
      <c r="D4711" s="12" t="inlineStr">
        <is>
          <t>Home run JB-RICE-7-AI03 to the control / marshalling room</t>
        </is>
      </c>
      <c r="E4711" s="12" t="inlineStr"/>
      <c r="F4711" s="12" t="inlineStr">
        <is>
          <t>PCM: power control module</t>
        </is>
      </c>
      <c r="G4711" s="12" t="inlineStr">
        <is>
          <t>JB-RICE-7-AI03</t>
        </is>
      </c>
      <c r="H4711" s="12" t="inlineStr">
        <is>
          <t>RICE engine-generator 7</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Tray</t>
        </is>
      </c>
      <c r="T4711" s="17" t="n">
        <v>0</v>
      </c>
      <c r="U4711" s="17" t="n">
        <v>189</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I-I-0345</t>
        </is>
      </c>
      <c r="B4712" s="12" t="inlineStr">
        <is>
          <t>I</t>
        </is>
      </c>
      <c r="C4712" s="12" t="inlineStr">
        <is>
          <t>Modular / portable power</t>
        </is>
      </c>
      <c r="D4712" s="12" t="inlineStr">
        <is>
          <t>Analog instrument to JB JB-RICE-7-AI04: 20 x 1 pr (field cables)</t>
        </is>
      </c>
      <c r="E4712" s="12" t="inlineStr">
        <is>
          <t>RICE-7</t>
        </is>
      </c>
      <c r="F4712" s="12" t="inlineStr">
        <is>
          <t>RICE engine-generator 7</t>
        </is>
      </c>
      <c r="G4712" s="12" t="inlineStr">
        <is>
          <t>JB-RICE-7-AI04</t>
        </is>
      </c>
      <c r="H4712" s="12" t="inlineStr">
        <is>
          <t>RICE engine-generator 7</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7" t="n">
        <v>72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I-I-0346</t>
        </is>
      </c>
      <c r="B4713" s="12" t="inlineStr">
        <is>
          <t>I</t>
        </is>
      </c>
      <c r="C4713" s="12" t="inlineStr">
        <is>
          <t>Modular / portable power</t>
        </is>
      </c>
      <c r="D4713" s="12" t="inlineStr">
        <is>
          <t>Home run JB-RICE-7-AI04 to the control / marshalling room</t>
        </is>
      </c>
      <c r="E4713" s="12" t="inlineStr"/>
      <c r="F4713" s="12" t="inlineStr">
        <is>
          <t>PCM: power control module</t>
        </is>
      </c>
      <c r="G4713" s="12" t="inlineStr">
        <is>
          <t>JB-RICE-7-AI04</t>
        </is>
      </c>
      <c r="H4713" s="12" t="inlineStr">
        <is>
          <t>RICE engine-generator 7</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Tray</t>
        </is>
      </c>
      <c r="T4713" s="17" t="n">
        <v>0</v>
      </c>
      <c r="U4713" s="17" t="n">
        <v>189</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I-I-0347</t>
        </is>
      </c>
      <c r="B4714" s="12" t="inlineStr">
        <is>
          <t>I</t>
        </is>
      </c>
      <c r="C4714" s="12" t="inlineStr">
        <is>
          <t>Modular / portable power</t>
        </is>
      </c>
      <c r="D4714" s="12" t="inlineStr">
        <is>
          <t>Discrete device to JB JB-RICE-7-DI01: 20 x 1 pr (field cables)</t>
        </is>
      </c>
      <c r="E4714" s="12" t="inlineStr">
        <is>
          <t>RICE-7</t>
        </is>
      </c>
      <c r="F4714" s="12" t="inlineStr">
        <is>
          <t>RICE engine-generator 7</t>
        </is>
      </c>
      <c r="G4714" s="12" t="inlineStr">
        <is>
          <t>JB-RICE-7-DI01</t>
        </is>
      </c>
      <c r="H4714" s="12" t="inlineStr">
        <is>
          <t>RICE engine-generator 7</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7" t="n">
        <v>72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I-I-0348</t>
        </is>
      </c>
      <c r="B4715" s="12" t="inlineStr">
        <is>
          <t>I</t>
        </is>
      </c>
      <c r="C4715" s="12" t="inlineStr">
        <is>
          <t>Modular / portable power</t>
        </is>
      </c>
      <c r="D4715" s="12" t="inlineStr">
        <is>
          <t>Home run JB-RICE-7-DI01 to the control / marshalling room</t>
        </is>
      </c>
      <c r="E4715" s="12" t="inlineStr"/>
      <c r="F4715" s="12" t="inlineStr">
        <is>
          <t>PCM: power control module</t>
        </is>
      </c>
      <c r="G4715" s="12" t="inlineStr">
        <is>
          <t>JB-RICE-7-DI01</t>
        </is>
      </c>
      <c r="H4715" s="12" t="inlineStr">
        <is>
          <t>RICE engine-generator 7</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Tray</t>
        </is>
      </c>
      <c r="T4715" s="17" t="n">
        <v>0</v>
      </c>
      <c r="U4715" s="17" t="n">
        <v>189</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I-I-0349</t>
        </is>
      </c>
      <c r="B4716" s="12" t="inlineStr">
        <is>
          <t>I</t>
        </is>
      </c>
      <c r="C4716" s="12" t="inlineStr">
        <is>
          <t>Modular / portable power</t>
        </is>
      </c>
      <c r="D4716" s="12" t="inlineStr">
        <is>
          <t>Discrete device to JB JB-RICE-7-DI02: 20 x 1 pr (field cables)</t>
        </is>
      </c>
      <c r="E4716" s="12" t="inlineStr">
        <is>
          <t>RICE-7</t>
        </is>
      </c>
      <c r="F4716" s="12" t="inlineStr">
        <is>
          <t>RICE engine-generator 7</t>
        </is>
      </c>
      <c r="G4716" s="12" t="inlineStr">
        <is>
          <t>JB-RICE-7-DI02</t>
        </is>
      </c>
      <c r="H4716" s="12" t="inlineStr">
        <is>
          <t>RICE engine-generator 7</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7" t="n">
        <v>72</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I-I-0350</t>
        </is>
      </c>
      <c r="B4717" s="12" t="inlineStr">
        <is>
          <t>I</t>
        </is>
      </c>
      <c r="C4717" s="12" t="inlineStr">
        <is>
          <t>Modular / portable power</t>
        </is>
      </c>
      <c r="D4717" s="12" t="inlineStr">
        <is>
          <t>Home run JB-RICE-7-DI02 to the control / marshalling room</t>
        </is>
      </c>
      <c r="E4717" s="12" t="inlineStr"/>
      <c r="F4717" s="12" t="inlineStr">
        <is>
          <t>PCM: power control module</t>
        </is>
      </c>
      <c r="G4717" s="12" t="inlineStr">
        <is>
          <t>JB-RICE-7-DI02</t>
        </is>
      </c>
      <c r="H4717" s="12" t="inlineStr">
        <is>
          <t>RICE engine-generator 7</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Tray</t>
        </is>
      </c>
      <c r="T4717" s="17" t="n">
        <v>0</v>
      </c>
      <c r="U4717" s="17" t="n">
        <v>189</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I-I-0351</t>
        </is>
      </c>
      <c r="B4718" s="12" t="inlineStr">
        <is>
          <t>I</t>
        </is>
      </c>
      <c r="C4718" s="12" t="inlineStr">
        <is>
          <t>Modular / portable power</t>
        </is>
      </c>
      <c r="D4718" s="12" t="inlineStr">
        <is>
          <t>Discrete device to JB JB-RICE-7-DI03: 20 x 1 pr (field cables)</t>
        </is>
      </c>
      <c r="E4718" s="12" t="inlineStr">
        <is>
          <t>RICE-7</t>
        </is>
      </c>
      <c r="F4718" s="12" t="inlineStr">
        <is>
          <t>RICE engine-generator 7</t>
        </is>
      </c>
      <c r="G4718" s="12" t="inlineStr">
        <is>
          <t>JB-RICE-7-DI03</t>
        </is>
      </c>
      <c r="H4718" s="12" t="inlineStr">
        <is>
          <t>RICE engine-generator 7</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7" t="n">
        <v>72</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I-I-0352</t>
        </is>
      </c>
      <c r="B4719" s="12" t="inlineStr">
        <is>
          <t>I</t>
        </is>
      </c>
      <c r="C4719" s="12" t="inlineStr">
        <is>
          <t>Modular / portable power</t>
        </is>
      </c>
      <c r="D4719" s="12" t="inlineStr">
        <is>
          <t>Home run JB-RICE-7-DI03 to the control / marshalling room</t>
        </is>
      </c>
      <c r="E4719" s="12" t="inlineStr"/>
      <c r="F4719" s="12" t="inlineStr">
        <is>
          <t>PCM: power control module</t>
        </is>
      </c>
      <c r="G4719" s="12" t="inlineStr">
        <is>
          <t>JB-RICE-7-DI03</t>
        </is>
      </c>
      <c r="H4719" s="12" t="inlineStr">
        <is>
          <t>RICE engine-generator 7</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Tray</t>
        </is>
      </c>
      <c r="T4719" s="17" t="n">
        <v>0</v>
      </c>
      <c r="U4719" s="17" t="n">
        <v>189</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I-I-0353</t>
        </is>
      </c>
      <c r="B4720" s="12" t="inlineStr">
        <is>
          <t>I</t>
        </is>
      </c>
      <c r="C4720" s="12" t="inlineStr">
        <is>
          <t>Modular / portable power</t>
        </is>
      </c>
      <c r="D4720" s="12" t="inlineStr">
        <is>
          <t>Thermocouple to TC JB JB-RICE-7-TC01: 20 x 1 pr (field cables)</t>
        </is>
      </c>
      <c r="E4720" s="12" t="inlineStr">
        <is>
          <t>RICE-7</t>
        </is>
      </c>
      <c r="F4720" s="12" t="inlineStr">
        <is>
          <t>RICE engine-generator 7</t>
        </is>
      </c>
      <c r="G4720" s="12" t="inlineStr">
        <is>
          <t>JB-RICE-7-TC01</t>
        </is>
      </c>
      <c r="H4720" s="12" t="inlineStr">
        <is>
          <t>RICE engine-generator 7</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7" t="n">
        <v>72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I-I-0354</t>
        </is>
      </c>
      <c r="B4721" s="12" t="inlineStr">
        <is>
          <t>I</t>
        </is>
      </c>
      <c r="C4721" s="12" t="inlineStr">
        <is>
          <t>Modular / portable power</t>
        </is>
      </c>
      <c r="D4721" s="12" t="inlineStr">
        <is>
          <t>Home run JB-RICE-7-TC01 to the control / marshalling room</t>
        </is>
      </c>
      <c r="E4721" s="12" t="inlineStr"/>
      <c r="F4721" s="12" t="inlineStr">
        <is>
          <t>PCM: power control module</t>
        </is>
      </c>
      <c r="G4721" s="12" t="inlineStr">
        <is>
          <t>JB-RICE-7-TC01</t>
        </is>
      </c>
      <c r="H4721" s="12" t="inlineStr">
        <is>
          <t>RICE engine-generator 7</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Tray</t>
        </is>
      </c>
      <c r="T4721" s="17" t="n">
        <v>0</v>
      </c>
      <c r="U4721" s="17" t="n">
        <v>189</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I-I-0355</t>
        </is>
      </c>
      <c r="B4722" s="12" t="inlineStr">
        <is>
          <t>I</t>
        </is>
      </c>
      <c r="C4722" s="12" t="inlineStr">
        <is>
          <t>Modular / portable power</t>
        </is>
      </c>
      <c r="D4722" s="12" t="inlineStr">
        <is>
          <t>Thermocouple to TC JB JB-RICE-7-TC02: 10 x 1 pr (field cables)</t>
        </is>
      </c>
      <c r="E4722" s="12" t="inlineStr">
        <is>
          <t>RICE-7</t>
        </is>
      </c>
      <c r="F4722" s="12" t="inlineStr">
        <is>
          <t>RICE engine-generator 7</t>
        </is>
      </c>
      <c r="G4722" s="12" t="inlineStr">
        <is>
          <t>JB-RICE-7-TC02</t>
        </is>
      </c>
      <c r="H4722" s="12" t="inlineStr">
        <is>
          <t>RICE engine-generator 7</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7" t="n">
        <v>72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I-I-0356</t>
        </is>
      </c>
      <c r="B4723" s="12" t="inlineStr">
        <is>
          <t>I</t>
        </is>
      </c>
      <c r="C4723" s="12" t="inlineStr">
        <is>
          <t>Modular / portable power</t>
        </is>
      </c>
      <c r="D4723" s="12" t="inlineStr">
        <is>
          <t>Home run JB-RICE-7-TC02 to the control / marshalling room</t>
        </is>
      </c>
      <c r="E4723" s="12" t="inlineStr"/>
      <c r="F4723" s="12" t="inlineStr">
        <is>
          <t>PCM: power control module</t>
        </is>
      </c>
      <c r="G4723" s="12" t="inlineStr">
        <is>
          <t>JB-RICE-7-TC02</t>
        </is>
      </c>
      <c r="H4723" s="12" t="inlineStr">
        <is>
          <t>RICE engine-generator 7</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Tray</t>
        </is>
      </c>
      <c r="T4723" s="17" t="n">
        <v>0</v>
      </c>
      <c r="U4723" s="17" t="n">
        <v>189</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I-I-0357</t>
        </is>
      </c>
      <c r="B4724" s="12" t="inlineStr">
        <is>
          <t>I</t>
        </is>
      </c>
      <c r="C4724" s="12" t="inlineStr">
        <is>
          <t>Modular / portable power</t>
        </is>
      </c>
      <c r="D4724" s="12" t="inlineStr">
        <is>
          <t>RTD to JB JB-RICE-7-RTD01: 10 x 1 tri (field cables)</t>
        </is>
      </c>
      <c r="E4724" s="12" t="inlineStr">
        <is>
          <t>RICE-7</t>
        </is>
      </c>
      <c r="F4724" s="12" t="inlineStr">
        <is>
          <t>RICE engine-generator 7</t>
        </is>
      </c>
      <c r="G4724" s="12" t="inlineStr">
        <is>
          <t>JB-RICE-7-RTD01</t>
        </is>
      </c>
      <c r="H4724" s="12" t="inlineStr">
        <is>
          <t>RICE engine-generator 7</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7" t="n">
        <v>72</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I-I-0358</t>
        </is>
      </c>
      <c r="B4725" s="12" t="inlineStr">
        <is>
          <t>I</t>
        </is>
      </c>
      <c r="C4725" s="12" t="inlineStr">
        <is>
          <t>Modular / portable power</t>
        </is>
      </c>
      <c r="D4725" s="12" t="inlineStr">
        <is>
          <t>Home run JB-RICE-7-RTD01 to the control / marshalling room</t>
        </is>
      </c>
      <c r="E4725" s="12" t="inlineStr"/>
      <c r="F4725" s="12" t="inlineStr">
        <is>
          <t>PCM: power control module</t>
        </is>
      </c>
      <c r="G4725" s="12" t="inlineStr">
        <is>
          <t>JB-RICE-7-RTD01</t>
        </is>
      </c>
      <c r="H4725" s="12" t="inlineStr">
        <is>
          <t>RICE engine-generator 7</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Tray</t>
        </is>
      </c>
      <c r="T4725" s="17" t="n">
        <v>0</v>
      </c>
      <c r="U4725" s="17" t="n">
        <v>189</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I-I-0359</t>
        </is>
      </c>
      <c r="B4726" s="12" t="inlineStr">
        <is>
          <t>I</t>
        </is>
      </c>
      <c r="C4726" s="12" t="inlineStr">
        <is>
          <t>Modular / portable power</t>
        </is>
      </c>
      <c r="D4726" s="12" t="inlineStr">
        <is>
          <t>RTD to JB JB-RICE-7-RTD02: 2 x 1 tri (field cables)</t>
        </is>
      </c>
      <c r="E4726" s="12" t="inlineStr">
        <is>
          <t>RICE-7</t>
        </is>
      </c>
      <c r="F4726" s="12" t="inlineStr">
        <is>
          <t>RICE engine-generator 7</t>
        </is>
      </c>
      <c r="G4726" s="12" t="inlineStr">
        <is>
          <t>JB-RICE-7-RTD02</t>
        </is>
      </c>
      <c r="H4726" s="12" t="inlineStr">
        <is>
          <t>RICE engine-generator 7</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7" t="n">
        <v>72</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I-I-0360</t>
        </is>
      </c>
      <c r="B4727" s="12" t="inlineStr">
        <is>
          <t>I</t>
        </is>
      </c>
      <c r="C4727" s="12" t="inlineStr">
        <is>
          <t>Modular / portable power</t>
        </is>
      </c>
      <c r="D4727" s="12" t="inlineStr">
        <is>
          <t>Home run JB-RICE-7-RTD02 to the control / marshalling room</t>
        </is>
      </c>
      <c r="E4727" s="12" t="inlineStr"/>
      <c r="F4727" s="12" t="inlineStr">
        <is>
          <t>PCM: power control module</t>
        </is>
      </c>
      <c r="G4727" s="12" t="inlineStr">
        <is>
          <t>JB-RICE-7-RTD02</t>
        </is>
      </c>
      <c r="H4727" s="12" t="inlineStr">
        <is>
          <t>RICE engine-generator 7</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Tray</t>
        </is>
      </c>
      <c r="T4727" s="17" t="n">
        <v>0</v>
      </c>
      <c r="U4727" s="17" t="n">
        <v>189</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I-I-0361</t>
        </is>
      </c>
      <c r="B4728" s="12" t="inlineStr">
        <is>
          <t>I</t>
        </is>
      </c>
      <c r="C4728" s="12" t="inlineStr">
        <is>
          <t>Modular / portable power</t>
        </is>
      </c>
      <c r="D4728" s="12" t="inlineStr">
        <is>
          <t>Analog instrument to JB JB-RICE-8-AI01: 20 x 1 pr (field cables)</t>
        </is>
      </c>
      <c r="E4728" s="12" t="inlineStr">
        <is>
          <t>RICE-8</t>
        </is>
      </c>
      <c r="F4728" s="12" t="inlineStr">
        <is>
          <t>RICE engine-generator 8</t>
        </is>
      </c>
      <c r="G4728" s="12" t="inlineStr">
        <is>
          <t>JB-RICE-8-AI01</t>
        </is>
      </c>
      <c r="H4728" s="12" t="inlineStr">
        <is>
          <t>RICE engine-generator 8</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I-I-0362</t>
        </is>
      </c>
      <c r="B4729" s="12" t="inlineStr">
        <is>
          <t>I</t>
        </is>
      </c>
      <c r="C4729" s="12" t="inlineStr">
        <is>
          <t>Modular / portable power</t>
        </is>
      </c>
      <c r="D4729" s="12" t="inlineStr">
        <is>
          <t>Home run JB-RICE-8-AI01 to the control / marshalling room</t>
        </is>
      </c>
      <c r="E4729" s="12" t="inlineStr"/>
      <c r="F4729" s="12" t="inlineStr">
        <is>
          <t>PCM: power control module</t>
        </is>
      </c>
      <c r="G4729" s="12" t="inlineStr">
        <is>
          <t>JB-RICE-8-AI01</t>
        </is>
      </c>
      <c r="H4729" s="12" t="inlineStr">
        <is>
          <t>RICE engine-generator 8</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7" t="n">
        <v>0</v>
      </c>
      <c r="U4729" s="17" t="n">
        <v>161</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I-I-0363</t>
        </is>
      </c>
      <c r="B4730" s="12" t="inlineStr">
        <is>
          <t>I</t>
        </is>
      </c>
      <c r="C4730" s="12" t="inlineStr">
        <is>
          <t>Modular / portable power</t>
        </is>
      </c>
      <c r="D4730" s="12" t="inlineStr">
        <is>
          <t>Analog instrument to JB JB-RICE-8-AI02: 20 x 1 pr (field cables)</t>
        </is>
      </c>
      <c r="E4730" s="12" t="inlineStr">
        <is>
          <t>RICE-8</t>
        </is>
      </c>
      <c r="F4730" s="12" t="inlineStr">
        <is>
          <t>RICE engine-generator 8</t>
        </is>
      </c>
      <c r="G4730" s="12" t="inlineStr">
        <is>
          <t>JB-RICE-8-AI02</t>
        </is>
      </c>
      <c r="H4730" s="12" t="inlineStr">
        <is>
          <t>RICE engine-generator 8</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I-I-0364</t>
        </is>
      </c>
      <c r="B4731" s="12" t="inlineStr">
        <is>
          <t>I</t>
        </is>
      </c>
      <c r="C4731" s="12" t="inlineStr">
        <is>
          <t>Modular / portable power</t>
        </is>
      </c>
      <c r="D4731" s="12" t="inlineStr">
        <is>
          <t>Home run JB-RICE-8-AI02 to the control / marshalling room</t>
        </is>
      </c>
      <c r="E4731" s="12" t="inlineStr"/>
      <c r="F4731" s="12" t="inlineStr">
        <is>
          <t>PCM: power control module</t>
        </is>
      </c>
      <c r="G4731" s="12" t="inlineStr">
        <is>
          <t>JB-RICE-8-AI02</t>
        </is>
      </c>
      <c r="H4731" s="12" t="inlineStr">
        <is>
          <t>RICE engine-generator 8</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7" t="n">
        <v>0</v>
      </c>
      <c r="U4731" s="17" t="n">
        <v>161</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I-I-0365</t>
        </is>
      </c>
      <c r="B4732" s="12" t="inlineStr">
        <is>
          <t>I</t>
        </is>
      </c>
      <c r="C4732" s="12" t="inlineStr">
        <is>
          <t>Modular / portable power</t>
        </is>
      </c>
      <c r="D4732" s="12" t="inlineStr">
        <is>
          <t>Analog instrument to JB JB-RICE-8-AI03: 20 x 1 pr (field cables)</t>
        </is>
      </c>
      <c r="E4732" s="12" t="inlineStr">
        <is>
          <t>RICE-8</t>
        </is>
      </c>
      <c r="F4732" s="12" t="inlineStr">
        <is>
          <t>RICE engine-generator 8</t>
        </is>
      </c>
      <c r="G4732" s="12" t="inlineStr">
        <is>
          <t>JB-RICE-8-AI03</t>
        </is>
      </c>
      <c r="H4732" s="12" t="inlineStr">
        <is>
          <t>RICE engine-generator 8</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I-I-0366</t>
        </is>
      </c>
      <c r="B4733" s="12" t="inlineStr">
        <is>
          <t>I</t>
        </is>
      </c>
      <c r="C4733" s="12" t="inlineStr">
        <is>
          <t>Modular / portable power</t>
        </is>
      </c>
      <c r="D4733" s="12" t="inlineStr">
        <is>
          <t>Home run JB-RICE-8-AI03 to the control / marshalling room</t>
        </is>
      </c>
      <c r="E4733" s="12" t="inlineStr"/>
      <c r="F4733" s="12" t="inlineStr">
        <is>
          <t>PCM: power control module</t>
        </is>
      </c>
      <c r="G4733" s="12" t="inlineStr">
        <is>
          <t>JB-RICE-8-AI03</t>
        </is>
      </c>
      <c r="H4733" s="12" t="inlineStr">
        <is>
          <t>RICE engine-generator 8</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7" t="n">
        <v>0</v>
      </c>
      <c r="U4733" s="17" t="n">
        <v>161</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I-I-0367</t>
        </is>
      </c>
      <c r="B4734" s="12" t="inlineStr">
        <is>
          <t>I</t>
        </is>
      </c>
      <c r="C4734" s="12" t="inlineStr">
        <is>
          <t>Modular / portable power</t>
        </is>
      </c>
      <c r="D4734" s="12" t="inlineStr">
        <is>
          <t>Analog instrument to JB JB-RICE-8-AI04: 20 x 1 pr (field cables)</t>
        </is>
      </c>
      <c r="E4734" s="12" t="inlineStr">
        <is>
          <t>RICE-8</t>
        </is>
      </c>
      <c r="F4734" s="12" t="inlineStr">
        <is>
          <t>RICE engine-generator 8</t>
        </is>
      </c>
      <c r="G4734" s="12" t="inlineStr">
        <is>
          <t>JB-RICE-8-AI04</t>
        </is>
      </c>
      <c r="H4734" s="12" t="inlineStr">
        <is>
          <t>RICE engine-generator 8</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I-I-0368</t>
        </is>
      </c>
      <c r="B4735" s="12" t="inlineStr">
        <is>
          <t>I</t>
        </is>
      </c>
      <c r="C4735" s="12" t="inlineStr">
        <is>
          <t>Modular / portable power</t>
        </is>
      </c>
      <c r="D4735" s="12" t="inlineStr">
        <is>
          <t>Home run JB-RICE-8-AI04 to the control / marshalling room</t>
        </is>
      </c>
      <c r="E4735" s="12" t="inlineStr"/>
      <c r="F4735" s="12" t="inlineStr">
        <is>
          <t>PCM: power control module</t>
        </is>
      </c>
      <c r="G4735" s="12" t="inlineStr">
        <is>
          <t>JB-RICE-8-AI04</t>
        </is>
      </c>
      <c r="H4735" s="12" t="inlineStr">
        <is>
          <t>RICE engine-generator 8</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7" t="n">
        <v>0</v>
      </c>
      <c r="U4735" s="17" t="n">
        <v>161</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I-I-0369</t>
        </is>
      </c>
      <c r="B4736" s="12" t="inlineStr">
        <is>
          <t>I</t>
        </is>
      </c>
      <c r="C4736" s="12" t="inlineStr">
        <is>
          <t>Modular / portable power</t>
        </is>
      </c>
      <c r="D4736" s="12" t="inlineStr">
        <is>
          <t>Discrete device to JB JB-RICE-8-DI01: 20 x 1 pr (field cables)</t>
        </is>
      </c>
      <c r="E4736" s="12" t="inlineStr">
        <is>
          <t>RICE-8</t>
        </is>
      </c>
      <c r="F4736" s="12" t="inlineStr">
        <is>
          <t>RICE engine-generator 8</t>
        </is>
      </c>
      <c r="G4736" s="12" t="inlineStr">
        <is>
          <t>JB-RICE-8-DI01</t>
        </is>
      </c>
      <c r="H4736" s="12" t="inlineStr">
        <is>
          <t>RICE engine-generator 8</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I-I-0370</t>
        </is>
      </c>
      <c r="B4737" s="12" t="inlineStr">
        <is>
          <t>I</t>
        </is>
      </c>
      <c r="C4737" s="12" t="inlineStr">
        <is>
          <t>Modular / portable power</t>
        </is>
      </c>
      <c r="D4737" s="12" t="inlineStr">
        <is>
          <t>Home run JB-RICE-8-DI01 to the control / marshalling room</t>
        </is>
      </c>
      <c r="E4737" s="12" t="inlineStr"/>
      <c r="F4737" s="12" t="inlineStr">
        <is>
          <t>PCM: power control module</t>
        </is>
      </c>
      <c r="G4737" s="12" t="inlineStr">
        <is>
          <t>JB-RICE-8-DI01</t>
        </is>
      </c>
      <c r="H4737" s="12" t="inlineStr">
        <is>
          <t>RICE engine-generator 8</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7" t="n">
        <v>0</v>
      </c>
      <c r="U4737" s="17" t="n">
        <v>161</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I-I-0371</t>
        </is>
      </c>
      <c r="B4738" s="12" t="inlineStr">
        <is>
          <t>I</t>
        </is>
      </c>
      <c r="C4738" s="12" t="inlineStr">
        <is>
          <t>Modular / portable power</t>
        </is>
      </c>
      <c r="D4738" s="12" t="inlineStr">
        <is>
          <t>Discrete device to JB JB-RICE-8-DI02: 20 x 1 pr (field cables)</t>
        </is>
      </c>
      <c r="E4738" s="12" t="inlineStr">
        <is>
          <t>RICE-8</t>
        </is>
      </c>
      <c r="F4738" s="12" t="inlineStr">
        <is>
          <t>RICE engine-generator 8</t>
        </is>
      </c>
      <c r="G4738" s="12" t="inlineStr">
        <is>
          <t>JB-RICE-8-DI02</t>
        </is>
      </c>
      <c r="H4738" s="12" t="inlineStr">
        <is>
          <t>RICE engine-generator 8</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I-I-0372</t>
        </is>
      </c>
      <c r="B4739" s="12" t="inlineStr">
        <is>
          <t>I</t>
        </is>
      </c>
      <c r="C4739" s="12" t="inlineStr">
        <is>
          <t>Modular / portable power</t>
        </is>
      </c>
      <c r="D4739" s="12" t="inlineStr">
        <is>
          <t>Home run JB-RICE-8-DI02 to the control / marshalling room</t>
        </is>
      </c>
      <c r="E4739" s="12" t="inlineStr"/>
      <c r="F4739" s="12" t="inlineStr">
        <is>
          <t>PCM: power control module</t>
        </is>
      </c>
      <c r="G4739" s="12" t="inlineStr">
        <is>
          <t>JB-RICE-8-DI02</t>
        </is>
      </c>
      <c r="H4739" s="12" t="inlineStr">
        <is>
          <t>RICE engine-generator 8</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7" t="n">
        <v>0</v>
      </c>
      <c r="U4739" s="17" t="n">
        <v>161</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I-I-0373</t>
        </is>
      </c>
      <c r="B4740" s="12" t="inlineStr">
        <is>
          <t>I</t>
        </is>
      </c>
      <c r="C4740" s="12" t="inlineStr">
        <is>
          <t>Modular / portable power</t>
        </is>
      </c>
      <c r="D4740" s="12" t="inlineStr">
        <is>
          <t>Discrete device to JB JB-RICE-8-DI03: 20 x 1 pr (field cables)</t>
        </is>
      </c>
      <c r="E4740" s="12" t="inlineStr">
        <is>
          <t>RICE-8</t>
        </is>
      </c>
      <c r="F4740" s="12" t="inlineStr">
        <is>
          <t>RICE engine-generator 8</t>
        </is>
      </c>
      <c r="G4740" s="12" t="inlineStr">
        <is>
          <t>JB-RICE-8-DI03</t>
        </is>
      </c>
      <c r="H4740" s="12" t="inlineStr">
        <is>
          <t>RICE engine-generator 8</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I-I-0374</t>
        </is>
      </c>
      <c r="B4741" s="12" t="inlineStr">
        <is>
          <t>I</t>
        </is>
      </c>
      <c r="C4741" s="12" t="inlineStr">
        <is>
          <t>Modular / portable power</t>
        </is>
      </c>
      <c r="D4741" s="12" t="inlineStr">
        <is>
          <t>Home run JB-RICE-8-DI03 to the control / marshalling room</t>
        </is>
      </c>
      <c r="E4741" s="12" t="inlineStr"/>
      <c r="F4741" s="12" t="inlineStr">
        <is>
          <t>PCM: power control module</t>
        </is>
      </c>
      <c r="G4741" s="12" t="inlineStr">
        <is>
          <t>JB-RICE-8-DI03</t>
        </is>
      </c>
      <c r="H4741" s="12" t="inlineStr">
        <is>
          <t>RICE engine-generator 8</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7" t="n">
        <v>0</v>
      </c>
      <c r="U4741" s="17" t="n">
        <v>161</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I-I-0375</t>
        </is>
      </c>
      <c r="B4742" s="12" t="inlineStr">
        <is>
          <t>I</t>
        </is>
      </c>
      <c r="C4742" s="12" t="inlineStr">
        <is>
          <t>Modular / portable power</t>
        </is>
      </c>
      <c r="D4742" s="12" t="inlineStr">
        <is>
          <t>Thermocouple to TC JB JB-RICE-8-TC01: 20 x 1 pr (field cables)</t>
        </is>
      </c>
      <c r="E4742" s="12" t="inlineStr">
        <is>
          <t>RICE-8</t>
        </is>
      </c>
      <c r="F4742" s="12" t="inlineStr">
        <is>
          <t>RICE engine-generator 8</t>
        </is>
      </c>
      <c r="G4742" s="12" t="inlineStr">
        <is>
          <t>JB-RICE-8-TC01</t>
        </is>
      </c>
      <c r="H4742" s="12" t="inlineStr">
        <is>
          <t>RICE engine-generator 8</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I-I-0376</t>
        </is>
      </c>
      <c r="B4743" s="12" t="inlineStr">
        <is>
          <t>I</t>
        </is>
      </c>
      <c r="C4743" s="12" t="inlineStr">
        <is>
          <t>Modular / portable power</t>
        </is>
      </c>
      <c r="D4743" s="12" t="inlineStr">
        <is>
          <t>Home run JB-RICE-8-TC01 to the control / marshalling room</t>
        </is>
      </c>
      <c r="E4743" s="12" t="inlineStr"/>
      <c r="F4743" s="12" t="inlineStr">
        <is>
          <t>PCM: power control module</t>
        </is>
      </c>
      <c r="G4743" s="12" t="inlineStr">
        <is>
          <t>JB-RICE-8-TC01</t>
        </is>
      </c>
      <c r="H4743" s="12" t="inlineStr">
        <is>
          <t>RICE engine-generator 8</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7" t="n">
        <v>0</v>
      </c>
      <c r="U4743" s="17" t="n">
        <v>161</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I-I-0377</t>
        </is>
      </c>
      <c r="B4744" s="12" t="inlineStr">
        <is>
          <t>I</t>
        </is>
      </c>
      <c r="C4744" s="12" t="inlineStr">
        <is>
          <t>Modular / portable power</t>
        </is>
      </c>
      <c r="D4744" s="12" t="inlineStr">
        <is>
          <t>Thermocouple to TC JB JB-RICE-8-TC02: 10 x 1 pr (field cables)</t>
        </is>
      </c>
      <c r="E4744" s="12" t="inlineStr">
        <is>
          <t>RICE-8</t>
        </is>
      </c>
      <c r="F4744" s="12" t="inlineStr">
        <is>
          <t>RICE engine-generator 8</t>
        </is>
      </c>
      <c r="G4744" s="12" t="inlineStr">
        <is>
          <t>JB-RICE-8-TC02</t>
        </is>
      </c>
      <c r="H4744" s="12" t="inlineStr">
        <is>
          <t>RICE engine-generator 8</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I-I-0378</t>
        </is>
      </c>
      <c r="B4745" s="12" t="inlineStr">
        <is>
          <t>I</t>
        </is>
      </c>
      <c r="C4745" s="12" t="inlineStr">
        <is>
          <t>Modular / portable power</t>
        </is>
      </c>
      <c r="D4745" s="12" t="inlineStr">
        <is>
          <t>Home run JB-RICE-8-TC02 to the control / marshalling room</t>
        </is>
      </c>
      <c r="E4745" s="12" t="inlineStr"/>
      <c r="F4745" s="12" t="inlineStr">
        <is>
          <t>PCM: power control module</t>
        </is>
      </c>
      <c r="G4745" s="12" t="inlineStr">
        <is>
          <t>JB-RICE-8-TC02</t>
        </is>
      </c>
      <c r="H4745" s="12" t="inlineStr">
        <is>
          <t>RICE engine-generator 8</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7" t="n">
        <v>0</v>
      </c>
      <c r="U4745" s="17" t="n">
        <v>161</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I-I-0379</t>
        </is>
      </c>
      <c r="B4746" s="12" t="inlineStr">
        <is>
          <t>I</t>
        </is>
      </c>
      <c r="C4746" s="12" t="inlineStr">
        <is>
          <t>Modular / portable power</t>
        </is>
      </c>
      <c r="D4746" s="12" t="inlineStr">
        <is>
          <t>RTD to JB JB-RICE-8-RTD01: 10 x 1 tri (field cables)</t>
        </is>
      </c>
      <c r="E4746" s="12" t="inlineStr">
        <is>
          <t>RICE-8</t>
        </is>
      </c>
      <c r="F4746" s="12" t="inlineStr">
        <is>
          <t>RICE engine-generator 8</t>
        </is>
      </c>
      <c r="G4746" s="12" t="inlineStr">
        <is>
          <t>JB-RICE-8-RTD01</t>
        </is>
      </c>
      <c r="H4746" s="12" t="inlineStr">
        <is>
          <t>RICE engine-generator 8</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I-I-0380</t>
        </is>
      </c>
      <c r="B4747" s="12" t="inlineStr">
        <is>
          <t>I</t>
        </is>
      </c>
      <c r="C4747" s="12" t="inlineStr">
        <is>
          <t>Modular / portable power</t>
        </is>
      </c>
      <c r="D4747" s="12" t="inlineStr">
        <is>
          <t>Home run JB-RICE-8-RTD01 to the control / marshalling room</t>
        </is>
      </c>
      <c r="E4747" s="12" t="inlineStr"/>
      <c r="F4747" s="12" t="inlineStr">
        <is>
          <t>PCM: power control module</t>
        </is>
      </c>
      <c r="G4747" s="12" t="inlineStr">
        <is>
          <t>JB-RICE-8-RTD01</t>
        </is>
      </c>
      <c r="H4747" s="12" t="inlineStr">
        <is>
          <t>RICE engine-generator 8</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7" t="n">
        <v>0</v>
      </c>
      <c r="U4747" s="17" t="n">
        <v>161</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I-I-0381</t>
        </is>
      </c>
      <c r="B4748" s="12" t="inlineStr">
        <is>
          <t>I</t>
        </is>
      </c>
      <c r="C4748" s="12" t="inlineStr">
        <is>
          <t>Modular / portable power</t>
        </is>
      </c>
      <c r="D4748" s="12" t="inlineStr">
        <is>
          <t>RTD to JB JB-RICE-8-RTD02: 2 x 1 tri (field cables)</t>
        </is>
      </c>
      <c r="E4748" s="12" t="inlineStr">
        <is>
          <t>RICE-8</t>
        </is>
      </c>
      <c r="F4748" s="12" t="inlineStr">
        <is>
          <t>RICE engine-generator 8</t>
        </is>
      </c>
      <c r="G4748" s="12" t="inlineStr">
        <is>
          <t>JB-RICE-8-RTD02</t>
        </is>
      </c>
      <c r="H4748" s="12" t="inlineStr">
        <is>
          <t>RICE engine-generator 8</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I-I-0382</t>
        </is>
      </c>
      <c r="B4749" s="12" t="inlineStr">
        <is>
          <t>I</t>
        </is>
      </c>
      <c r="C4749" s="12" t="inlineStr">
        <is>
          <t>Modular / portable power</t>
        </is>
      </c>
      <c r="D4749" s="12" t="inlineStr">
        <is>
          <t>Home run JB-RICE-8-RTD02 to the control / marshalling room</t>
        </is>
      </c>
      <c r="E4749" s="12" t="inlineStr"/>
      <c r="F4749" s="12" t="inlineStr">
        <is>
          <t>PCM: power control module</t>
        </is>
      </c>
      <c r="G4749" s="12" t="inlineStr">
        <is>
          <t>JB-RICE-8-RTD02</t>
        </is>
      </c>
      <c r="H4749" s="12" t="inlineStr">
        <is>
          <t>RICE engine-generator 8</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7" t="n">
        <v>0</v>
      </c>
      <c r="U4749" s="17" t="n">
        <v>161</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I-I-0383</t>
        </is>
      </c>
      <c r="B4750" s="12" t="inlineStr">
        <is>
          <t>I</t>
        </is>
      </c>
      <c r="C4750" s="12" t="inlineStr">
        <is>
          <t>Modular / portable power</t>
        </is>
      </c>
      <c r="D4750" s="12" t="inlineStr">
        <is>
          <t>Instrumentation</t>
        </is>
      </c>
      <c r="E4750" s="12" t="inlineStr"/>
      <c r="F4750" s="12" t="inlineStr">
        <is>
          <t>PCM: power control module</t>
        </is>
      </c>
      <c r="G4750" s="12" t="inlineStr"/>
      <c r="H4750" s="12" t="inlineStr">
        <is>
          <t>Reagent storage</t>
        </is>
      </c>
      <c r="I4750" s="12" t="inlineStr">
        <is>
          <t>Instrumentation</t>
        </is>
      </c>
      <c r="J4750" s="12" t="inlineStr">
        <is>
          <t>Instrumentation PLTC / TC-ER 300 V, #18 twisted shielded pairs, overall shield</t>
        </is>
      </c>
      <c r="K4750" s="12" t="inlineStr">
        <is>
          <t>PLTC|4 pr|18</t>
        </is>
      </c>
      <c r="L4750" s="12" t="inlineStr">
        <is>
          <t>4 pr</t>
        </is>
      </c>
      <c r="M4750" s="12" t="inlineStr">
        <is>
          <t>18</t>
        </is>
      </c>
      <c r="N4750" s="12" t="n">
        <v>1</v>
      </c>
      <c r="O4750" s="12" t="n">
        <v>1</v>
      </c>
      <c r="P4750" s="12" t="n"/>
      <c r="Q4750" s="12" t="n"/>
      <c r="R4750" s="12" t="n"/>
      <c r="S4750" s="12" t="inlineStr">
        <is>
          <t>Tray</t>
        </is>
      </c>
      <c r="T4750" s="17" t="n">
        <v>40</v>
      </c>
      <c r="U4750" s="17" t="n">
        <v>32</v>
      </c>
      <c r="V4750" s="17">
        <f>ROUNDUP((T4750+U4750+2*'Read Me'!$B$13)*(1+'Read Me'!$B$12),-1)</f>
        <v/>
      </c>
      <c r="W4750" s="17">
        <f>V4750*N4750*O4750</f>
        <v/>
      </c>
      <c r="X4750" s="12">
        <f>IF(LEFT(I4750,2)="MV",2*N4750*IF(L4750="1/C",O4750,1),0)</f>
        <v/>
      </c>
      <c r="Y4750" s="12">
        <f>IF(OR(LEFT(K4750,4)="LVAX",LEFT(K4750,6)="MV15AX",LEFT(K4750,4)="CTAX",LEFT(K4750,2)="W|"),2*N4750*O4750,0)</f>
        <v/>
      </c>
      <c r="Z4750" s="12" t="inlineStr"/>
      <c r="AA4750" s="12">
        <f>N4750*O4750</f>
        <v/>
      </c>
    </row>
    <row r="4751">
      <c r="A4751" s="12" t="inlineStr">
        <is>
          <t>I-I-0384</t>
        </is>
      </c>
      <c r="B4751" s="12" t="inlineStr">
        <is>
          <t>I</t>
        </is>
      </c>
      <c r="C4751" s="12" t="inlineStr">
        <is>
          <t>Modular / portable power</t>
        </is>
      </c>
      <c r="D4751" s="12" t="inlineStr">
        <is>
          <t>Analog instrument to JB JB-SC-1 SCR / CO cata-AI01: 12 x 1 pr (field cables)</t>
        </is>
      </c>
      <c r="E4751" s="12" t="inlineStr"/>
      <c r="F4751" s="12" t="inlineStr">
        <is>
          <t>SC-1 SCR / CO catalyst</t>
        </is>
      </c>
      <c r="G4751" s="12" t="inlineStr">
        <is>
          <t>JB-SC-1 SCR / CO cata-AI01</t>
        </is>
      </c>
      <c r="H4751" s="12" t="inlineStr">
        <is>
          <t>SC-1 SCR / CO catalyst</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12</v>
      </c>
      <c r="O4751" s="12" t="n">
        <v>1</v>
      </c>
      <c r="P4751" s="12" t="n"/>
      <c r="Q4751" s="12" t="n"/>
      <c r="R4751" s="12" t="n"/>
      <c r="S4751" s="12" t="inlineStr">
        <is>
          <t>Tray / conduit</t>
        </is>
      </c>
      <c r="T4751" s="17" t="n">
        <v>74</v>
      </c>
      <c r="U4751" s="17" t="n">
        <v>10</v>
      </c>
      <c r="V4751" s="17">
        <f>ROUNDUP((T4751+U4751+2*'Read Me'!$B$13)*(1+'Read Me'!$B$12),-1)</f>
        <v/>
      </c>
      <c r="W4751" s="17">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I-I-0385</t>
        </is>
      </c>
      <c r="B4752" s="12" t="inlineStr">
        <is>
          <t>I</t>
        </is>
      </c>
      <c r="C4752" s="12" t="inlineStr">
        <is>
          <t>Modular / portable power</t>
        </is>
      </c>
      <c r="D4752" s="12" t="inlineStr">
        <is>
          <t>Home run JB-SC-1 SCR / CO cata-AI01 to the control / marshalling room</t>
        </is>
      </c>
      <c r="E4752" s="12" t="inlineStr"/>
      <c r="F4752" s="12" t="inlineStr">
        <is>
          <t>PCM: power control module</t>
        </is>
      </c>
      <c r="G4752" s="12" t="inlineStr">
        <is>
          <t>JB-SC-1 SCR / CO cata-AI01</t>
        </is>
      </c>
      <c r="H4752" s="12" t="inlineStr">
        <is>
          <t>SC-1 SCR / CO catalyst</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7" t="n">
        <v>40</v>
      </c>
      <c r="U4752" s="17" t="n">
        <v>142</v>
      </c>
      <c r="V4752" s="17">
        <f>ROUNDUP((T4752+U4752+2*'Read Me'!$B$13)*(1+'Read Me'!$B$12),-1)</f>
        <v/>
      </c>
      <c r="W4752" s="17">
        <f>V4752*N4752*O4752</f>
        <v/>
      </c>
      <c r="X4752" s="12">
        <f>IF(LEFT(I4752,2)="MV",2*N4752*IF(L4752="1/C",O4752,1),0)</f>
        <v/>
      </c>
      <c r="Y4752" s="12">
        <f>IF(OR(LEFT(K4752,4)="LVAX",LEFT(K4752,6)="MV15AX",LEFT(K4752,4)="CTAX",LEFT(K4752,2)="W|"),2*N4752*O4752,0)</f>
        <v/>
      </c>
      <c r="Z4752" s="12" t="inlineStr"/>
      <c r="AA4752" s="12">
        <f>N4752*O4752</f>
        <v/>
      </c>
    </row>
    <row r="4753">
      <c r="A4753" s="12" t="inlineStr">
        <is>
          <t>I-I-0386</t>
        </is>
      </c>
      <c r="B4753" s="12" t="inlineStr">
        <is>
          <t>I</t>
        </is>
      </c>
      <c r="C4753" s="12" t="inlineStr">
        <is>
          <t>Modular / portable power</t>
        </is>
      </c>
      <c r="D4753" s="12" t="inlineStr">
        <is>
          <t>Discrete device to JB JB-SC-1 SCR / CO cata-DI01: 8 x 1 pr (field cables)</t>
        </is>
      </c>
      <c r="E4753" s="12" t="inlineStr"/>
      <c r="F4753" s="12" t="inlineStr">
        <is>
          <t>SC-1 SCR / CO catalyst</t>
        </is>
      </c>
      <c r="G4753" s="12" t="inlineStr">
        <is>
          <t>JB-SC-1 SCR / CO cata-DI01</t>
        </is>
      </c>
      <c r="H4753" s="12" t="inlineStr">
        <is>
          <t>SC-1 SCR / CO catalyst</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8</v>
      </c>
      <c r="O4753" s="12" t="n">
        <v>1</v>
      </c>
      <c r="P4753" s="12" t="n"/>
      <c r="Q4753" s="12" t="n"/>
      <c r="R4753" s="12" t="n"/>
      <c r="S4753" s="12" t="inlineStr">
        <is>
          <t>Tray / conduit</t>
        </is>
      </c>
      <c r="T4753" s="17" t="n">
        <v>74</v>
      </c>
      <c r="U4753" s="17" t="n">
        <v>10</v>
      </c>
      <c r="V4753" s="17">
        <f>ROUNDUP((T4753+U4753+2*'Read Me'!$B$13)*(1+'Read Me'!$B$12),-1)</f>
        <v/>
      </c>
      <c r="W4753" s="17">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I-I-0387</t>
        </is>
      </c>
      <c r="B4754" s="12" t="inlineStr">
        <is>
          <t>I</t>
        </is>
      </c>
      <c r="C4754" s="12" t="inlineStr">
        <is>
          <t>Modular / portable power</t>
        </is>
      </c>
      <c r="D4754" s="12" t="inlineStr">
        <is>
          <t>Home run JB-SC-1 SCR / CO cata-DI01 to the control / marshalling room</t>
        </is>
      </c>
      <c r="E4754" s="12" t="inlineStr"/>
      <c r="F4754" s="12" t="inlineStr">
        <is>
          <t>PCM: power control module</t>
        </is>
      </c>
      <c r="G4754" s="12" t="inlineStr">
        <is>
          <t>JB-SC-1 SCR / CO cata-DI01</t>
        </is>
      </c>
      <c r="H4754" s="12" t="inlineStr">
        <is>
          <t>SC-1 SCR / CO catalyst</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7" t="n">
        <v>40</v>
      </c>
      <c r="U4754" s="17" t="n">
        <v>142</v>
      </c>
      <c r="V4754" s="17">
        <f>ROUNDUP((T4754+U4754+2*'Read Me'!$B$13)*(1+'Read Me'!$B$12),-1)</f>
        <v/>
      </c>
      <c r="W4754" s="17">
        <f>V4754*N4754*O4754</f>
        <v/>
      </c>
      <c r="X4754" s="12">
        <f>IF(LEFT(I4754,2)="MV",2*N4754*IF(L4754="1/C",O4754,1),0)</f>
        <v/>
      </c>
      <c r="Y4754" s="12">
        <f>IF(OR(LEFT(K4754,4)="LVAX",LEFT(K4754,6)="MV15AX",LEFT(K4754,4)="CTAX",LEFT(K4754,2)="W|"),2*N4754*O4754,0)</f>
        <v/>
      </c>
      <c r="Z4754" s="12" t="inlineStr"/>
      <c r="AA4754" s="12">
        <f>N4754*O4754</f>
        <v/>
      </c>
    </row>
    <row r="4755">
      <c r="A4755" s="12" t="inlineStr">
        <is>
          <t>I-I-0388</t>
        </is>
      </c>
      <c r="B4755" s="12" t="inlineStr">
        <is>
          <t>I</t>
        </is>
      </c>
      <c r="C4755" s="12" t="inlineStr">
        <is>
          <t>Modular / portable power</t>
        </is>
      </c>
      <c r="D4755" s="12" t="inlineStr">
        <is>
          <t>Analog instrument to JB JB-SC-1 lube-oil fin--AI01: 4 x 1 pr (field cables)</t>
        </is>
      </c>
      <c r="E4755" s="12" t="inlineStr"/>
      <c r="F4755" s="12" t="inlineStr">
        <is>
          <t>SC-1 lube-oil fin-fan cooler</t>
        </is>
      </c>
      <c r="G4755" s="12" t="inlineStr">
        <is>
          <t>JB-SC-1 lube-oil fin--AI01</t>
        </is>
      </c>
      <c r="H4755" s="12" t="inlineStr">
        <is>
          <t>SC-1 lube-oil fin-fan cooler</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4</v>
      </c>
      <c r="O4755" s="12" t="n">
        <v>1</v>
      </c>
      <c r="P4755" s="12" t="n"/>
      <c r="Q4755" s="12" t="n"/>
      <c r="R4755" s="12" t="n"/>
      <c r="S4755" s="12" t="inlineStr">
        <is>
          <t>Tray / conduit</t>
        </is>
      </c>
      <c r="T4755" s="17" t="n">
        <v>46</v>
      </c>
      <c r="U4755" s="17" t="n">
        <v>10</v>
      </c>
      <c r="V4755" s="17">
        <f>ROUNDUP((T4755+U4755+2*'Read Me'!$B$13)*(1+'Read Me'!$B$12),-1)</f>
        <v/>
      </c>
      <c r="W4755" s="17">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I-I-0389</t>
        </is>
      </c>
      <c r="B4756" s="12" t="inlineStr">
        <is>
          <t>I</t>
        </is>
      </c>
      <c r="C4756" s="12" t="inlineStr">
        <is>
          <t>Modular / portable power</t>
        </is>
      </c>
      <c r="D4756" s="12" t="inlineStr">
        <is>
          <t>Home run JB-SC-1 lube-oil fin--AI01 to the control / marshalling room</t>
        </is>
      </c>
      <c r="E4756" s="12" t="inlineStr"/>
      <c r="F4756" s="12" t="inlineStr">
        <is>
          <t>PCM: power control module</t>
        </is>
      </c>
      <c r="G4756" s="12" t="inlineStr">
        <is>
          <t>JB-SC-1 lube-oil fin--AI01</t>
        </is>
      </c>
      <c r="H4756" s="12" t="inlineStr">
        <is>
          <t>SC-1 lube-oil fin-fan cooler</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7" t="n">
        <v>82</v>
      </c>
      <c r="U4756" s="17" t="n">
        <v>82</v>
      </c>
      <c r="V4756" s="17">
        <f>ROUNDUP((T4756+U4756+2*'Read Me'!$B$13)*(1+'Read Me'!$B$12),-1)</f>
        <v/>
      </c>
      <c r="W4756" s="17">
        <f>V4756*N4756*O4756</f>
        <v/>
      </c>
      <c r="X4756" s="12">
        <f>IF(LEFT(I4756,2)="MV",2*N4756*IF(L4756="1/C",O4756,1),0)</f>
        <v/>
      </c>
      <c r="Y4756" s="12">
        <f>IF(OR(LEFT(K4756,4)="LVAX",LEFT(K4756,6)="MV15AX",LEFT(K4756,4)="CTAX",LEFT(K4756,2)="W|"),2*N4756*O4756,0)</f>
        <v/>
      </c>
      <c r="Z4756" s="12" t="inlineStr"/>
      <c r="AA4756" s="12">
        <f>N4756*O4756</f>
        <v/>
      </c>
    </row>
    <row r="4757">
      <c r="A4757" s="12" t="inlineStr">
        <is>
          <t>I-I-0390</t>
        </is>
      </c>
      <c r="B4757" s="12" t="inlineStr">
        <is>
          <t>I</t>
        </is>
      </c>
      <c r="C4757" s="12" t="inlineStr">
        <is>
          <t>Modular / portable power</t>
        </is>
      </c>
      <c r="D4757" s="12" t="inlineStr">
        <is>
          <t>Discrete device to JB JB-SC-1 lube-oil fin--DI01: 8 x 1 pr (field cables)</t>
        </is>
      </c>
      <c r="E4757" s="12" t="inlineStr"/>
      <c r="F4757" s="12" t="inlineStr">
        <is>
          <t>SC-1 lube-oil fin-fan cooler</t>
        </is>
      </c>
      <c r="G4757" s="12" t="inlineStr">
        <is>
          <t>JB-SC-1 lube-oil fin--DI01</t>
        </is>
      </c>
      <c r="H4757" s="12" t="inlineStr">
        <is>
          <t>SC-1 lube-oil fin-fan cooler</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8</v>
      </c>
      <c r="O4757" s="12" t="n">
        <v>1</v>
      </c>
      <c r="P4757" s="12" t="n"/>
      <c r="Q4757" s="12" t="n"/>
      <c r="R4757" s="12" t="n"/>
      <c r="S4757" s="12" t="inlineStr">
        <is>
          <t>Tray / conduit</t>
        </is>
      </c>
      <c r="T4757" s="17" t="n">
        <v>46</v>
      </c>
      <c r="U4757" s="17" t="n">
        <v>10</v>
      </c>
      <c r="V4757" s="17">
        <f>ROUNDUP((T4757+U4757+2*'Read Me'!$B$13)*(1+'Read Me'!$B$12),-1)</f>
        <v/>
      </c>
      <c r="W4757" s="17">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I-I-0391</t>
        </is>
      </c>
      <c r="B4758" s="12" t="inlineStr">
        <is>
          <t>I</t>
        </is>
      </c>
      <c r="C4758" s="12" t="inlineStr">
        <is>
          <t>Modular / portable power</t>
        </is>
      </c>
      <c r="D4758" s="12" t="inlineStr">
        <is>
          <t>Home run JB-SC-1 lube-oil fin--DI01 to the control / marshalling room</t>
        </is>
      </c>
      <c r="E4758" s="12" t="inlineStr"/>
      <c r="F4758" s="12" t="inlineStr">
        <is>
          <t>PCM: power control module</t>
        </is>
      </c>
      <c r="G4758" s="12" t="inlineStr">
        <is>
          <t>JB-SC-1 lube-oil fin--DI01</t>
        </is>
      </c>
      <c r="H4758" s="12" t="inlineStr">
        <is>
          <t>SC-1 lube-oil fin-fan cooler</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7" t="n">
        <v>82</v>
      </c>
      <c r="U4758" s="17" t="n">
        <v>82</v>
      </c>
      <c r="V4758" s="17">
        <f>ROUNDUP((T4758+U4758+2*'Read Me'!$B$13)*(1+'Read Me'!$B$12),-1)</f>
        <v/>
      </c>
      <c r="W4758" s="17">
        <f>V4758*N4758*O4758</f>
        <v/>
      </c>
      <c r="X4758" s="12">
        <f>IF(LEFT(I4758,2)="MV",2*N4758*IF(L4758="1/C",O4758,1),0)</f>
        <v/>
      </c>
      <c r="Y4758" s="12">
        <f>IF(OR(LEFT(K4758,4)="LVAX",LEFT(K4758,6)="MV15AX",LEFT(K4758,4)="CTAX",LEFT(K4758,2)="W|"),2*N4758*O4758,0)</f>
        <v/>
      </c>
      <c r="Z4758" s="12" t="inlineStr"/>
      <c r="AA4758" s="12">
        <f>N4758*O4758</f>
        <v/>
      </c>
    </row>
    <row r="4759">
      <c r="A4759" s="12" t="inlineStr">
        <is>
          <t>I-I-0392</t>
        </is>
      </c>
      <c r="B4759" s="12" t="inlineStr">
        <is>
          <t>I</t>
        </is>
      </c>
      <c r="C4759" s="12" t="inlineStr">
        <is>
          <t>Modular / portable power</t>
        </is>
      </c>
      <c r="D4759" s="12" t="inlineStr">
        <is>
          <t>Analog instrument to JB JB-SC-1-AI01: 20 x 1 pr (field cables)</t>
        </is>
      </c>
      <c r="E4759" s="12" t="inlineStr">
        <is>
          <t>SC-1</t>
        </is>
      </c>
      <c r="F4759" s="12" t="inlineStr">
        <is>
          <t>SC-1: aeroderivative simple-cycle unit (LM6000 class)</t>
        </is>
      </c>
      <c r="G4759" s="12" t="inlineStr">
        <is>
          <t>JB-SC-1-AI01</t>
        </is>
      </c>
      <c r="H4759" s="12" t="inlineStr">
        <is>
          <t>SC-1: aeroderivative simple-cycle unit (LM6000 class)</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20</v>
      </c>
      <c r="O4759" s="12" t="n">
        <v>1</v>
      </c>
      <c r="P4759" s="12" t="n"/>
      <c r="Q4759" s="12" t="n"/>
      <c r="R4759" s="12" t="n"/>
      <c r="S4759" s="12" t="inlineStr">
        <is>
          <t>Tray / conduit</t>
        </is>
      </c>
      <c r="T4759" s="17" t="n">
        <v>99</v>
      </c>
      <c r="U4759" s="17" t="n">
        <v>10</v>
      </c>
      <c r="V4759" s="17">
        <f>ROUNDUP((T4759+U4759+2*'Read Me'!$B$13)*(1+'Read Me'!$B$12),-1)</f>
        <v/>
      </c>
      <c r="W4759" s="17">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I-I-0393</t>
        </is>
      </c>
      <c r="B4760" s="12" t="inlineStr">
        <is>
          <t>I</t>
        </is>
      </c>
      <c r="C4760" s="12" t="inlineStr">
        <is>
          <t>Modular / portable power</t>
        </is>
      </c>
      <c r="D4760" s="12" t="inlineStr">
        <is>
          <t>Home run JB-SC-1-AI01 to the control / marshalling room</t>
        </is>
      </c>
      <c r="E4760" s="12" t="inlineStr"/>
      <c r="F4760" s="12" t="inlineStr">
        <is>
          <t>PCM: power control module</t>
        </is>
      </c>
      <c r="G4760" s="12" t="inlineStr">
        <is>
          <t>JB-SC-1-AI01</t>
        </is>
      </c>
      <c r="H4760" s="12" t="inlineStr">
        <is>
          <t>SC-1: aeroderivative simple-cycle unit (LM6000 class)</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7" t="n">
        <v>40</v>
      </c>
      <c r="U4760" s="17" t="n">
        <v>52</v>
      </c>
      <c r="V4760" s="17">
        <f>ROUNDUP((T4760+U4760+2*'Read Me'!$B$13)*(1+'Read Me'!$B$12),-1)</f>
        <v/>
      </c>
      <c r="W4760" s="17">
        <f>V4760*N4760*O4760</f>
        <v/>
      </c>
      <c r="X4760" s="12">
        <f>IF(LEFT(I4760,2)="MV",2*N4760*IF(L4760="1/C",O4760,1),0)</f>
        <v/>
      </c>
      <c r="Y4760" s="12">
        <f>IF(OR(LEFT(K4760,4)="LVAX",LEFT(K4760,6)="MV15AX",LEFT(K4760,4)="CTAX",LEFT(K4760,2)="W|"),2*N4760*O4760,0)</f>
        <v/>
      </c>
      <c r="Z4760" s="12" t="inlineStr"/>
      <c r="AA4760" s="12">
        <f>N4760*O4760</f>
        <v/>
      </c>
    </row>
    <row r="4761">
      <c r="A4761" s="12" t="inlineStr">
        <is>
          <t>I-I-0394</t>
        </is>
      </c>
      <c r="B4761" s="12" t="inlineStr">
        <is>
          <t>I</t>
        </is>
      </c>
      <c r="C4761" s="12" t="inlineStr">
        <is>
          <t>Modular / portable power</t>
        </is>
      </c>
      <c r="D4761" s="12" t="inlineStr">
        <is>
          <t>Analog instrument to JB JB-SC-1-AI02: 20 x 1 pr (field cables)</t>
        </is>
      </c>
      <c r="E4761" s="12" t="inlineStr">
        <is>
          <t>SC-1</t>
        </is>
      </c>
      <c r="F4761" s="12" t="inlineStr">
        <is>
          <t>SC-1: aeroderivative simple-cycle unit (LM6000 class)</t>
        </is>
      </c>
      <c r="G4761" s="12" t="inlineStr">
        <is>
          <t>JB-SC-1-AI02</t>
        </is>
      </c>
      <c r="H4761" s="12" t="inlineStr">
        <is>
          <t>SC-1: aeroderivative simple-cycle unit (LM6000 class)</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20</v>
      </c>
      <c r="O4761" s="12" t="n">
        <v>1</v>
      </c>
      <c r="P4761" s="12" t="n"/>
      <c r="Q4761" s="12" t="n"/>
      <c r="R4761" s="12" t="n"/>
      <c r="S4761" s="12" t="inlineStr">
        <is>
          <t>Tray / conduit</t>
        </is>
      </c>
      <c r="T4761" s="17" t="n">
        <v>99</v>
      </c>
      <c r="U4761" s="17" t="n">
        <v>10</v>
      </c>
      <c r="V4761" s="17">
        <f>ROUNDUP((T4761+U4761+2*'Read Me'!$B$13)*(1+'Read Me'!$B$12),-1)</f>
        <v/>
      </c>
      <c r="W4761" s="17">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I-I-0395</t>
        </is>
      </c>
      <c r="B4762" s="12" t="inlineStr">
        <is>
          <t>I</t>
        </is>
      </c>
      <c r="C4762" s="12" t="inlineStr">
        <is>
          <t>Modular / portable power</t>
        </is>
      </c>
      <c r="D4762" s="12" t="inlineStr">
        <is>
          <t>Home run JB-SC-1-AI02 to the control / marshalling room</t>
        </is>
      </c>
      <c r="E4762" s="12" t="inlineStr"/>
      <c r="F4762" s="12" t="inlineStr">
        <is>
          <t>PCM: power control module</t>
        </is>
      </c>
      <c r="G4762" s="12" t="inlineStr">
        <is>
          <t>JB-SC-1-AI02</t>
        </is>
      </c>
      <c r="H4762" s="12" t="inlineStr">
        <is>
          <t>SC-1: aeroderivative simple-cycle unit (LM6000 class)</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7" t="n">
        <v>40</v>
      </c>
      <c r="U4762" s="17" t="n">
        <v>52</v>
      </c>
      <c r="V4762" s="17">
        <f>ROUNDUP((T4762+U4762+2*'Read Me'!$B$13)*(1+'Read Me'!$B$12),-1)</f>
        <v/>
      </c>
      <c r="W4762" s="17">
        <f>V4762*N4762*O4762</f>
        <v/>
      </c>
      <c r="X4762" s="12">
        <f>IF(LEFT(I4762,2)="MV",2*N4762*IF(L4762="1/C",O4762,1),0)</f>
        <v/>
      </c>
      <c r="Y4762" s="12">
        <f>IF(OR(LEFT(K4762,4)="LVAX",LEFT(K4762,6)="MV15AX",LEFT(K4762,4)="CTAX",LEFT(K4762,2)="W|"),2*N4762*O4762,0)</f>
        <v/>
      </c>
      <c r="Z4762" s="12" t="inlineStr"/>
      <c r="AA4762" s="12">
        <f>N4762*O4762</f>
        <v/>
      </c>
    </row>
    <row r="4763">
      <c r="A4763" s="12" t="inlineStr">
        <is>
          <t>I-I-0396</t>
        </is>
      </c>
      <c r="B4763" s="12" t="inlineStr">
        <is>
          <t>I</t>
        </is>
      </c>
      <c r="C4763" s="12" t="inlineStr">
        <is>
          <t>Modular / portable power</t>
        </is>
      </c>
      <c r="D4763" s="12" t="inlineStr">
        <is>
          <t>Analog instrument to JB JB-SC-1-AI03: 20 x 1 pr (field cables)</t>
        </is>
      </c>
      <c r="E4763" s="12" t="inlineStr">
        <is>
          <t>SC-1</t>
        </is>
      </c>
      <c r="F4763" s="12" t="inlineStr">
        <is>
          <t>SC-1: aeroderivative simple-cycle unit (LM6000 class)</t>
        </is>
      </c>
      <c r="G4763" s="12" t="inlineStr">
        <is>
          <t>JB-SC-1-AI03</t>
        </is>
      </c>
      <c r="H4763" s="12" t="inlineStr">
        <is>
          <t>SC-1: aeroderivative simple-cycle unit (LM6000 class)</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20</v>
      </c>
      <c r="O4763" s="12" t="n">
        <v>1</v>
      </c>
      <c r="P4763" s="12" t="n"/>
      <c r="Q4763" s="12" t="n"/>
      <c r="R4763" s="12" t="n"/>
      <c r="S4763" s="12" t="inlineStr">
        <is>
          <t>Tray / conduit</t>
        </is>
      </c>
      <c r="T4763" s="17" t="n">
        <v>99</v>
      </c>
      <c r="U4763" s="17" t="n">
        <v>10</v>
      </c>
      <c r="V4763" s="17">
        <f>ROUNDUP((T4763+U4763+2*'Read Me'!$B$13)*(1+'Read Me'!$B$12),-1)</f>
        <v/>
      </c>
      <c r="W4763" s="17">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I-I-0397</t>
        </is>
      </c>
      <c r="B4764" s="12" t="inlineStr">
        <is>
          <t>I</t>
        </is>
      </c>
      <c r="C4764" s="12" t="inlineStr">
        <is>
          <t>Modular / portable power</t>
        </is>
      </c>
      <c r="D4764" s="12" t="inlineStr">
        <is>
          <t>Home run JB-SC-1-AI03 to the control / marshalling room</t>
        </is>
      </c>
      <c r="E4764" s="12" t="inlineStr"/>
      <c r="F4764" s="12" t="inlineStr">
        <is>
          <t>PCM: power control module</t>
        </is>
      </c>
      <c r="G4764" s="12" t="inlineStr">
        <is>
          <t>JB-SC-1-AI03</t>
        </is>
      </c>
      <c r="H4764" s="12" t="inlineStr">
        <is>
          <t>SC-1: aeroderivative simple-cycle unit (LM6000 class)</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7" t="n">
        <v>40</v>
      </c>
      <c r="U4764" s="17" t="n">
        <v>52</v>
      </c>
      <c r="V4764" s="17">
        <f>ROUNDUP((T4764+U4764+2*'Read Me'!$B$13)*(1+'Read Me'!$B$12),-1)</f>
        <v/>
      </c>
      <c r="W4764" s="17">
        <f>V4764*N4764*O4764</f>
        <v/>
      </c>
      <c r="X4764" s="12">
        <f>IF(LEFT(I4764,2)="MV",2*N4764*IF(L4764="1/C",O4764,1),0)</f>
        <v/>
      </c>
      <c r="Y4764" s="12">
        <f>IF(OR(LEFT(K4764,4)="LVAX",LEFT(K4764,6)="MV15AX",LEFT(K4764,4)="CTAX",LEFT(K4764,2)="W|"),2*N4764*O4764,0)</f>
        <v/>
      </c>
      <c r="Z4764" s="12" t="inlineStr"/>
      <c r="AA4764" s="12">
        <f>N4764*O4764</f>
        <v/>
      </c>
    </row>
    <row r="4765">
      <c r="A4765" s="12" t="inlineStr">
        <is>
          <t>I-I-0398</t>
        </is>
      </c>
      <c r="B4765" s="12" t="inlineStr">
        <is>
          <t>I</t>
        </is>
      </c>
      <c r="C4765" s="12" t="inlineStr">
        <is>
          <t>Modular / portable power</t>
        </is>
      </c>
      <c r="D4765" s="12" t="inlineStr">
        <is>
          <t>Analog instrument to JB JB-SC-1-AI04: 20 x 1 pr (field cables)</t>
        </is>
      </c>
      <c r="E4765" s="12" t="inlineStr">
        <is>
          <t>SC-1</t>
        </is>
      </c>
      <c r="F4765" s="12" t="inlineStr">
        <is>
          <t>SC-1: aeroderivative simple-cycle unit (LM6000 class)</t>
        </is>
      </c>
      <c r="G4765" s="12" t="inlineStr">
        <is>
          <t>JB-SC-1-AI04</t>
        </is>
      </c>
      <c r="H4765" s="12" t="inlineStr">
        <is>
          <t>SC-1: aeroderivative simple-cycle unit (LM6000 class)</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20</v>
      </c>
      <c r="O4765" s="12" t="n">
        <v>1</v>
      </c>
      <c r="P4765" s="12" t="n"/>
      <c r="Q4765" s="12" t="n"/>
      <c r="R4765" s="12" t="n"/>
      <c r="S4765" s="12" t="inlineStr">
        <is>
          <t>Tray / conduit</t>
        </is>
      </c>
      <c r="T4765" s="17" t="n">
        <v>99</v>
      </c>
      <c r="U4765" s="17" t="n">
        <v>10</v>
      </c>
      <c r="V4765" s="17">
        <f>ROUNDUP((T4765+U4765+2*'Read Me'!$B$13)*(1+'Read Me'!$B$12),-1)</f>
        <v/>
      </c>
      <c r="W4765" s="17">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I-I-0399</t>
        </is>
      </c>
      <c r="B4766" s="12" t="inlineStr">
        <is>
          <t>I</t>
        </is>
      </c>
      <c r="C4766" s="12" t="inlineStr">
        <is>
          <t>Modular / portable power</t>
        </is>
      </c>
      <c r="D4766" s="12" t="inlineStr">
        <is>
          <t>Home run JB-SC-1-AI04 to the control / marshalling room</t>
        </is>
      </c>
      <c r="E4766" s="12" t="inlineStr"/>
      <c r="F4766" s="12" t="inlineStr">
        <is>
          <t>PCM: power control module</t>
        </is>
      </c>
      <c r="G4766" s="12" t="inlineStr">
        <is>
          <t>JB-SC-1-AI04</t>
        </is>
      </c>
      <c r="H4766" s="12" t="inlineStr">
        <is>
          <t>SC-1: aeroderivative simple-cycle unit (LM6000 class)</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7" t="n">
        <v>40</v>
      </c>
      <c r="U4766" s="17" t="n">
        <v>52</v>
      </c>
      <c r="V4766" s="17">
        <f>ROUNDUP((T4766+U4766+2*'Read Me'!$B$13)*(1+'Read Me'!$B$12),-1)</f>
        <v/>
      </c>
      <c r="W4766" s="17">
        <f>V4766*N4766*O4766</f>
        <v/>
      </c>
      <c r="X4766" s="12">
        <f>IF(LEFT(I4766,2)="MV",2*N4766*IF(L4766="1/C",O4766,1),0)</f>
        <v/>
      </c>
      <c r="Y4766" s="12">
        <f>IF(OR(LEFT(K4766,4)="LVAX",LEFT(K4766,6)="MV15AX",LEFT(K4766,4)="CTAX",LEFT(K4766,2)="W|"),2*N4766*O4766,0)</f>
        <v/>
      </c>
      <c r="Z4766" s="12" t="inlineStr"/>
      <c r="AA4766" s="12">
        <f>N4766*O4766</f>
        <v/>
      </c>
    </row>
    <row r="4767">
      <c r="A4767" s="12" t="inlineStr">
        <is>
          <t>I-I-0400</t>
        </is>
      </c>
      <c r="B4767" s="12" t="inlineStr">
        <is>
          <t>I</t>
        </is>
      </c>
      <c r="C4767" s="12" t="inlineStr">
        <is>
          <t>Modular / portable power</t>
        </is>
      </c>
      <c r="D4767" s="12" t="inlineStr">
        <is>
          <t>Analog instrument to JB JB-SC-1-AI05: 20 x 1 pr (field cables)</t>
        </is>
      </c>
      <c r="E4767" s="12" t="inlineStr">
        <is>
          <t>SC-1</t>
        </is>
      </c>
      <c r="F4767" s="12" t="inlineStr">
        <is>
          <t>SC-1: aeroderivative simple-cycle unit (LM6000 class)</t>
        </is>
      </c>
      <c r="G4767" s="12" t="inlineStr">
        <is>
          <t>JB-SC-1-AI05</t>
        </is>
      </c>
      <c r="H4767" s="12" t="inlineStr">
        <is>
          <t>SC-1: aeroderivative simple-cycle unit (LM6000 class)</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20</v>
      </c>
      <c r="O4767" s="12" t="n">
        <v>1</v>
      </c>
      <c r="P4767" s="12" t="n"/>
      <c r="Q4767" s="12" t="n"/>
      <c r="R4767" s="12" t="n"/>
      <c r="S4767" s="12" t="inlineStr">
        <is>
          <t>Tray / conduit</t>
        </is>
      </c>
      <c r="T4767" s="17" t="n">
        <v>99</v>
      </c>
      <c r="U4767" s="17" t="n">
        <v>10</v>
      </c>
      <c r="V4767" s="17">
        <f>ROUNDUP((T4767+U4767+2*'Read Me'!$B$13)*(1+'Read Me'!$B$12),-1)</f>
        <v/>
      </c>
      <c r="W4767" s="17">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I-I-0401</t>
        </is>
      </c>
      <c r="B4768" s="12" t="inlineStr">
        <is>
          <t>I</t>
        </is>
      </c>
      <c r="C4768" s="12" t="inlineStr">
        <is>
          <t>Modular / portable power</t>
        </is>
      </c>
      <c r="D4768" s="12" t="inlineStr">
        <is>
          <t>Home run JB-SC-1-AI05 to the control / marshalling room</t>
        </is>
      </c>
      <c r="E4768" s="12" t="inlineStr"/>
      <c r="F4768" s="12" t="inlineStr">
        <is>
          <t>PCM: power control module</t>
        </is>
      </c>
      <c r="G4768" s="12" t="inlineStr">
        <is>
          <t>JB-SC-1-AI05</t>
        </is>
      </c>
      <c r="H4768" s="12" t="inlineStr">
        <is>
          <t>SC-1: aeroderivative simple-cycle unit (LM6000 class)</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7" t="n">
        <v>40</v>
      </c>
      <c r="U4768" s="17" t="n">
        <v>52</v>
      </c>
      <c r="V4768" s="17">
        <f>ROUNDUP((T4768+U4768+2*'Read Me'!$B$13)*(1+'Read Me'!$B$12),-1)</f>
        <v/>
      </c>
      <c r="W4768" s="17">
        <f>V4768*N4768*O4768</f>
        <v/>
      </c>
      <c r="X4768" s="12">
        <f>IF(LEFT(I4768,2)="MV",2*N4768*IF(L4768="1/C",O4768,1),0)</f>
        <v/>
      </c>
      <c r="Y4768" s="12">
        <f>IF(OR(LEFT(K4768,4)="LVAX",LEFT(K4768,6)="MV15AX",LEFT(K4768,4)="CTAX",LEFT(K4768,2)="W|"),2*N4768*O4768,0)</f>
        <v/>
      </c>
      <c r="Z4768" s="12" t="inlineStr"/>
      <c r="AA4768" s="12">
        <f>N4768*O4768</f>
        <v/>
      </c>
    </row>
    <row r="4769">
      <c r="A4769" s="12" t="inlineStr">
        <is>
          <t>I-I-0402</t>
        </is>
      </c>
      <c r="B4769" s="12" t="inlineStr">
        <is>
          <t>I</t>
        </is>
      </c>
      <c r="C4769" s="12" t="inlineStr">
        <is>
          <t>Modular / portable power</t>
        </is>
      </c>
      <c r="D4769" s="12" t="inlineStr">
        <is>
          <t>Analog instrument to JB JB-SC-1-AI06: 20 x 1 pr (field cables)</t>
        </is>
      </c>
      <c r="E4769" s="12" t="inlineStr">
        <is>
          <t>SC-1</t>
        </is>
      </c>
      <c r="F4769" s="12" t="inlineStr">
        <is>
          <t>SC-1: aeroderivative simple-cycle unit (LM6000 class)</t>
        </is>
      </c>
      <c r="G4769" s="12" t="inlineStr">
        <is>
          <t>JB-SC-1-AI06</t>
        </is>
      </c>
      <c r="H4769" s="12" t="inlineStr">
        <is>
          <t>SC-1: aeroderivative simple-cycle unit (LM6000 class)</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20</v>
      </c>
      <c r="O4769" s="12" t="n">
        <v>1</v>
      </c>
      <c r="P4769" s="12" t="n"/>
      <c r="Q4769" s="12" t="n"/>
      <c r="R4769" s="12" t="n"/>
      <c r="S4769" s="12" t="inlineStr">
        <is>
          <t>Tray / conduit</t>
        </is>
      </c>
      <c r="T4769" s="17" t="n">
        <v>99</v>
      </c>
      <c r="U4769" s="17" t="n">
        <v>10</v>
      </c>
      <c r="V4769" s="17">
        <f>ROUNDUP((T4769+U4769+2*'Read Me'!$B$13)*(1+'Read Me'!$B$12),-1)</f>
        <v/>
      </c>
      <c r="W4769" s="17">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I-I-0403</t>
        </is>
      </c>
      <c r="B4770" s="12" t="inlineStr">
        <is>
          <t>I</t>
        </is>
      </c>
      <c r="C4770" s="12" t="inlineStr">
        <is>
          <t>Modular / portable power</t>
        </is>
      </c>
      <c r="D4770" s="12" t="inlineStr">
        <is>
          <t>Home run JB-SC-1-AI06 to the control / marshalling room</t>
        </is>
      </c>
      <c r="E4770" s="12" t="inlineStr"/>
      <c r="F4770" s="12" t="inlineStr">
        <is>
          <t>PCM: power control module</t>
        </is>
      </c>
      <c r="G4770" s="12" t="inlineStr">
        <is>
          <t>JB-SC-1-AI06</t>
        </is>
      </c>
      <c r="H4770" s="12" t="inlineStr">
        <is>
          <t>SC-1: aeroderivative simple-cycle unit (LM6000 class)</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7" t="n">
        <v>40</v>
      </c>
      <c r="U4770" s="17" t="n">
        <v>52</v>
      </c>
      <c r="V4770" s="17">
        <f>ROUNDUP((T4770+U4770+2*'Read Me'!$B$13)*(1+'Read Me'!$B$12),-1)</f>
        <v/>
      </c>
      <c r="W4770" s="17">
        <f>V4770*N4770*O4770</f>
        <v/>
      </c>
      <c r="X4770" s="12">
        <f>IF(LEFT(I4770,2)="MV",2*N4770*IF(L4770="1/C",O4770,1),0)</f>
        <v/>
      </c>
      <c r="Y4770" s="12">
        <f>IF(OR(LEFT(K4770,4)="LVAX",LEFT(K4770,6)="MV15AX",LEFT(K4770,4)="CTAX",LEFT(K4770,2)="W|"),2*N4770*O4770,0)</f>
        <v/>
      </c>
      <c r="Z4770" s="12" t="inlineStr"/>
      <c r="AA4770" s="12">
        <f>N4770*O4770</f>
        <v/>
      </c>
    </row>
    <row r="4771">
      <c r="A4771" s="12" t="inlineStr">
        <is>
          <t>I-I-0404</t>
        </is>
      </c>
      <c r="B4771" s="12" t="inlineStr">
        <is>
          <t>I</t>
        </is>
      </c>
      <c r="C4771" s="12" t="inlineStr">
        <is>
          <t>Modular / portable power</t>
        </is>
      </c>
      <c r="D4771" s="12" t="inlineStr">
        <is>
          <t>Analog instrument to JB JB-SC-1-AI07: 20 x 1 pr (field cables)</t>
        </is>
      </c>
      <c r="E4771" s="12" t="inlineStr">
        <is>
          <t>SC-1</t>
        </is>
      </c>
      <c r="F4771" s="12" t="inlineStr">
        <is>
          <t>SC-1: aeroderivative simple-cycle unit (LM6000 class)</t>
        </is>
      </c>
      <c r="G4771" s="12" t="inlineStr">
        <is>
          <t>JB-SC-1-AI07</t>
        </is>
      </c>
      <c r="H4771" s="12" t="inlineStr">
        <is>
          <t>SC-1: aeroderivative simple-cycle unit (LM6000 class)</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20</v>
      </c>
      <c r="O4771" s="12" t="n">
        <v>1</v>
      </c>
      <c r="P4771" s="12" t="n"/>
      <c r="Q4771" s="12" t="n"/>
      <c r="R4771" s="12" t="n"/>
      <c r="S4771" s="12" t="inlineStr">
        <is>
          <t>Tray / conduit</t>
        </is>
      </c>
      <c r="T4771" s="17" t="n">
        <v>99</v>
      </c>
      <c r="U4771" s="17" t="n">
        <v>10</v>
      </c>
      <c r="V4771" s="17">
        <f>ROUNDUP((T4771+U4771+2*'Read Me'!$B$13)*(1+'Read Me'!$B$12),-1)</f>
        <v/>
      </c>
      <c r="W4771" s="17">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I-I-0405</t>
        </is>
      </c>
      <c r="B4772" s="12" t="inlineStr">
        <is>
          <t>I</t>
        </is>
      </c>
      <c r="C4772" s="12" t="inlineStr">
        <is>
          <t>Modular / portable power</t>
        </is>
      </c>
      <c r="D4772" s="12" t="inlineStr">
        <is>
          <t>Home run JB-SC-1-AI07 to the control / marshalling room</t>
        </is>
      </c>
      <c r="E4772" s="12" t="inlineStr"/>
      <c r="F4772" s="12" t="inlineStr">
        <is>
          <t>PCM: power control module</t>
        </is>
      </c>
      <c r="G4772" s="12" t="inlineStr">
        <is>
          <t>JB-SC-1-AI07</t>
        </is>
      </c>
      <c r="H4772" s="12" t="inlineStr">
        <is>
          <t>SC-1: aeroderivative simple-cycle unit (LM6000 class)</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7" t="n">
        <v>40</v>
      </c>
      <c r="U4772" s="17" t="n">
        <v>52</v>
      </c>
      <c r="V4772" s="17">
        <f>ROUNDUP((T4772+U4772+2*'Read Me'!$B$13)*(1+'Read Me'!$B$12),-1)</f>
        <v/>
      </c>
      <c r="W4772" s="17">
        <f>V4772*N4772*O4772</f>
        <v/>
      </c>
      <c r="X4772" s="12">
        <f>IF(LEFT(I4772,2)="MV",2*N4772*IF(L4772="1/C",O4772,1),0)</f>
        <v/>
      </c>
      <c r="Y4772" s="12">
        <f>IF(OR(LEFT(K4772,4)="LVAX",LEFT(K4772,6)="MV15AX",LEFT(K4772,4)="CTAX",LEFT(K4772,2)="W|"),2*N4772*O4772,0)</f>
        <v/>
      </c>
      <c r="Z4772" s="12" t="inlineStr"/>
      <c r="AA4772" s="12">
        <f>N4772*O4772</f>
        <v/>
      </c>
    </row>
    <row r="4773">
      <c r="A4773" s="12" t="inlineStr">
        <is>
          <t>I-I-0406</t>
        </is>
      </c>
      <c r="B4773" s="12" t="inlineStr">
        <is>
          <t>I</t>
        </is>
      </c>
      <c r="C4773" s="12" t="inlineStr">
        <is>
          <t>Modular / portable power</t>
        </is>
      </c>
      <c r="D4773" s="12" t="inlineStr">
        <is>
          <t>Analog instrument to JB JB-SC-1-AI08: 10 x 1 pr (field cables)</t>
        </is>
      </c>
      <c r="E4773" s="12" t="inlineStr">
        <is>
          <t>SC-1</t>
        </is>
      </c>
      <c r="F4773" s="12" t="inlineStr">
        <is>
          <t>SC-1: aeroderivative simple-cycle unit (LM6000 class)</t>
        </is>
      </c>
      <c r="G4773" s="12" t="inlineStr">
        <is>
          <t>JB-SC-1-AI08</t>
        </is>
      </c>
      <c r="H4773" s="12" t="inlineStr">
        <is>
          <t>SC-1: aeroderivative simple-cycle unit (LM6000 class)</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10</v>
      </c>
      <c r="O4773" s="12" t="n">
        <v>1</v>
      </c>
      <c r="P4773" s="12" t="n"/>
      <c r="Q4773" s="12" t="n"/>
      <c r="R4773" s="12" t="n"/>
      <c r="S4773" s="12" t="inlineStr">
        <is>
          <t>Tray / conduit</t>
        </is>
      </c>
      <c r="T4773" s="17" t="n">
        <v>99</v>
      </c>
      <c r="U4773" s="17" t="n">
        <v>10</v>
      </c>
      <c r="V4773" s="17">
        <f>ROUNDUP((T4773+U4773+2*'Read Me'!$B$13)*(1+'Read Me'!$B$12),-1)</f>
        <v/>
      </c>
      <c r="W4773" s="17">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I-I-0407</t>
        </is>
      </c>
      <c r="B4774" s="12" t="inlineStr">
        <is>
          <t>I</t>
        </is>
      </c>
      <c r="C4774" s="12" t="inlineStr">
        <is>
          <t>Modular / portable power</t>
        </is>
      </c>
      <c r="D4774" s="12" t="inlineStr">
        <is>
          <t>Home run JB-SC-1-AI08 to the control / marshalling room</t>
        </is>
      </c>
      <c r="E4774" s="12" t="inlineStr"/>
      <c r="F4774" s="12" t="inlineStr">
        <is>
          <t>PCM: power control module</t>
        </is>
      </c>
      <c r="G4774" s="12" t="inlineStr">
        <is>
          <t>JB-SC-1-AI08</t>
        </is>
      </c>
      <c r="H4774" s="12" t="inlineStr">
        <is>
          <t>SC-1: aeroderivative simple-cycle unit (LM6000 class)</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7" t="n">
        <v>40</v>
      </c>
      <c r="U4774" s="17" t="n">
        <v>52</v>
      </c>
      <c r="V4774" s="17">
        <f>ROUNDUP((T4774+U4774+2*'Read Me'!$B$13)*(1+'Read Me'!$B$12),-1)</f>
        <v/>
      </c>
      <c r="W4774" s="17">
        <f>V4774*N4774*O4774</f>
        <v/>
      </c>
      <c r="X4774" s="12">
        <f>IF(LEFT(I4774,2)="MV",2*N4774*IF(L4774="1/C",O4774,1),0)</f>
        <v/>
      </c>
      <c r="Y4774" s="12">
        <f>IF(OR(LEFT(K4774,4)="LVAX",LEFT(K4774,6)="MV15AX",LEFT(K4774,4)="CTAX",LEFT(K4774,2)="W|"),2*N4774*O4774,0)</f>
        <v/>
      </c>
      <c r="Z4774" s="12" t="inlineStr"/>
      <c r="AA4774" s="12">
        <f>N4774*O4774</f>
        <v/>
      </c>
    </row>
    <row r="4775">
      <c r="A4775" s="12" t="inlineStr">
        <is>
          <t>I-I-0408</t>
        </is>
      </c>
      <c r="B4775" s="12" t="inlineStr">
        <is>
          <t>I</t>
        </is>
      </c>
      <c r="C4775" s="12" t="inlineStr">
        <is>
          <t>Modular / portable power</t>
        </is>
      </c>
      <c r="D4775" s="12" t="inlineStr">
        <is>
          <t>Discrete device to JB JB-SC-1-DI01: 20 x 1 pr (field cables)</t>
        </is>
      </c>
      <c r="E4775" s="12" t="inlineStr">
        <is>
          <t>SC-1</t>
        </is>
      </c>
      <c r="F4775" s="12" t="inlineStr">
        <is>
          <t>SC-1: aeroderivative simple-cycle unit (LM6000 class)</t>
        </is>
      </c>
      <c r="G4775" s="12" t="inlineStr">
        <is>
          <t>JB-SC-1-DI01</t>
        </is>
      </c>
      <c r="H4775" s="12" t="inlineStr">
        <is>
          <t>SC-1: aeroderivative simple-cycle unit (LM6000 class)</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20</v>
      </c>
      <c r="O4775" s="12" t="n">
        <v>1</v>
      </c>
      <c r="P4775" s="12" t="n"/>
      <c r="Q4775" s="12" t="n"/>
      <c r="R4775" s="12" t="n"/>
      <c r="S4775" s="12" t="inlineStr">
        <is>
          <t>Tray / conduit</t>
        </is>
      </c>
      <c r="T4775" s="17" t="n">
        <v>99</v>
      </c>
      <c r="U4775" s="17" t="n">
        <v>10</v>
      </c>
      <c r="V4775" s="17">
        <f>ROUNDUP((T4775+U4775+2*'Read Me'!$B$13)*(1+'Read Me'!$B$12),-1)</f>
        <v/>
      </c>
      <c r="W4775" s="17">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I-I-0409</t>
        </is>
      </c>
      <c r="B4776" s="12" t="inlineStr">
        <is>
          <t>I</t>
        </is>
      </c>
      <c r="C4776" s="12" t="inlineStr">
        <is>
          <t>Modular / portable power</t>
        </is>
      </c>
      <c r="D4776" s="12" t="inlineStr">
        <is>
          <t>Home run JB-SC-1-DI01 to the control / marshalling room</t>
        </is>
      </c>
      <c r="E4776" s="12" t="inlineStr"/>
      <c r="F4776" s="12" t="inlineStr">
        <is>
          <t>PCM: power control module</t>
        </is>
      </c>
      <c r="G4776" s="12" t="inlineStr">
        <is>
          <t>JB-SC-1-DI01</t>
        </is>
      </c>
      <c r="H4776" s="12" t="inlineStr">
        <is>
          <t>SC-1: aeroderivative simple-cycle unit (LM6000 class)</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7" t="n">
        <v>40</v>
      </c>
      <c r="U4776" s="17" t="n">
        <v>52</v>
      </c>
      <c r="V4776" s="17">
        <f>ROUNDUP((T4776+U4776+2*'Read Me'!$B$13)*(1+'Read Me'!$B$12),-1)</f>
        <v/>
      </c>
      <c r="W4776" s="17">
        <f>V4776*N4776*O4776</f>
        <v/>
      </c>
      <c r="X4776" s="12">
        <f>IF(LEFT(I4776,2)="MV",2*N4776*IF(L4776="1/C",O4776,1),0)</f>
        <v/>
      </c>
      <c r="Y4776" s="12">
        <f>IF(OR(LEFT(K4776,4)="LVAX",LEFT(K4776,6)="MV15AX",LEFT(K4776,4)="CTAX",LEFT(K4776,2)="W|"),2*N4776*O4776,0)</f>
        <v/>
      </c>
      <c r="Z4776" s="12" t="inlineStr"/>
      <c r="AA4776" s="12">
        <f>N4776*O4776</f>
        <v/>
      </c>
    </row>
    <row r="4777">
      <c r="A4777" s="12" t="inlineStr">
        <is>
          <t>I-I-0410</t>
        </is>
      </c>
      <c r="B4777" s="12" t="inlineStr">
        <is>
          <t>I</t>
        </is>
      </c>
      <c r="C4777" s="12" t="inlineStr">
        <is>
          <t>Modular / portable power</t>
        </is>
      </c>
      <c r="D4777" s="12" t="inlineStr">
        <is>
          <t>Discrete device to JB JB-SC-1-DI02: 20 x 1 pr (field cables)</t>
        </is>
      </c>
      <c r="E4777" s="12" t="inlineStr">
        <is>
          <t>SC-1</t>
        </is>
      </c>
      <c r="F4777" s="12" t="inlineStr">
        <is>
          <t>SC-1: aeroderivative simple-cycle unit (LM6000 class)</t>
        </is>
      </c>
      <c r="G4777" s="12" t="inlineStr">
        <is>
          <t>JB-SC-1-DI02</t>
        </is>
      </c>
      <c r="H4777" s="12" t="inlineStr">
        <is>
          <t>SC-1: aeroderivative simple-cycle unit (LM6000 class)</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20</v>
      </c>
      <c r="O4777" s="12" t="n">
        <v>1</v>
      </c>
      <c r="P4777" s="12" t="n"/>
      <c r="Q4777" s="12" t="n"/>
      <c r="R4777" s="12" t="n"/>
      <c r="S4777" s="12" t="inlineStr">
        <is>
          <t>Tray / conduit</t>
        </is>
      </c>
      <c r="T4777" s="17" t="n">
        <v>99</v>
      </c>
      <c r="U4777" s="17" t="n">
        <v>10</v>
      </c>
      <c r="V4777" s="17">
        <f>ROUNDUP((T4777+U4777+2*'Read Me'!$B$13)*(1+'Read Me'!$B$12),-1)</f>
        <v/>
      </c>
      <c r="W4777" s="17">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I-I-0411</t>
        </is>
      </c>
      <c r="B4778" s="12" t="inlineStr">
        <is>
          <t>I</t>
        </is>
      </c>
      <c r="C4778" s="12" t="inlineStr">
        <is>
          <t>Modular / portable power</t>
        </is>
      </c>
      <c r="D4778" s="12" t="inlineStr">
        <is>
          <t>Home run JB-SC-1-DI02 to the control / marshalling room</t>
        </is>
      </c>
      <c r="E4778" s="12" t="inlineStr"/>
      <c r="F4778" s="12" t="inlineStr">
        <is>
          <t>PCM: power control module</t>
        </is>
      </c>
      <c r="G4778" s="12" t="inlineStr">
        <is>
          <t>JB-SC-1-DI02</t>
        </is>
      </c>
      <c r="H4778" s="12" t="inlineStr">
        <is>
          <t>SC-1: aeroderivative simple-cycle unit (LM6000 class)</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7" t="n">
        <v>40</v>
      </c>
      <c r="U4778" s="17" t="n">
        <v>52</v>
      </c>
      <c r="V4778" s="17">
        <f>ROUNDUP((T4778+U4778+2*'Read Me'!$B$13)*(1+'Read Me'!$B$12),-1)</f>
        <v/>
      </c>
      <c r="W4778" s="17">
        <f>V4778*N4778*O4778</f>
        <v/>
      </c>
      <c r="X4778" s="12">
        <f>IF(LEFT(I4778,2)="MV",2*N4778*IF(L4778="1/C",O4778,1),0)</f>
        <v/>
      </c>
      <c r="Y4778" s="12">
        <f>IF(OR(LEFT(K4778,4)="LVAX",LEFT(K4778,6)="MV15AX",LEFT(K4778,4)="CTAX",LEFT(K4778,2)="W|"),2*N4778*O4778,0)</f>
        <v/>
      </c>
      <c r="Z4778" s="12" t="inlineStr"/>
      <c r="AA4778" s="12">
        <f>N4778*O4778</f>
        <v/>
      </c>
    </row>
    <row r="4779">
      <c r="A4779" s="12" t="inlineStr">
        <is>
          <t>I-I-0412</t>
        </is>
      </c>
      <c r="B4779" s="12" t="inlineStr">
        <is>
          <t>I</t>
        </is>
      </c>
      <c r="C4779" s="12" t="inlineStr">
        <is>
          <t>Modular / portable power</t>
        </is>
      </c>
      <c r="D4779" s="12" t="inlineStr">
        <is>
          <t>Discrete device to JB JB-SC-1-DI03: 20 x 1 pr (field cables)</t>
        </is>
      </c>
      <c r="E4779" s="12" t="inlineStr">
        <is>
          <t>SC-1</t>
        </is>
      </c>
      <c r="F4779" s="12" t="inlineStr">
        <is>
          <t>SC-1: aeroderivative simple-cycle unit (LM6000 class)</t>
        </is>
      </c>
      <c r="G4779" s="12" t="inlineStr">
        <is>
          <t>JB-SC-1-DI03</t>
        </is>
      </c>
      <c r="H4779" s="12" t="inlineStr">
        <is>
          <t>SC-1: aeroderivative simple-cycle unit (LM6000 class)</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20</v>
      </c>
      <c r="O4779" s="12" t="n">
        <v>1</v>
      </c>
      <c r="P4779" s="12" t="n"/>
      <c r="Q4779" s="12" t="n"/>
      <c r="R4779" s="12" t="n"/>
      <c r="S4779" s="12" t="inlineStr">
        <is>
          <t>Tray / conduit</t>
        </is>
      </c>
      <c r="T4779" s="17" t="n">
        <v>99</v>
      </c>
      <c r="U4779" s="17" t="n">
        <v>10</v>
      </c>
      <c r="V4779" s="17">
        <f>ROUNDUP((T4779+U4779+2*'Read Me'!$B$13)*(1+'Read Me'!$B$12),-1)</f>
        <v/>
      </c>
      <c r="W4779" s="17">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I-I-0413</t>
        </is>
      </c>
      <c r="B4780" s="12" t="inlineStr">
        <is>
          <t>I</t>
        </is>
      </c>
      <c r="C4780" s="12" t="inlineStr">
        <is>
          <t>Modular / portable power</t>
        </is>
      </c>
      <c r="D4780" s="12" t="inlineStr">
        <is>
          <t>Home run JB-SC-1-DI03 to the control / marshalling room</t>
        </is>
      </c>
      <c r="E4780" s="12" t="inlineStr"/>
      <c r="F4780" s="12" t="inlineStr">
        <is>
          <t>PCM: power control module</t>
        </is>
      </c>
      <c r="G4780" s="12" t="inlineStr">
        <is>
          <t>JB-SC-1-DI03</t>
        </is>
      </c>
      <c r="H4780" s="12" t="inlineStr">
        <is>
          <t>SC-1: aeroderivative simple-cycle unit (LM6000 class)</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7" t="n">
        <v>40</v>
      </c>
      <c r="U4780" s="17" t="n">
        <v>52</v>
      </c>
      <c r="V4780" s="17">
        <f>ROUNDUP((T4780+U4780+2*'Read Me'!$B$13)*(1+'Read Me'!$B$12),-1)</f>
        <v/>
      </c>
      <c r="W4780" s="17">
        <f>V4780*N4780*O4780</f>
        <v/>
      </c>
      <c r="X4780" s="12">
        <f>IF(LEFT(I4780,2)="MV",2*N4780*IF(L4780="1/C",O4780,1),0)</f>
        <v/>
      </c>
      <c r="Y4780" s="12">
        <f>IF(OR(LEFT(K4780,4)="LVAX",LEFT(K4780,6)="MV15AX",LEFT(K4780,4)="CTAX",LEFT(K4780,2)="W|"),2*N4780*O4780,0)</f>
        <v/>
      </c>
      <c r="Z4780" s="12" t="inlineStr"/>
      <c r="AA4780" s="12">
        <f>N4780*O4780</f>
        <v/>
      </c>
    </row>
    <row r="4781">
      <c r="A4781" s="12" t="inlineStr">
        <is>
          <t>I-I-0414</t>
        </is>
      </c>
      <c r="B4781" s="12" t="inlineStr">
        <is>
          <t>I</t>
        </is>
      </c>
      <c r="C4781" s="12" t="inlineStr">
        <is>
          <t>Modular / portable power</t>
        </is>
      </c>
      <c r="D4781" s="12" t="inlineStr">
        <is>
          <t>Discrete device to JB JB-SC-1-DI04: 20 x 1 pr (field cables)</t>
        </is>
      </c>
      <c r="E4781" s="12" t="inlineStr">
        <is>
          <t>SC-1</t>
        </is>
      </c>
      <c r="F4781" s="12" t="inlineStr">
        <is>
          <t>SC-1: aeroderivative simple-cycle unit (LM6000 class)</t>
        </is>
      </c>
      <c r="G4781" s="12" t="inlineStr">
        <is>
          <t>JB-SC-1-DI04</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7" t="n">
        <v>99</v>
      </c>
      <c r="U4781" s="17" t="n">
        <v>10</v>
      </c>
      <c r="V4781" s="17">
        <f>ROUNDUP((T4781+U4781+2*'Read Me'!$B$13)*(1+'Read Me'!$B$12),-1)</f>
        <v/>
      </c>
      <c r="W4781" s="17">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I-I-0415</t>
        </is>
      </c>
      <c r="B4782" s="12" t="inlineStr">
        <is>
          <t>I</t>
        </is>
      </c>
      <c r="C4782" s="12" t="inlineStr">
        <is>
          <t>Modular / portable power</t>
        </is>
      </c>
      <c r="D4782" s="12" t="inlineStr">
        <is>
          <t>Home run JB-SC-1-DI04 to the control / marshalling room</t>
        </is>
      </c>
      <c r="E4782" s="12" t="inlineStr"/>
      <c r="F4782" s="12" t="inlineStr">
        <is>
          <t>PCM: power control module</t>
        </is>
      </c>
      <c r="G4782" s="12" t="inlineStr">
        <is>
          <t>JB-SC-1-DI04</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7" t="n">
        <v>40</v>
      </c>
      <c r="U4782" s="17" t="n">
        <v>52</v>
      </c>
      <c r="V4782" s="17">
        <f>ROUNDUP((T4782+U4782+2*'Read Me'!$B$13)*(1+'Read Me'!$B$12),-1)</f>
        <v/>
      </c>
      <c r="W4782" s="17">
        <f>V4782*N4782*O4782</f>
        <v/>
      </c>
      <c r="X4782" s="12">
        <f>IF(LEFT(I4782,2)="MV",2*N4782*IF(L4782="1/C",O4782,1),0)</f>
        <v/>
      </c>
      <c r="Y4782" s="12">
        <f>IF(OR(LEFT(K4782,4)="LVAX",LEFT(K4782,6)="MV15AX",LEFT(K4782,4)="CTAX",LEFT(K4782,2)="W|"),2*N4782*O4782,0)</f>
        <v/>
      </c>
      <c r="Z4782" s="12" t="inlineStr"/>
      <c r="AA4782" s="12">
        <f>N4782*O4782</f>
        <v/>
      </c>
    </row>
    <row r="4783">
      <c r="A4783" s="12" t="inlineStr">
        <is>
          <t>I-I-0416</t>
        </is>
      </c>
      <c r="B4783" s="12" t="inlineStr">
        <is>
          <t>I</t>
        </is>
      </c>
      <c r="C4783" s="12" t="inlineStr">
        <is>
          <t>Modular / portable power</t>
        </is>
      </c>
      <c r="D4783" s="12" t="inlineStr">
        <is>
          <t>Discrete device to JB JB-SC-1-DI05: 20 x 1 pr (field cables)</t>
        </is>
      </c>
      <c r="E4783" s="12" t="inlineStr">
        <is>
          <t>SC-1</t>
        </is>
      </c>
      <c r="F4783" s="12" t="inlineStr">
        <is>
          <t>SC-1: aeroderivative simple-cycle unit (LM6000 class)</t>
        </is>
      </c>
      <c r="G4783" s="12" t="inlineStr">
        <is>
          <t>JB-SC-1-DI05</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7" t="n">
        <v>99</v>
      </c>
      <c r="U4783" s="17" t="n">
        <v>10</v>
      </c>
      <c r="V4783" s="17">
        <f>ROUNDUP((T4783+U4783+2*'Read Me'!$B$13)*(1+'Read Me'!$B$12),-1)</f>
        <v/>
      </c>
      <c r="W4783" s="17">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I-I-0417</t>
        </is>
      </c>
      <c r="B4784" s="12" t="inlineStr">
        <is>
          <t>I</t>
        </is>
      </c>
      <c r="C4784" s="12" t="inlineStr">
        <is>
          <t>Modular / portable power</t>
        </is>
      </c>
      <c r="D4784" s="12" t="inlineStr">
        <is>
          <t>Home run JB-SC-1-DI05 to the control / marshalling room</t>
        </is>
      </c>
      <c r="E4784" s="12" t="inlineStr"/>
      <c r="F4784" s="12" t="inlineStr">
        <is>
          <t>PCM: power control module</t>
        </is>
      </c>
      <c r="G4784" s="12" t="inlineStr">
        <is>
          <t>JB-SC-1-DI05</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7" t="n">
        <v>40</v>
      </c>
      <c r="U4784" s="17" t="n">
        <v>52</v>
      </c>
      <c r="V4784" s="17">
        <f>ROUNDUP((T4784+U4784+2*'Read Me'!$B$13)*(1+'Read Me'!$B$12),-1)</f>
        <v/>
      </c>
      <c r="W4784" s="17">
        <f>V4784*N4784*O4784</f>
        <v/>
      </c>
      <c r="X4784" s="12">
        <f>IF(LEFT(I4784,2)="MV",2*N4784*IF(L4784="1/C",O4784,1),0)</f>
        <v/>
      </c>
      <c r="Y4784" s="12">
        <f>IF(OR(LEFT(K4784,4)="LVAX",LEFT(K4784,6)="MV15AX",LEFT(K4784,4)="CTAX",LEFT(K4784,2)="W|"),2*N4784*O4784,0)</f>
        <v/>
      </c>
      <c r="Z4784" s="12" t="inlineStr"/>
      <c r="AA4784" s="12">
        <f>N4784*O4784</f>
        <v/>
      </c>
    </row>
    <row r="4785">
      <c r="A4785" s="12" t="inlineStr">
        <is>
          <t>I-I-0418</t>
        </is>
      </c>
      <c r="B4785" s="12" t="inlineStr">
        <is>
          <t>I</t>
        </is>
      </c>
      <c r="C4785" s="12" t="inlineStr">
        <is>
          <t>Modular / portable power</t>
        </is>
      </c>
      <c r="D4785" s="12" t="inlineStr">
        <is>
          <t>Thermocouple to TC JB JB-SC-1-TC01: 20 x 1 pr (field cables)</t>
        </is>
      </c>
      <c r="E4785" s="12" t="inlineStr">
        <is>
          <t>SC-1</t>
        </is>
      </c>
      <c r="F4785" s="12" t="inlineStr">
        <is>
          <t>SC-1: aeroderivative simple-cycle unit (LM6000 class)</t>
        </is>
      </c>
      <c r="G4785" s="12" t="inlineStr">
        <is>
          <t>JB-SC-1-TC01</t>
        </is>
      </c>
      <c r="H4785" s="12" t="inlineStr">
        <is>
          <t>SC-1: aeroderivative simple-cycle unit (LM6000 class)</t>
        </is>
      </c>
      <c r="I4785" s="12" t="inlineStr">
        <is>
          <t>Instrumentation</t>
        </is>
      </c>
      <c r="J4785" s="12" t="inlineStr">
        <is>
          <t>Thermocouple extension KX, #16 shielded pairs, PLTC</t>
        </is>
      </c>
      <c r="K4785" s="12" t="inlineStr">
        <is>
          <t>TCX|1 pr|16</t>
        </is>
      </c>
      <c r="L4785" s="12" t="inlineStr">
        <is>
          <t>1 pr</t>
        </is>
      </c>
      <c r="M4785" s="12" t="inlineStr">
        <is>
          <t>16</t>
        </is>
      </c>
      <c r="N4785" s="12" t="n">
        <v>20</v>
      </c>
      <c r="O4785" s="12" t="n">
        <v>1</v>
      </c>
      <c r="P4785" s="12" t="n"/>
      <c r="Q4785" s="12" t="n"/>
      <c r="R4785" s="12" t="n"/>
      <c r="S4785" s="12" t="inlineStr">
        <is>
          <t>Tray / conduit</t>
        </is>
      </c>
      <c r="T4785" s="17" t="n">
        <v>99</v>
      </c>
      <c r="U4785" s="17" t="n">
        <v>10</v>
      </c>
      <c r="V4785" s="17">
        <f>ROUNDUP((T4785+U4785+2*'Read Me'!$B$13)*(1+'Read Me'!$B$12),-1)</f>
        <v/>
      </c>
      <c r="W4785" s="17">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I-I-0419</t>
        </is>
      </c>
      <c r="B4786" s="12" t="inlineStr">
        <is>
          <t>I</t>
        </is>
      </c>
      <c r="C4786" s="12" t="inlineStr">
        <is>
          <t>Modular / portable power</t>
        </is>
      </c>
      <c r="D4786" s="12" t="inlineStr">
        <is>
          <t>Home run JB-SC-1-TC01 to the control / marshalling room</t>
        </is>
      </c>
      <c r="E4786" s="12" t="inlineStr"/>
      <c r="F4786" s="12" t="inlineStr">
        <is>
          <t>PCM: power control module</t>
        </is>
      </c>
      <c r="G4786" s="12" t="inlineStr">
        <is>
          <t>JB-SC-1-TC01</t>
        </is>
      </c>
      <c r="H4786" s="12" t="inlineStr">
        <is>
          <t>SC-1: aeroderivative simple-cycle unit (LM6000 class)</t>
        </is>
      </c>
      <c r="I4786" s="12" t="inlineStr">
        <is>
          <t>Instrumentation</t>
        </is>
      </c>
      <c r="J4786" s="12" t="inlineStr">
        <is>
          <t>Thermocouple extension KX, #16 shielded pairs, PLTC</t>
        </is>
      </c>
      <c r="K4786" s="12" t="inlineStr">
        <is>
          <t>TCX|24 pr|16</t>
        </is>
      </c>
      <c r="L4786" s="12" t="inlineStr">
        <is>
          <t>24 pr</t>
        </is>
      </c>
      <c r="M4786" s="12" t="inlineStr">
        <is>
          <t>16</t>
        </is>
      </c>
      <c r="N4786" s="12" t="n">
        <v>1</v>
      </c>
      <c r="O4786" s="12" t="n">
        <v>1</v>
      </c>
      <c r="P4786" s="12" t="n"/>
      <c r="Q4786" s="12" t="n"/>
      <c r="R4786" s="12" t="n"/>
      <c r="S4786" s="12" t="inlineStr">
        <is>
          <t>Duct bank</t>
        </is>
      </c>
      <c r="T4786" s="17" t="n">
        <v>40</v>
      </c>
      <c r="U4786" s="17" t="n">
        <v>52</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I-I-0420</t>
        </is>
      </c>
      <c r="B4787" s="12" t="inlineStr">
        <is>
          <t>I</t>
        </is>
      </c>
      <c r="C4787" s="12" t="inlineStr">
        <is>
          <t>Modular / portable power</t>
        </is>
      </c>
      <c r="D4787" s="12" t="inlineStr">
        <is>
          <t>Thermocouple to TC JB JB-SC-1-TC02: 20 x 1 pr (field cables)</t>
        </is>
      </c>
      <c r="E4787" s="12" t="inlineStr">
        <is>
          <t>SC-1</t>
        </is>
      </c>
      <c r="F4787" s="12" t="inlineStr">
        <is>
          <t>SC-1: aeroderivative simple-cycle unit (LM6000 class)</t>
        </is>
      </c>
      <c r="G4787" s="12" t="inlineStr">
        <is>
          <t>JB-SC-1-TC02</t>
        </is>
      </c>
      <c r="H4787" s="12" t="inlineStr">
        <is>
          <t>SC-1: aeroderivative simple-cycle unit (LM6000 class)</t>
        </is>
      </c>
      <c r="I4787" s="12" t="inlineStr">
        <is>
          <t>Instrumentation</t>
        </is>
      </c>
      <c r="J4787" s="12" t="inlineStr">
        <is>
          <t>Thermocouple extension KX, #16 shielded pairs, PLTC</t>
        </is>
      </c>
      <c r="K4787" s="12" t="inlineStr">
        <is>
          <t>TCX|1 pr|16</t>
        </is>
      </c>
      <c r="L4787" s="12" t="inlineStr">
        <is>
          <t>1 pr</t>
        </is>
      </c>
      <c r="M4787" s="12" t="inlineStr">
        <is>
          <t>16</t>
        </is>
      </c>
      <c r="N4787" s="12" t="n">
        <v>20</v>
      </c>
      <c r="O4787" s="12" t="n">
        <v>1</v>
      </c>
      <c r="P4787" s="12" t="n"/>
      <c r="Q4787" s="12" t="n"/>
      <c r="R4787" s="12" t="n"/>
      <c r="S4787" s="12" t="inlineStr">
        <is>
          <t>Tray / conduit</t>
        </is>
      </c>
      <c r="T4787" s="17" t="n">
        <v>99</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I-I-0421</t>
        </is>
      </c>
      <c r="B4788" s="12" t="inlineStr">
        <is>
          <t>I</t>
        </is>
      </c>
      <c r="C4788" s="12" t="inlineStr">
        <is>
          <t>Modular / portable power</t>
        </is>
      </c>
      <c r="D4788" s="12" t="inlineStr">
        <is>
          <t>Home run JB-SC-1-TC02 to the control / marshalling room</t>
        </is>
      </c>
      <c r="E4788" s="12" t="inlineStr"/>
      <c r="F4788" s="12" t="inlineStr">
        <is>
          <t>PCM: power control module</t>
        </is>
      </c>
      <c r="G4788" s="12" t="inlineStr">
        <is>
          <t>JB-SC-1-TC02</t>
        </is>
      </c>
      <c r="H4788" s="12" t="inlineStr">
        <is>
          <t>SC-1: aeroderivative simple-cycle unit (LM6000 class)</t>
        </is>
      </c>
      <c r="I4788" s="12" t="inlineStr">
        <is>
          <t>Instrumentation</t>
        </is>
      </c>
      <c r="J4788" s="12" t="inlineStr">
        <is>
          <t>Thermocouple extension KX, #16 shielded pairs, PLTC</t>
        </is>
      </c>
      <c r="K4788" s="12" t="inlineStr">
        <is>
          <t>TCX|24 pr|16</t>
        </is>
      </c>
      <c r="L4788" s="12" t="inlineStr">
        <is>
          <t>24 pr</t>
        </is>
      </c>
      <c r="M4788" s="12" t="inlineStr">
        <is>
          <t>16</t>
        </is>
      </c>
      <c r="N4788" s="12" t="n">
        <v>1</v>
      </c>
      <c r="O4788" s="12" t="n">
        <v>1</v>
      </c>
      <c r="P4788" s="12" t="n"/>
      <c r="Q4788" s="12" t="n"/>
      <c r="R4788" s="12" t="n"/>
      <c r="S4788" s="12" t="inlineStr">
        <is>
          <t>Duct bank</t>
        </is>
      </c>
      <c r="T4788" s="17" t="n">
        <v>40</v>
      </c>
      <c r="U4788" s="17" t="n">
        <v>52</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I-I-0422</t>
        </is>
      </c>
      <c r="B4789" s="12" t="inlineStr">
        <is>
          <t>I</t>
        </is>
      </c>
      <c r="C4789" s="12" t="inlineStr">
        <is>
          <t>Modular / portable power</t>
        </is>
      </c>
      <c r="D4789" s="12" t="inlineStr">
        <is>
          <t>Analog instrument to JB JB-SC-2 SCR / CO cata-AI01: 12 x 1 pr (field cables)</t>
        </is>
      </c>
      <c r="E4789" s="12" t="inlineStr"/>
      <c r="F4789" s="12" t="inlineStr">
        <is>
          <t>SC-2 SCR / CO catalyst</t>
        </is>
      </c>
      <c r="G4789" s="12" t="inlineStr">
        <is>
          <t>JB-SC-2 SCR / CO cata-AI01</t>
        </is>
      </c>
      <c r="H4789" s="12" t="inlineStr">
        <is>
          <t>SC-2 SCR / CO catalyst</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12</v>
      </c>
      <c r="O4789" s="12" t="n">
        <v>1</v>
      </c>
      <c r="P4789" s="12" t="n"/>
      <c r="Q4789" s="12" t="n"/>
      <c r="R4789" s="12" t="n"/>
      <c r="S4789" s="12" t="inlineStr">
        <is>
          <t>Tray / conduit</t>
        </is>
      </c>
      <c r="T4789" s="17" t="n">
        <v>74</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I-I-0423</t>
        </is>
      </c>
      <c r="B4790" s="12" t="inlineStr">
        <is>
          <t>I</t>
        </is>
      </c>
      <c r="C4790" s="12" t="inlineStr">
        <is>
          <t>Modular / portable power</t>
        </is>
      </c>
      <c r="D4790" s="12" t="inlineStr">
        <is>
          <t>Home run JB-SC-2 SCR / CO cata-AI01 to the control / marshalling room</t>
        </is>
      </c>
      <c r="E4790" s="12" t="inlineStr"/>
      <c r="F4790" s="12" t="inlineStr">
        <is>
          <t>PCM: power control module</t>
        </is>
      </c>
      <c r="G4790" s="12" t="inlineStr">
        <is>
          <t>JB-SC-2 SCR / CO cata-AI01</t>
        </is>
      </c>
      <c r="H4790" s="12" t="inlineStr">
        <is>
          <t>SC-2 SCR / CO catalyst</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HV duct bank</t>
        </is>
      </c>
      <c r="T4790" s="17" t="n">
        <v>4436</v>
      </c>
      <c r="U4790" s="17" t="n">
        <v>128</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I-I-0424</t>
        </is>
      </c>
      <c r="B4791" s="12" t="inlineStr">
        <is>
          <t>I</t>
        </is>
      </c>
      <c r="C4791" s="12" t="inlineStr">
        <is>
          <t>Modular / portable power</t>
        </is>
      </c>
      <c r="D4791" s="12" t="inlineStr">
        <is>
          <t>Discrete device to JB JB-SC-2 SCR / CO cata-DI01: 8 x 1 pr (field cables)</t>
        </is>
      </c>
      <c r="E4791" s="12" t="inlineStr"/>
      <c r="F4791" s="12" t="inlineStr">
        <is>
          <t>SC-2 SCR / CO catalyst</t>
        </is>
      </c>
      <c r="G4791" s="12" t="inlineStr">
        <is>
          <t>JB-SC-2 SCR / CO cata-DI01</t>
        </is>
      </c>
      <c r="H4791" s="12" t="inlineStr">
        <is>
          <t>SC-2 SCR / CO catalyst</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8</v>
      </c>
      <c r="O4791" s="12" t="n">
        <v>1</v>
      </c>
      <c r="P4791" s="12" t="n"/>
      <c r="Q4791" s="12" t="n"/>
      <c r="R4791" s="12" t="n"/>
      <c r="S4791" s="12" t="inlineStr">
        <is>
          <t>Tray / conduit</t>
        </is>
      </c>
      <c r="T4791" s="17" t="n">
        <v>74</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I-I-0425</t>
        </is>
      </c>
      <c r="B4792" s="12" t="inlineStr">
        <is>
          <t>I</t>
        </is>
      </c>
      <c r="C4792" s="12" t="inlineStr">
        <is>
          <t>Modular / portable power</t>
        </is>
      </c>
      <c r="D4792" s="12" t="inlineStr">
        <is>
          <t>Home run JB-SC-2 SCR / CO cata-DI01 to the control / marshalling room</t>
        </is>
      </c>
      <c r="E4792" s="12" t="inlineStr"/>
      <c r="F4792" s="12" t="inlineStr">
        <is>
          <t>PCM: power control module</t>
        </is>
      </c>
      <c r="G4792" s="12" t="inlineStr">
        <is>
          <t>JB-SC-2 SCR / CO cata-DI01</t>
        </is>
      </c>
      <c r="H4792" s="12" t="inlineStr">
        <is>
          <t>SC-2 SCR / CO catalyst</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HV duct bank</t>
        </is>
      </c>
      <c r="T4792" s="17" t="n">
        <v>4436</v>
      </c>
      <c r="U4792" s="17" t="n">
        <v>128</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I-I-0426</t>
        </is>
      </c>
      <c r="B4793" s="12" t="inlineStr">
        <is>
          <t>I</t>
        </is>
      </c>
      <c r="C4793" s="12" t="inlineStr">
        <is>
          <t>Modular / portable power</t>
        </is>
      </c>
      <c r="D4793" s="12" t="inlineStr">
        <is>
          <t>Analog instrument to JB JB-SC-2 lube-oil fin--AI01: 4 x 1 pr (field cables)</t>
        </is>
      </c>
      <c r="E4793" s="12" t="inlineStr"/>
      <c r="F4793" s="12" t="inlineStr">
        <is>
          <t>SC-2 lube-oil fin-fan cooler</t>
        </is>
      </c>
      <c r="G4793" s="12" t="inlineStr">
        <is>
          <t>JB-SC-2 lube-oil fin--AI01</t>
        </is>
      </c>
      <c r="H4793" s="12" t="inlineStr">
        <is>
          <t>SC-2 lube-oil fin-fan cooler</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4</v>
      </c>
      <c r="O4793" s="12" t="n">
        <v>1</v>
      </c>
      <c r="P4793" s="12" t="n"/>
      <c r="Q4793" s="12" t="n"/>
      <c r="R4793" s="12" t="n"/>
      <c r="S4793" s="12" t="inlineStr">
        <is>
          <t>Tray / conduit</t>
        </is>
      </c>
      <c r="T4793" s="17" t="n">
        <v>46</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I-I-0427</t>
        </is>
      </c>
      <c r="B4794" s="12" t="inlineStr">
        <is>
          <t>I</t>
        </is>
      </c>
      <c r="C4794" s="12" t="inlineStr">
        <is>
          <t>Modular / portable power</t>
        </is>
      </c>
      <c r="D4794" s="12" t="inlineStr">
        <is>
          <t>Home run JB-SC-2 lube-oil fin--AI01 to the control / marshalling room</t>
        </is>
      </c>
      <c r="E4794" s="12" t="inlineStr"/>
      <c r="F4794" s="12" t="inlineStr">
        <is>
          <t>PCM: power control module</t>
        </is>
      </c>
      <c r="G4794" s="12" t="inlineStr">
        <is>
          <t>JB-SC-2 lube-oil fin--AI01</t>
        </is>
      </c>
      <c r="H4794" s="12" t="inlineStr">
        <is>
          <t>SC-2 lube-oil fin-fan cooler</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HV duct bank</t>
        </is>
      </c>
      <c r="T4794" s="17" t="n">
        <v>4404</v>
      </c>
      <c r="U4794" s="17" t="n">
        <v>88</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I-I-0428</t>
        </is>
      </c>
      <c r="B4795" s="12" t="inlineStr">
        <is>
          <t>I</t>
        </is>
      </c>
      <c r="C4795" s="12" t="inlineStr">
        <is>
          <t>Modular / portable power</t>
        </is>
      </c>
      <c r="D4795" s="12" t="inlineStr">
        <is>
          <t>Discrete device to JB JB-SC-2 lube-oil fin--DI01: 8 x 1 pr (field cables)</t>
        </is>
      </c>
      <c r="E4795" s="12" t="inlineStr"/>
      <c r="F4795" s="12" t="inlineStr">
        <is>
          <t>SC-2 lube-oil fin-fan cooler</t>
        </is>
      </c>
      <c r="G4795" s="12" t="inlineStr">
        <is>
          <t>JB-SC-2 lube-oil fin--DI01</t>
        </is>
      </c>
      <c r="H4795" s="12" t="inlineStr">
        <is>
          <t>SC-2 lube-oil fin-fan cooler</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8</v>
      </c>
      <c r="O4795" s="12" t="n">
        <v>1</v>
      </c>
      <c r="P4795" s="12" t="n"/>
      <c r="Q4795" s="12" t="n"/>
      <c r="R4795" s="12" t="n"/>
      <c r="S4795" s="12" t="inlineStr">
        <is>
          <t>Tray / conduit</t>
        </is>
      </c>
      <c r="T4795" s="17" t="n">
        <v>46</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I-I-0429</t>
        </is>
      </c>
      <c r="B4796" s="12" t="inlineStr">
        <is>
          <t>I</t>
        </is>
      </c>
      <c r="C4796" s="12" t="inlineStr">
        <is>
          <t>Modular / portable power</t>
        </is>
      </c>
      <c r="D4796" s="12" t="inlineStr">
        <is>
          <t>Home run JB-SC-2 lube-oil fin--DI01 to the control / marshalling room</t>
        </is>
      </c>
      <c r="E4796" s="12" t="inlineStr"/>
      <c r="F4796" s="12" t="inlineStr">
        <is>
          <t>PCM: power control module</t>
        </is>
      </c>
      <c r="G4796" s="12" t="inlineStr">
        <is>
          <t>JB-SC-2 lube-oil fin--DI01</t>
        </is>
      </c>
      <c r="H4796" s="12" t="inlineStr">
        <is>
          <t>SC-2 lube-oil fin-fan cooler</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HV duct bank</t>
        </is>
      </c>
      <c r="T4796" s="17" t="n">
        <v>4404</v>
      </c>
      <c r="U4796" s="17" t="n">
        <v>88</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I-I-0430</t>
        </is>
      </c>
      <c r="B4797" s="12" t="inlineStr">
        <is>
          <t>I</t>
        </is>
      </c>
      <c r="C4797" s="12" t="inlineStr">
        <is>
          <t>Modular / portable power</t>
        </is>
      </c>
      <c r="D4797" s="12" t="inlineStr">
        <is>
          <t>Analog instrument to JB JB-SC-2-AI01: 20 x 1 pr (field cables)</t>
        </is>
      </c>
      <c r="E4797" s="12" t="inlineStr">
        <is>
          <t>SC-2</t>
        </is>
      </c>
      <c r="F4797" s="12" t="inlineStr">
        <is>
          <t>SC-2: aeroderivative simple-cycle unit (LM6000 class)</t>
        </is>
      </c>
      <c r="G4797" s="12" t="inlineStr">
        <is>
          <t>JB-SC-2-AI01</t>
        </is>
      </c>
      <c r="H4797" s="12" t="inlineStr">
        <is>
          <t>SC-2: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7" t="n">
        <v>99</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I-I-0431</t>
        </is>
      </c>
      <c r="B4798" s="12" t="inlineStr">
        <is>
          <t>I</t>
        </is>
      </c>
      <c r="C4798" s="12" t="inlineStr">
        <is>
          <t>Modular / portable power</t>
        </is>
      </c>
      <c r="D4798" s="12" t="inlineStr">
        <is>
          <t>Home run JB-SC-2-AI01 to the control / marshalling room</t>
        </is>
      </c>
      <c r="E4798" s="12" t="inlineStr"/>
      <c r="F4798" s="12" t="inlineStr">
        <is>
          <t>PCM: power control module</t>
        </is>
      </c>
      <c r="G4798" s="12" t="inlineStr">
        <is>
          <t>JB-SC-2-AI01</t>
        </is>
      </c>
      <c r="H4798" s="12" t="inlineStr">
        <is>
          <t>SC-2: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HV duct bank</t>
        </is>
      </c>
      <c r="T4798" s="17" t="n">
        <v>4436</v>
      </c>
      <c r="U4798" s="17" t="n">
        <v>38</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I-I-0432</t>
        </is>
      </c>
      <c r="B4799" s="12" t="inlineStr">
        <is>
          <t>I</t>
        </is>
      </c>
      <c r="C4799" s="12" t="inlineStr">
        <is>
          <t>Modular / portable power</t>
        </is>
      </c>
      <c r="D4799" s="12" t="inlineStr">
        <is>
          <t>Analog instrument to JB JB-SC-2-AI02: 20 x 1 pr (field cables)</t>
        </is>
      </c>
      <c r="E4799" s="12" t="inlineStr">
        <is>
          <t>SC-2</t>
        </is>
      </c>
      <c r="F4799" s="12" t="inlineStr">
        <is>
          <t>SC-2: aeroderivative simple-cycle unit (LM6000 class)</t>
        </is>
      </c>
      <c r="G4799" s="12" t="inlineStr">
        <is>
          <t>JB-SC-2-AI02</t>
        </is>
      </c>
      <c r="H4799" s="12" t="inlineStr">
        <is>
          <t>SC-2: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7" t="n">
        <v>99</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I-I-0433</t>
        </is>
      </c>
      <c r="B4800" s="12" t="inlineStr">
        <is>
          <t>I</t>
        </is>
      </c>
      <c r="C4800" s="12" t="inlineStr">
        <is>
          <t>Modular / portable power</t>
        </is>
      </c>
      <c r="D4800" s="12" t="inlineStr">
        <is>
          <t>Home run JB-SC-2-AI02 to the control / marshalling room</t>
        </is>
      </c>
      <c r="E4800" s="12" t="inlineStr"/>
      <c r="F4800" s="12" t="inlineStr">
        <is>
          <t>PCM: power control module</t>
        </is>
      </c>
      <c r="G4800" s="12" t="inlineStr">
        <is>
          <t>JB-SC-2-AI02</t>
        </is>
      </c>
      <c r="H4800" s="12" t="inlineStr">
        <is>
          <t>SC-2: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HV duct bank</t>
        </is>
      </c>
      <c r="T4800" s="17" t="n">
        <v>4436</v>
      </c>
      <c r="U4800" s="17" t="n">
        <v>38</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I-I-0434</t>
        </is>
      </c>
      <c r="B4801" s="12" t="inlineStr">
        <is>
          <t>I</t>
        </is>
      </c>
      <c r="C4801" s="12" t="inlineStr">
        <is>
          <t>Modular / portable power</t>
        </is>
      </c>
      <c r="D4801" s="12" t="inlineStr">
        <is>
          <t>Analog instrument to JB JB-SC-2-AI03: 20 x 1 pr (field cables)</t>
        </is>
      </c>
      <c r="E4801" s="12" t="inlineStr">
        <is>
          <t>SC-2</t>
        </is>
      </c>
      <c r="F4801" s="12" t="inlineStr">
        <is>
          <t>SC-2: aeroderivative simple-cycle unit (LM6000 class)</t>
        </is>
      </c>
      <c r="G4801" s="12" t="inlineStr">
        <is>
          <t>JB-SC-2-AI03</t>
        </is>
      </c>
      <c r="H4801" s="12" t="inlineStr">
        <is>
          <t>SC-2: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7" t="n">
        <v>99</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I-I-0435</t>
        </is>
      </c>
      <c r="B4802" s="12" t="inlineStr">
        <is>
          <t>I</t>
        </is>
      </c>
      <c r="C4802" s="12" t="inlineStr">
        <is>
          <t>Modular / portable power</t>
        </is>
      </c>
      <c r="D4802" s="12" t="inlineStr">
        <is>
          <t>Home run JB-SC-2-AI03 to the control / marshalling room</t>
        </is>
      </c>
      <c r="E4802" s="12" t="inlineStr"/>
      <c r="F4802" s="12" t="inlineStr">
        <is>
          <t>PCM: power control module</t>
        </is>
      </c>
      <c r="G4802" s="12" t="inlineStr">
        <is>
          <t>JB-SC-2-AI03</t>
        </is>
      </c>
      <c r="H4802" s="12" t="inlineStr">
        <is>
          <t>SC-2: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HV duct bank</t>
        </is>
      </c>
      <c r="T4802" s="17" t="n">
        <v>4436</v>
      </c>
      <c r="U4802" s="17" t="n">
        <v>38</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I-I-0436</t>
        </is>
      </c>
      <c r="B4803" s="12" t="inlineStr">
        <is>
          <t>I</t>
        </is>
      </c>
      <c r="C4803" s="12" t="inlineStr">
        <is>
          <t>Modular / portable power</t>
        </is>
      </c>
      <c r="D4803" s="12" t="inlineStr">
        <is>
          <t>Analog instrument to JB JB-SC-2-AI04: 20 x 1 pr (field cables)</t>
        </is>
      </c>
      <c r="E4803" s="12" t="inlineStr">
        <is>
          <t>SC-2</t>
        </is>
      </c>
      <c r="F4803" s="12" t="inlineStr">
        <is>
          <t>SC-2: aeroderivative simple-cycle unit (LM6000 class)</t>
        </is>
      </c>
      <c r="G4803" s="12" t="inlineStr">
        <is>
          <t>JB-SC-2-AI04</t>
        </is>
      </c>
      <c r="H4803" s="12" t="inlineStr">
        <is>
          <t>SC-2: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7" t="n">
        <v>99</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I-I-0437</t>
        </is>
      </c>
      <c r="B4804" s="12" t="inlineStr">
        <is>
          <t>I</t>
        </is>
      </c>
      <c r="C4804" s="12" t="inlineStr">
        <is>
          <t>Modular / portable power</t>
        </is>
      </c>
      <c r="D4804" s="12" t="inlineStr">
        <is>
          <t>Home run JB-SC-2-AI04 to the control / marshalling room</t>
        </is>
      </c>
      <c r="E4804" s="12" t="inlineStr"/>
      <c r="F4804" s="12" t="inlineStr">
        <is>
          <t>PCM: power control module</t>
        </is>
      </c>
      <c r="G4804" s="12" t="inlineStr">
        <is>
          <t>JB-SC-2-AI04</t>
        </is>
      </c>
      <c r="H4804" s="12" t="inlineStr">
        <is>
          <t>SC-2: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HV duct bank</t>
        </is>
      </c>
      <c r="T4804" s="17" t="n">
        <v>4436</v>
      </c>
      <c r="U4804" s="17" t="n">
        <v>38</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I-I-0438</t>
        </is>
      </c>
      <c r="B4805" s="12" t="inlineStr">
        <is>
          <t>I</t>
        </is>
      </c>
      <c r="C4805" s="12" t="inlineStr">
        <is>
          <t>Modular / portable power</t>
        </is>
      </c>
      <c r="D4805" s="12" t="inlineStr">
        <is>
          <t>Analog instrument to JB JB-SC-2-AI05: 20 x 1 pr (field cables)</t>
        </is>
      </c>
      <c r="E4805" s="12" t="inlineStr">
        <is>
          <t>SC-2</t>
        </is>
      </c>
      <c r="F4805" s="12" t="inlineStr">
        <is>
          <t>SC-2: aeroderivative simple-cycle unit (LM6000 class)</t>
        </is>
      </c>
      <c r="G4805" s="12" t="inlineStr">
        <is>
          <t>JB-SC-2-AI05</t>
        </is>
      </c>
      <c r="H4805" s="12" t="inlineStr">
        <is>
          <t>SC-2: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7" t="n">
        <v>99</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I-I-0439</t>
        </is>
      </c>
      <c r="B4806" s="12" t="inlineStr">
        <is>
          <t>I</t>
        </is>
      </c>
      <c r="C4806" s="12" t="inlineStr">
        <is>
          <t>Modular / portable power</t>
        </is>
      </c>
      <c r="D4806" s="12" t="inlineStr">
        <is>
          <t>Home run JB-SC-2-AI05 to the control / marshalling room</t>
        </is>
      </c>
      <c r="E4806" s="12" t="inlineStr"/>
      <c r="F4806" s="12" t="inlineStr">
        <is>
          <t>PCM: power control module</t>
        </is>
      </c>
      <c r="G4806" s="12" t="inlineStr">
        <is>
          <t>JB-SC-2-AI05</t>
        </is>
      </c>
      <c r="H4806" s="12" t="inlineStr">
        <is>
          <t>SC-2: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HV duct bank</t>
        </is>
      </c>
      <c r="T4806" s="17" t="n">
        <v>4436</v>
      </c>
      <c r="U4806" s="17" t="n">
        <v>38</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I-I-0440</t>
        </is>
      </c>
      <c r="B4807" s="12" t="inlineStr">
        <is>
          <t>I</t>
        </is>
      </c>
      <c r="C4807" s="12" t="inlineStr">
        <is>
          <t>Modular / portable power</t>
        </is>
      </c>
      <c r="D4807" s="12" t="inlineStr">
        <is>
          <t>Analog instrument to JB JB-SC-2-AI06: 20 x 1 pr (field cables)</t>
        </is>
      </c>
      <c r="E4807" s="12" t="inlineStr">
        <is>
          <t>SC-2</t>
        </is>
      </c>
      <c r="F4807" s="12" t="inlineStr">
        <is>
          <t>SC-2: aeroderivative simple-cycle unit (LM6000 class)</t>
        </is>
      </c>
      <c r="G4807" s="12" t="inlineStr">
        <is>
          <t>JB-SC-2-AI06</t>
        </is>
      </c>
      <c r="H4807" s="12" t="inlineStr">
        <is>
          <t>SC-2: aeroderivative simple-cycle unit (LM6000 class)</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20</v>
      </c>
      <c r="O4807" s="12" t="n">
        <v>1</v>
      </c>
      <c r="P4807" s="12" t="n"/>
      <c r="Q4807" s="12" t="n"/>
      <c r="R4807" s="12" t="n"/>
      <c r="S4807" s="12" t="inlineStr">
        <is>
          <t>Tray / conduit</t>
        </is>
      </c>
      <c r="T4807" s="17" t="n">
        <v>99</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I-I-0441</t>
        </is>
      </c>
      <c r="B4808" s="12" t="inlineStr">
        <is>
          <t>I</t>
        </is>
      </c>
      <c r="C4808" s="12" t="inlineStr">
        <is>
          <t>Modular / portable power</t>
        </is>
      </c>
      <c r="D4808" s="12" t="inlineStr">
        <is>
          <t>Home run JB-SC-2-AI06 to the control / marshalling room</t>
        </is>
      </c>
      <c r="E4808" s="12" t="inlineStr"/>
      <c r="F4808" s="12" t="inlineStr">
        <is>
          <t>PCM: power control module</t>
        </is>
      </c>
      <c r="G4808" s="12" t="inlineStr">
        <is>
          <t>JB-SC-2-AI06</t>
        </is>
      </c>
      <c r="H4808" s="12" t="inlineStr">
        <is>
          <t>SC-2: aeroderivative simple-cycle unit (LM6000 class)</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HV duct bank</t>
        </is>
      </c>
      <c r="T4808" s="17" t="n">
        <v>4436</v>
      </c>
      <c r="U4808" s="17" t="n">
        <v>38</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I-I-0442</t>
        </is>
      </c>
      <c r="B4809" s="12" t="inlineStr">
        <is>
          <t>I</t>
        </is>
      </c>
      <c r="C4809" s="12" t="inlineStr">
        <is>
          <t>Modular / portable power</t>
        </is>
      </c>
      <c r="D4809" s="12" t="inlineStr">
        <is>
          <t>Analog instrument to JB JB-SC-2-AI07: 20 x 1 pr (field cables)</t>
        </is>
      </c>
      <c r="E4809" s="12" t="inlineStr">
        <is>
          <t>SC-2</t>
        </is>
      </c>
      <c r="F4809" s="12" t="inlineStr">
        <is>
          <t>SC-2: aeroderivative simple-cycle unit (LM6000 class)</t>
        </is>
      </c>
      <c r="G4809" s="12" t="inlineStr">
        <is>
          <t>JB-SC-2-AI07</t>
        </is>
      </c>
      <c r="H4809" s="12" t="inlineStr">
        <is>
          <t>SC-2: aeroderivative simple-cycle unit (LM6000 class)</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7" t="n">
        <v>99</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I-I-0443</t>
        </is>
      </c>
      <c r="B4810" s="12" t="inlineStr">
        <is>
          <t>I</t>
        </is>
      </c>
      <c r="C4810" s="12" t="inlineStr">
        <is>
          <t>Modular / portable power</t>
        </is>
      </c>
      <c r="D4810" s="12" t="inlineStr">
        <is>
          <t>Home run JB-SC-2-AI07 to the control / marshalling room</t>
        </is>
      </c>
      <c r="E4810" s="12" t="inlineStr"/>
      <c r="F4810" s="12" t="inlineStr">
        <is>
          <t>PCM: power control module</t>
        </is>
      </c>
      <c r="G4810" s="12" t="inlineStr">
        <is>
          <t>JB-SC-2-AI07</t>
        </is>
      </c>
      <c r="H4810" s="12" t="inlineStr">
        <is>
          <t>SC-2: aeroderivative simple-cycle unit (LM6000 class)</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HV duct bank</t>
        </is>
      </c>
      <c r="T4810" s="17" t="n">
        <v>4436</v>
      </c>
      <c r="U4810" s="17" t="n">
        <v>38</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I-I-0444</t>
        </is>
      </c>
      <c r="B4811" s="12" t="inlineStr">
        <is>
          <t>I</t>
        </is>
      </c>
      <c r="C4811" s="12" t="inlineStr">
        <is>
          <t>Modular / portable power</t>
        </is>
      </c>
      <c r="D4811" s="12" t="inlineStr">
        <is>
          <t>Analog instrument to JB JB-SC-2-AI08: 10 x 1 pr (field cables)</t>
        </is>
      </c>
      <c r="E4811" s="12" t="inlineStr">
        <is>
          <t>SC-2</t>
        </is>
      </c>
      <c r="F4811" s="12" t="inlineStr">
        <is>
          <t>SC-2: aeroderivative simple-cycle unit (LM6000 class)</t>
        </is>
      </c>
      <c r="G4811" s="12" t="inlineStr">
        <is>
          <t>JB-SC-2-AI08</t>
        </is>
      </c>
      <c r="H4811" s="12" t="inlineStr">
        <is>
          <t>SC-2: aeroderivative simple-cycle unit (LM6000 class)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10</v>
      </c>
      <c r="O4811" s="12" t="n">
        <v>1</v>
      </c>
      <c r="P4811" s="12" t="n"/>
      <c r="Q4811" s="12" t="n"/>
      <c r="R4811" s="12" t="n"/>
      <c r="S4811" s="12" t="inlineStr">
        <is>
          <t>Tray / conduit</t>
        </is>
      </c>
      <c r="T4811" s="17" t="n">
        <v>99</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I-I-0445</t>
        </is>
      </c>
      <c r="B4812" s="12" t="inlineStr">
        <is>
          <t>I</t>
        </is>
      </c>
      <c r="C4812" s="12" t="inlineStr">
        <is>
          <t>Modular / portable power</t>
        </is>
      </c>
      <c r="D4812" s="12" t="inlineStr">
        <is>
          <t>Home run JB-SC-2-AI08 to the control / marshalling room</t>
        </is>
      </c>
      <c r="E4812" s="12" t="inlineStr"/>
      <c r="F4812" s="12" t="inlineStr">
        <is>
          <t>PCM: power control module</t>
        </is>
      </c>
      <c r="G4812" s="12" t="inlineStr">
        <is>
          <t>JB-SC-2-AI08</t>
        </is>
      </c>
      <c r="H4812" s="12" t="inlineStr">
        <is>
          <t>SC-2: aeroderivative simple-cycle unit (LM6000 class)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7" t="n">
        <v>4436</v>
      </c>
      <c r="U4812" s="17" t="n">
        <v>38</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I-I-0446</t>
        </is>
      </c>
      <c r="B4813" s="12" t="inlineStr">
        <is>
          <t>I</t>
        </is>
      </c>
      <c r="C4813" s="12" t="inlineStr">
        <is>
          <t>Modular / portable power</t>
        </is>
      </c>
      <c r="D4813" s="12" t="inlineStr">
        <is>
          <t>Discrete device to JB JB-SC-2-DI01: 20 x 1 pr (field cables)</t>
        </is>
      </c>
      <c r="E4813" s="12" t="inlineStr">
        <is>
          <t>SC-2</t>
        </is>
      </c>
      <c r="F4813" s="12" t="inlineStr">
        <is>
          <t>SC-2: aeroderivative simple-cycle unit (LM6000 class)</t>
        </is>
      </c>
      <c r="G4813" s="12" t="inlineStr">
        <is>
          <t>JB-SC-2-DI01</t>
        </is>
      </c>
      <c r="H4813" s="12" t="inlineStr">
        <is>
          <t>SC-2: aeroderivative simple-cycle unit (LM6000 class)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99</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I-I-0447</t>
        </is>
      </c>
      <c r="B4814" s="12" t="inlineStr">
        <is>
          <t>I</t>
        </is>
      </c>
      <c r="C4814" s="12" t="inlineStr">
        <is>
          <t>Modular / portable power</t>
        </is>
      </c>
      <c r="D4814" s="12" t="inlineStr">
        <is>
          <t>Home run JB-SC-2-DI01 to the control / marshalling room</t>
        </is>
      </c>
      <c r="E4814" s="12" t="inlineStr"/>
      <c r="F4814" s="12" t="inlineStr">
        <is>
          <t>PCM: power control module</t>
        </is>
      </c>
      <c r="G4814" s="12" t="inlineStr">
        <is>
          <t>JB-SC-2-DI01</t>
        </is>
      </c>
      <c r="H4814" s="12" t="inlineStr">
        <is>
          <t>SC-2: aeroderivative simple-cycle unit (LM6000 class)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7" t="n">
        <v>4436</v>
      </c>
      <c r="U4814" s="17" t="n">
        <v>38</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I-I-0448</t>
        </is>
      </c>
      <c r="B4815" s="12" t="inlineStr">
        <is>
          <t>I</t>
        </is>
      </c>
      <c r="C4815" s="12" t="inlineStr">
        <is>
          <t>Modular / portable power</t>
        </is>
      </c>
      <c r="D4815" s="12" t="inlineStr">
        <is>
          <t>Discrete device to JB JB-SC-2-DI02: 20 x 1 pr (field cables)</t>
        </is>
      </c>
      <c r="E4815" s="12" t="inlineStr">
        <is>
          <t>SC-2</t>
        </is>
      </c>
      <c r="F4815" s="12" t="inlineStr">
        <is>
          <t>SC-2: aeroderivative simple-cycle unit (LM6000 class)</t>
        </is>
      </c>
      <c r="G4815" s="12" t="inlineStr">
        <is>
          <t>JB-SC-2-DI02</t>
        </is>
      </c>
      <c r="H4815" s="12" t="inlineStr">
        <is>
          <t>SC-2: aeroderivative simple-cycle unit (LM6000 class)</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99</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I-I-0449</t>
        </is>
      </c>
      <c r="B4816" s="12" t="inlineStr">
        <is>
          <t>I</t>
        </is>
      </c>
      <c r="C4816" s="12" t="inlineStr">
        <is>
          <t>Modular / portable power</t>
        </is>
      </c>
      <c r="D4816" s="12" t="inlineStr">
        <is>
          <t>Home run JB-SC-2-DI02 to the control / marshalling room</t>
        </is>
      </c>
      <c r="E4816" s="12" t="inlineStr"/>
      <c r="F4816" s="12" t="inlineStr">
        <is>
          <t>PCM: power control module</t>
        </is>
      </c>
      <c r="G4816" s="12" t="inlineStr">
        <is>
          <t>JB-SC-2-DI02</t>
        </is>
      </c>
      <c r="H4816" s="12" t="inlineStr">
        <is>
          <t>SC-2: aeroderivative simple-cycle unit (LM6000 class)</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7" t="n">
        <v>4436</v>
      </c>
      <c r="U4816" s="17" t="n">
        <v>38</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I-I-0450</t>
        </is>
      </c>
      <c r="B4817" s="12" t="inlineStr">
        <is>
          <t>I</t>
        </is>
      </c>
      <c r="C4817" s="12" t="inlineStr">
        <is>
          <t>Modular / portable power</t>
        </is>
      </c>
      <c r="D4817" s="12" t="inlineStr">
        <is>
          <t>Discrete device to JB JB-SC-2-DI03: 20 x 1 pr (field cables)</t>
        </is>
      </c>
      <c r="E4817" s="12" t="inlineStr">
        <is>
          <t>SC-2</t>
        </is>
      </c>
      <c r="F4817" s="12" t="inlineStr">
        <is>
          <t>SC-2: aeroderivative simple-cycle unit (LM6000 class)</t>
        </is>
      </c>
      <c r="G4817" s="12" t="inlineStr">
        <is>
          <t>JB-SC-2-DI03</t>
        </is>
      </c>
      <c r="H4817" s="12" t="inlineStr">
        <is>
          <t>SC-2: aeroderivative simple-cycle unit (LM6000 class)</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99</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I-I-0451</t>
        </is>
      </c>
      <c r="B4818" s="12" t="inlineStr">
        <is>
          <t>I</t>
        </is>
      </c>
      <c r="C4818" s="12" t="inlineStr">
        <is>
          <t>Modular / portable power</t>
        </is>
      </c>
      <c r="D4818" s="12" t="inlineStr">
        <is>
          <t>Home run JB-SC-2-DI03 to the control / marshalling room</t>
        </is>
      </c>
      <c r="E4818" s="12" t="inlineStr"/>
      <c r="F4818" s="12" t="inlineStr">
        <is>
          <t>PCM: power control module</t>
        </is>
      </c>
      <c r="G4818" s="12" t="inlineStr">
        <is>
          <t>JB-SC-2-DI03</t>
        </is>
      </c>
      <c r="H4818" s="12" t="inlineStr">
        <is>
          <t>SC-2: aeroderivative simple-cycle unit (LM6000 class)</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7" t="n">
        <v>4436</v>
      </c>
      <c r="U4818" s="17" t="n">
        <v>38</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I-I-0452</t>
        </is>
      </c>
      <c r="B4819" s="12" t="inlineStr">
        <is>
          <t>I</t>
        </is>
      </c>
      <c r="C4819" s="12" t="inlineStr">
        <is>
          <t>Modular / portable power</t>
        </is>
      </c>
      <c r="D4819" s="12" t="inlineStr">
        <is>
          <t>Discrete device to JB JB-SC-2-DI04: 20 x 1 pr (field cables)</t>
        </is>
      </c>
      <c r="E4819" s="12" t="inlineStr">
        <is>
          <t>SC-2</t>
        </is>
      </c>
      <c r="F4819" s="12" t="inlineStr">
        <is>
          <t>SC-2: aeroderivative simple-cycle unit (LM6000 class)</t>
        </is>
      </c>
      <c r="G4819" s="12" t="inlineStr">
        <is>
          <t>JB-SC-2-DI04</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99</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I-I-0453</t>
        </is>
      </c>
      <c r="B4820" s="12" t="inlineStr">
        <is>
          <t>I</t>
        </is>
      </c>
      <c r="C4820" s="12" t="inlineStr">
        <is>
          <t>Modular / portable power</t>
        </is>
      </c>
      <c r="D4820" s="12" t="inlineStr">
        <is>
          <t>Home run JB-SC-2-DI04 to the control / marshalling room</t>
        </is>
      </c>
      <c r="E4820" s="12" t="inlineStr"/>
      <c r="F4820" s="12" t="inlineStr">
        <is>
          <t>PCM: power control module</t>
        </is>
      </c>
      <c r="G4820" s="12" t="inlineStr">
        <is>
          <t>JB-SC-2-DI04</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7" t="n">
        <v>4436</v>
      </c>
      <c r="U4820" s="17" t="n">
        <v>38</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I-I-0454</t>
        </is>
      </c>
      <c r="B4821" s="12" t="inlineStr">
        <is>
          <t>I</t>
        </is>
      </c>
      <c r="C4821" s="12" t="inlineStr">
        <is>
          <t>Modular / portable power</t>
        </is>
      </c>
      <c r="D4821" s="12" t="inlineStr">
        <is>
          <t>Discrete device to JB JB-SC-2-DI05: 20 x 1 pr (field cables)</t>
        </is>
      </c>
      <c r="E4821" s="12" t="inlineStr">
        <is>
          <t>SC-2</t>
        </is>
      </c>
      <c r="F4821" s="12" t="inlineStr">
        <is>
          <t>SC-2: aeroderivative simple-cycle unit (LM6000 class)</t>
        </is>
      </c>
      <c r="G4821" s="12" t="inlineStr">
        <is>
          <t>JB-SC-2-DI05</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99</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I-I-0455</t>
        </is>
      </c>
      <c r="B4822" s="12" t="inlineStr">
        <is>
          <t>I</t>
        </is>
      </c>
      <c r="C4822" s="12" t="inlineStr">
        <is>
          <t>Modular / portable power</t>
        </is>
      </c>
      <c r="D4822" s="12" t="inlineStr">
        <is>
          <t>Home run JB-SC-2-DI05 to the control / marshalling room</t>
        </is>
      </c>
      <c r="E4822" s="12" t="inlineStr"/>
      <c r="F4822" s="12" t="inlineStr">
        <is>
          <t>PCM: power control module</t>
        </is>
      </c>
      <c r="G4822" s="12" t="inlineStr">
        <is>
          <t>JB-SC-2-DI05</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7" t="n">
        <v>4436</v>
      </c>
      <c r="U4822" s="17" t="n">
        <v>38</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I-I-0456</t>
        </is>
      </c>
      <c r="B4823" s="12" t="inlineStr">
        <is>
          <t>I</t>
        </is>
      </c>
      <c r="C4823" s="12" t="inlineStr">
        <is>
          <t>Modular / portable power</t>
        </is>
      </c>
      <c r="D4823" s="12" t="inlineStr">
        <is>
          <t>Thermocouple to TC JB JB-SC-2-TC01: 20 x 1 pr (field cables)</t>
        </is>
      </c>
      <c r="E4823" s="12" t="inlineStr">
        <is>
          <t>SC-2</t>
        </is>
      </c>
      <c r="F4823" s="12" t="inlineStr">
        <is>
          <t>SC-2: aeroderivative simple-cycle unit (LM6000 class)</t>
        </is>
      </c>
      <c r="G4823" s="12" t="inlineStr">
        <is>
          <t>JB-SC-2-TC01</t>
        </is>
      </c>
      <c r="H4823" s="12" t="inlineStr">
        <is>
          <t>SC-2: aeroderivative simple-cycle unit (LM6000 class)</t>
        </is>
      </c>
      <c r="I4823" s="12" t="inlineStr">
        <is>
          <t>Instrumentation</t>
        </is>
      </c>
      <c r="J4823" s="12" t="inlineStr">
        <is>
          <t>Thermocouple extension KX, #16 shielded pairs, PLTC</t>
        </is>
      </c>
      <c r="K4823" s="12" t="inlineStr">
        <is>
          <t>TCX|1 pr|16</t>
        </is>
      </c>
      <c r="L4823" s="12" t="inlineStr">
        <is>
          <t>1 pr</t>
        </is>
      </c>
      <c r="M4823" s="12" t="inlineStr">
        <is>
          <t>16</t>
        </is>
      </c>
      <c r="N4823" s="12" t="n">
        <v>20</v>
      </c>
      <c r="O4823" s="12" t="n">
        <v>1</v>
      </c>
      <c r="P4823" s="12" t="n"/>
      <c r="Q4823" s="12" t="n"/>
      <c r="R4823" s="12" t="n"/>
      <c r="S4823" s="12" t="inlineStr">
        <is>
          <t>Tray / conduit</t>
        </is>
      </c>
      <c r="T4823" s="17" t="n">
        <v>99</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I-I-0457</t>
        </is>
      </c>
      <c r="B4824" s="12" t="inlineStr">
        <is>
          <t>I</t>
        </is>
      </c>
      <c r="C4824" s="12" t="inlineStr">
        <is>
          <t>Modular / portable power</t>
        </is>
      </c>
      <c r="D4824" s="12" t="inlineStr">
        <is>
          <t>Home run JB-SC-2-TC01 to the control / marshalling room</t>
        </is>
      </c>
      <c r="E4824" s="12" t="inlineStr"/>
      <c r="F4824" s="12" t="inlineStr">
        <is>
          <t>PCM: power control module</t>
        </is>
      </c>
      <c r="G4824" s="12" t="inlineStr">
        <is>
          <t>JB-SC-2-TC01</t>
        </is>
      </c>
      <c r="H4824" s="12" t="inlineStr">
        <is>
          <t>SC-2: aeroderivative simple-cycle unit (LM6000 class)</t>
        </is>
      </c>
      <c r="I4824" s="12" t="inlineStr">
        <is>
          <t>Instrumentation</t>
        </is>
      </c>
      <c r="J4824" s="12" t="inlineStr">
        <is>
          <t>Thermocouple extension KX, #16 shielded pairs, PLTC</t>
        </is>
      </c>
      <c r="K4824" s="12" t="inlineStr">
        <is>
          <t>TCX|24 pr|16</t>
        </is>
      </c>
      <c r="L4824" s="12" t="inlineStr">
        <is>
          <t>24 pr</t>
        </is>
      </c>
      <c r="M4824" s="12" t="inlineStr">
        <is>
          <t>16</t>
        </is>
      </c>
      <c r="N4824" s="12" t="n">
        <v>1</v>
      </c>
      <c r="O4824" s="12" t="n">
        <v>1</v>
      </c>
      <c r="P4824" s="12" t="n"/>
      <c r="Q4824" s="12" t="n"/>
      <c r="R4824" s="12" t="n"/>
      <c r="S4824" s="12" t="inlineStr">
        <is>
          <t>HV duct bank</t>
        </is>
      </c>
      <c r="T4824" s="17" t="n">
        <v>4436</v>
      </c>
      <c r="U4824" s="17" t="n">
        <v>38</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I-I-0458</t>
        </is>
      </c>
      <c r="B4825" s="12" t="inlineStr">
        <is>
          <t>I</t>
        </is>
      </c>
      <c r="C4825" s="12" t="inlineStr">
        <is>
          <t>Modular / portable power</t>
        </is>
      </c>
      <c r="D4825" s="12" t="inlineStr">
        <is>
          <t>Thermocouple to TC JB JB-SC-2-TC02: 20 x 1 pr (field cables)</t>
        </is>
      </c>
      <c r="E4825" s="12" t="inlineStr">
        <is>
          <t>SC-2</t>
        </is>
      </c>
      <c r="F4825" s="12" t="inlineStr">
        <is>
          <t>SC-2: aeroderivative simple-cycle unit (LM6000 class)</t>
        </is>
      </c>
      <c r="G4825" s="12" t="inlineStr">
        <is>
          <t>JB-SC-2-TC02</t>
        </is>
      </c>
      <c r="H4825" s="12" t="inlineStr">
        <is>
          <t>SC-2: aeroderivative simple-cycle unit (LM6000 class)</t>
        </is>
      </c>
      <c r="I4825" s="12" t="inlineStr">
        <is>
          <t>Instrumentation</t>
        </is>
      </c>
      <c r="J4825" s="12" t="inlineStr">
        <is>
          <t>Thermocouple extension KX, #16 shielded pairs, PLTC</t>
        </is>
      </c>
      <c r="K4825" s="12" t="inlineStr">
        <is>
          <t>TCX|1 pr|16</t>
        </is>
      </c>
      <c r="L4825" s="12" t="inlineStr">
        <is>
          <t>1 pr</t>
        </is>
      </c>
      <c r="M4825" s="12" t="inlineStr">
        <is>
          <t>16</t>
        </is>
      </c>
      <c r="N4825" s="12" t="n">
        <v>20</v>
      </c>
      <c r="O4825" s="12" t="n">
        <v>1</v>
      </c>
      <c r="P4825" s="12" t="n"/>
      <c r="Q4825" s="12" t="n"/>
      <c r="R4825" s="12" t="n"/>
      <c r="S4825" s="12" t="inlineStr">
        <is>
          <t>Tray / conduit</t>
        </is>
      </c>
      <c r="T4825" s="17" t="n">
        <v>99</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I-I-0459</t>
        </is>
      </c>
      <c r="B4826" s="12" t="inlineStr">
        <is>
          <t>I</t>
        </is>
      </c>
      <c r="C4826" s="12" t="inlineStr">
        <is>
          <t>Modular / portable power</t>
        </is>
      </c>
      <c r="D4826" s="12" t="inlineStr">
        <is>
          <t>Home run JB-SC-2-TC02 to the control / marshalling room</t>
        </is>
      </c>
      <c r="E4826" s="12" t="inlineStr"/>
      <c r="F4826" s="12" t="inlineStr">
        <is>
          <t>PCM: power control module</t>
        </is>
      </c>
      <c r="G4826" s="12" t="inlineStr">
        <is>
          <t>JB-SC-2-TC02</t>
        </is>
      </c>
      <c r="H4826" s="12" t="inlineStr">
        <is>
          <t>SC-2: aeroderivative simple-cycle unit (LM6000 class)</t>
        </is>
      </c>
      <c r="I4826" s="12" t="inlineStr">
        <is>
          <t>Instrumentation</t>
        </is>
      </c>
      <c r="J4826" s="12" t="inlineStr">
        <is>
          <t>Thermocouple extension KX, #16 shielded pairs, PLTC</t>
        </is>
      </c>
      <c r="K4826" s="12" t="inlineStr">
        <is>
          <t>TCX|24 pr|16</t>
        </is>
      </c>
      <c r="L4826" s="12" t="inlineStr">
        <is>
          <t>24 pr</t>
        </is>
      </c>
      <c r="M4826" s="12" t="inlineStr">
        <is>
          <t>16</t>
        </is>
      </c>
      <c r="N4826" s="12" t="n">
        <v>1</v>
      </c>
      <c r="O4826" s="12" t="n">
        <v>1</v>
      </c>
      <c r="P4826" s="12" t="n"/>
      <c r="Q4826" s="12" t="n"/>
      <c r="R4826" s="12" t="n"/>
      <c r="S4826" s="12" t="inlineStr">
        <is>
          <t>HV duct bank</t>
        </is>
      </c>
      <c r="T4826" s="17" t="n">
        <v>4436</v>
      </c>
      <c r="U4826" s="17" t="n">
        <v>38</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I-I-0460</t>
        </is>
      </c>
      <c r="B4827" s="12" t="inlineStr">
        <is>
          <t>I</t>
        </is>
      </c>
      <c r="C4827" s="12" t="inlineStr">
        <is>
          <t>Modular / portable power</t>
        </is>
      </c>
      <c r="D4827" s="12" t="inlineStr">
        <is>
          <t>Analog instrument to JB JB-T-MOD 230 kV take--AI01: 8 x 1 pr (field cables)</t>
        </is>
      </c>
      <c r="E4827" s="12" t="inlineStr"/>
      <c r="F4827" s="12" t="inlineStr">
        <is>
          <t>T-MOD 230 kV take-off gantry with arresters</t>
        </is>
      </c>
      <c r="G4827" s="12" t="inlineStr">
        <is>
          <t>JB-T-MOD 230 kV take--AI01</t>
        </is>
      </c>
      <c r="H4827" s="12" t="inlineStr">
        <is>
          <t>T-MOD 230 kV take-off gantry with arresters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8</v>
      </c>
      <c r="O4827" s="12" t="n">
        <v>1</v>
      </c>
      <c r="P4827" s="12" t="n"/>
      <c r="Q4827" s="12" t="n"/>
      <c r="R4827" s="12" t="n"/>
      <c r="S4827" s="12" t="inlineStr">
        <is>
          <t>Tray / conduit</t>
        </is>
      </c>
      <c r="T4827" s="17" t="n">
        <v>88</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I-I-0461</t>
        </is>
      </c>
      <c r="B4828" s="12" t="inlineStr">
        <is>
          <t>I</t>
        </is>
      </c>
      <c r="C4828" s="12" t="inlineStr">
        <is>
          <t>Modular / portable power</t>
        </is>
      </c>
      <c r="D4828" s="12" t="inlineStr">
        <is>
          <t>Home run JB-T-MOD 230 kV take--AI01 to the control / marshalling room</t>
        </is>
      </c>
      <c r="E4828" s="12" t="inlineStr">
        <is>
          <t>PAD-EH</t>
        </is>
      </c>
      <c r="F4828" s="12" t="inlineStr">
        <is>
          <t>PAD-EH 13.8 kV switchgear e-house</t>
        </is>
      </c>
      <c r="G4828" s="12" t="inlineStr">
        <is>
          <t>JB-T-MOD 230 kV take--AI01</t>
        </is>
      </c>
      <c r="H4828" s="12" t="inlineStr">
        <is>
          <t>T-MOD 230 kV take-off gantry with arresters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7" t="n">
        <v>2426</v>
      </c>
      <c r="U4828" s="17" t="n">
        <v>141</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I-I-0462</t>
        </is>
      </c>
      <c r="B4829" s="12" t="inlineStr">
        <is>
          <t>I</t>
        </is>
      </c>
      <c r="C4829" s="12" t="inlineStr">
        <is>
          <t>Modular / portable power</t>
        </is>
      </c>
      <c r="D4829" s="12" t="inlineStr">
        <is>
          <t>Discrete device to JB JB-T-MOD 230 kV take--DI01: 16 x 1 pr (field cables)</t>
        </is>
      </c>
      <c r="E4829" s="12" t="inlineStr"/>
      <c r="F4829" s="12" t="inlineStr">
        <is>
          <t>T-MOD 230 kV take-off gantry with arresters</t>
        </is>
      </c>
      <c r="G4829" s="12" t="inlineStr">
        <is>
          <t>JB-T-MOD 230 kV take--DI01</t>
        </is>
      </c>
      <c r="H4829" s="12" t="inlineStr">
        <is>
          <t>T-MOD 230 kV take-off gantry with arresters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16</v>
      </c>
      <c r="O4829" s="12" t="n">
        <v>1</v>
      </c>
      <c r="P4829" s="12" t="n"/>
      <c r="Q4829" s="12" t="n"/>
      <c r="R4829" s="12" t="n"/>
      <c r="S4829" s="12" t="inlineStr">
        <is>
          <t>Tray / conduit</t>
        </is>
      </c>
      <c r="T4829" s="17" t="n">
        <v>88</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I-I-0463</t>
        </is>
      </c>
      <c r="B4830" s="12" t="inlineStr">
        <is>
          <t>I</t>
        </is>
      </c>
      <c r="C4830" s="12" t="inlineStr">
        <is>
          <t>Modular / portable power</t>
        </is>
      </c>
      <c r="D4830" s="12" t="inlineStr">
        <is>
          <t>Home run JB-T-MOD 230 kV take--DI01 to the control / marshalling room</t>
        </is>
      </c>
      <c r="E4830" s="12" t="inlineStr">
        <is>
          <t>PAD-EH</t>
        </is>
      </c>
      <c r="F4830" s="12" t="inlineStr">
        <is>
          <t>PAD-EH 13.8 kV switchgear e-house</t>
        </is>
      </c>
      <c r="G4830" s="12" t="inlineStr">
        <is>
          <t>JB-T-MOD 230 kV take--DI01</t>
        </is>
      </c>
      <c r="H4830" s="12" t="inlineStr">
        <is>
          <t>T-MOD 230 kV take-off gantry with arresters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7" t="n">
        <v>2426</v>
      </c>
      <c r="U4830" s="17" t="n">
        <v>141</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I-I-0464</t>
        </is>
      </c>
      <c r="B4831" s="12" t="inlineStr">
        <is>
          <t>I</t>
        </is>
      </c>
      <c r="C4831" s="12" t="inlineStr">
        <is>
          <t>Modular / portable power</t>
        </is>
      </c>
      <c r="D4831" s="12" t="inlineStr">
        <is>
          <t>Analog instrument to JB JB-T-MOD-1 / T-MOD-2 -AI01: 8 x 1 pr (field cables)</t>
        </is>
      </c>
      <c r="E4831" s="12" t="inlineStr"/>
      <c r="F4831" s="12" t="inlineStr">
        <is>
          <t>T-MOD-1 / T-MOD-2 firewall</t>
        </is>
      </c>
      <c r="G4831" s="12" t="inlineStr">
        <is>
          <t>JB-T-MOD-1 / T-MOD-2 -AI01</t>
        </is>
      </c>
      <c r="H4831" s="12" t="inlineStr">
        <is>
          <t>T-MOD-1 / T-MOD-2 firewall</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8</v>
      </c>
      <c r="O4831" s="12" t="n">
        <v>1</v>
      </c>
      <c r="P4831" s="12" t="n"/>
      <c r="Q4831" s="12" t="n"/>
      <c r="R4831" s="12" t="n"/>
      <c r="S4831" s="12" t="inlineStr">
        <is>
          <t>Tray / conduit</t>
        </is>
      </c>
      <c r="T4831" s="17" t="n">
        <v>64</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I-I-0465</t>
        </is>
      </c>
      <c r="B4832" s="12" t="inlineStr">
        <is>
          <t>I</t>
        </is>
      </c>
      <c r="C4832" s="12" t="inlineStr">
        <is>
          <t>Modular / portable power</t>
        </is>
      </c>
      <c r="D4832" s="12" t="inlineStr">
        <is>
          <t>Home run JB-T-MOD-1 / T-MOD-2 -AI01 to the control / marshalling room</t>
        </is>
      </c>
      <c r="E4832" s="12" t="inlineStr"/>
      <c r="F4832" s="12" t="inlineStr">
        <is>
          <t>PCM: power control module</t>
        </is>
      </c>
      <c r="G4832" s="12" t="inlineStr">
        <is>
          <t>JB-T-MOD-1 / T-MOD-2 -AI01</t>
        </is>
      </c>
      <c r="H4832" s="12" t="inlineStr">
        <is>
          <t>T-MOD-1 / T-MOD-2 firewall</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Duct bank</t>
        </is>
      </c>
      <c r="T4832" s="17" t="n">
        <v>415</v>
      </c>
      <c r="U4832" s="17" t="n">
        <v>130</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I-I-0466</t>
        </is>
      </c>
      <c r="B4833" s="12" t="inlineStr">
        <is>
          <t>I</t>
        </is>
      </c>
      <c r="C4833" s="12" t="inlineStr">
        <is>
          <t>Modular / portable power</t>
        </is>
      </c>
      <c r="D4833" s="12" t="inlineStr">
        <is>
          <t>Discrete device to JB JB-T-MOD-1 / T-MOD-2 -DI01: 16 x 1 pr (field cables)</t>
        </is>
      </c>
      <c r="E4833" s="12" t="inlineStr"/>
      <c r="F4833" s="12" t="inlineStr">
        <is>
          <t>T-MOD-1 / T-MOD-2 firewall</t>
        </is>
      </c>
      <c r="G4833" s="12" t="inlineStr">
        <is>
          <t>JB-T-MOD-1 / T-MOD-2 -DI01</t>
        </is>
      </c>
      <c r="H4833" s="12" t="inlineStr">
        <is>
          <t>T-MOD-1 / T-MOD-2 firewall</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16</v>
      </c>
      <c r="O4833" s="12" t="n">
        <v>1</v>
      </c>
      <c r="P4833" s="12" t="n"/>
      <c r="Q4833" s="12" t="n"/>
      <c r="R4833" s="12" t="n"/>
      <c r="S4833" s="12" t="inlineStr">
        <is>
          <t>Tray / conduit</t>
        </is>
      </c>
      <c r="T4833" s="17" t="n">
        <v>64</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I-I-0467</t>
        </is>
      </c>
      <c r="B4834" s="12" t="inlineStr">
        <is>
          <t>I</t>
        </is>
      </c>
      <c r="C4834" s="12" t="inlineStr">
        <is>
          <t>Modular / portable power</t>
        </is>
      </c>
      <c r="D4834" s="12" t="inlineStr">
        <is>
          <t>Home run JB-T-MOD-1 / T-MOD-2 -DI01 to the control / marshalling room</t>
        </is>
      </c>
      <c r="E4834" s="12" t="inlineStr"/>
      <c r="F4834" s="12" t="inlineStr">
        <is>
          <t>PCM: power control module</t>
        </is>
      </c>
      <c r="G4834" s="12" t="inlineStr">
        <is>
          <t>JB-T-MOD-1 / T-MOD-2 -DI01</t>
        </is>
      </c>
      <c r="H4834" s="12" t="inlineStr">
        <is>
          <t>T-MOD-1 / T-MOD-2 firewall</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7" t="n">
        <v>415</v>
      </c>
      <c r="U4834" s="17" t="n">
        <v>130</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I-I-0468</t>
        </is>
      </c>
      <c r="B4835" s="12" t="inlineStr">
        <is>
          <t>I</t>
        </is>
      </c>
      <c r="C4835" s="12" t="inlineStr">
        <is>
          <t>Modular / portable power</t>
        </is>
      </c>
      <c r="D4835" s="12" t="inlineStr">
        <is>
          <t>Analog instrument to JB JB-T-MOD-1-AI01: 8 x 1 pr (field cables)</t>
        </is>
      </c>
      <c r="E4835" s="12" t="inlineStr">
        <is>
          <t>T-MOD-1</t>
        </is>
      </c>
      <c r="F4835" s="12" t="inlineStr">
        <is>
          <t>T-MOD-1: 13.8/230 kV</t>
        </is>
      </c>
      <c r="G4835" s="12" t="inlineStr">
        <is>
          <t>JB-T-MOD-1-AI01</t>
        </is>
      </c>
      <c r="H4835" s="12" t="inlineStr">
        <is>
          <t>T-MOD-1: 13.8/230 kV</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8</v>
      </c>
      <c r="O4835" s="12" t="n">
        <v>1</v>
      </c>
      <c r="P4835" s="12" t="n"/>
      <c r="Q4835" s="12" t="n"/>
      <c r="R4835" s="12" t="n"/>
      <c r="S4835" s="12" t="inlineStr">
        <is>
          <t>Tray / conduit</t>
        </is>
      </c>
      <c r="T4835" s="17" t="n">
        <v>77</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I-I-0469</t>
        </is>
      </c>
      <c r="B4836" s="12" t="inlineStr">
        <is>
          <t>I</t>
        </is>
      </c>
      <c r="C4836" s="12" t="inlineStr">
        <is>
          <t>Modular / portable power</t>
        </is>
      </c>
      <c r="D4836" s="12" t="inlineStr">
        <is>
          <t>Home run JB-T-MOD-1-AI01 to the control / marshalling room</t>
        </is>
      </c>
      <c r="E4836" s="12" t="inlineStr"/>
      <c r="F4836" s="12" t="inlineStr">
        <is>
          <t>PCM: power control module</t>
        </is>
      </c>
      <c r="G4836" s="12" t="inlineStr">
        <is>
          <t>JB-T-MOD-1-AI01</t>
        </is>
      </c>
      <c r="H4836" s="12" t="inlineStr">
        <is>
          <t>T-MOD-1: 13.8/230 kV</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7" t="n">
        <v>415</v>
      </c>
      <c r="U4836" s="17" t="n">
        <v>82</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I-I-0470</t>
        </is>
      </c>
      <c r="B4837" s="12" t="inlineStr">
        <is>
          <t>I</t>
        </is>
      </c>
      <c r="C4837" s="12" t="inlineStr">
        <is>
          <t>Modular / portable power</t>
        </is>
      </c>
      <c r="D4837" s="12" t="inlineStr">
        <is>
          <t>Discrete device to JB JB-T-MOD-1-DI01: 16 x 1 pr (field cables)</t>
        </is>
      </c>
      <c r="E4837" s="12" t="inlineStr">
        <is>
          <t>T-MOD-1</t>
        </is>
      </c>
      <c r="F4837" s="12" t="inlineStr">
        <is>
          <t>T-MOD-1: 13.8/230 kV</t>
        </is>
      </c>
      <c r="G4837" s="12" t="inlineStr">
        <is>
          <t>JB-T-MOD-1-DI01</t>
        </is>
      </c>
      <c r="H4837" s="12" t="inlineStr">
        <is>
          <t>T-MOD-1: 13.8/230 kV</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16</v>
      </c>
      <c r="O4837" s="12" t="n">
        <v>1</v>
      </c>
      <c r="P4837" s="12" t="n"/>
      <c r="Q4837" s="12" t="n"/>
      <c r="R4837" s="12" t="n"/>
      <c r="S4837" s="12" t="inlineStr">
        <is>
          <t>Tray / conduit</t>
        </is>
      </c>
      <c r="T4837" s="17" t="n">
        <v>77</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I-I-0471</t>
        </is>
      </c>
      <c r="B4838" s="12" t="inlineStr">
        <is>
          <t>I</t>
        </is>
      </c>
      <c r="C4838" s="12" t="inlineStr">
        <is>
          <t>Modular / portable power</t>
        </is>
      </c>
      <c r="D4838" s="12" t="inlineStr">
        <is>
          <t>Home run JB-T-MOD-1-DI01 to the control / marshalling room</t>
        </is>
      </c>
      <c r="E4838" s="12" t="inlineStr"/>
      <c r="F4838" s="12" t="inlineStr">
        <is>
          <t>PCM: power control module</t>
        </is>
      </c>
      <c r="G4838" s="12" t="inlineStr">
        <is>
          <t>JB-T-MOD-1-DI01</t>
        </is>
      </c>
      <c r="H4838" s="12" t="inlineStr">
        <is>
          <t>T-MOD-1: 13.8/230 kV</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7" t="n">
        <v>415</v>
      </c>
      <c r="U4838" s="17" t="n">
        <v>82</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I-I-0472</t>
        </is>
      </c>
      <c r="B4839" s="12" t="inlineStr">
        <is>
          <t>I</t>
        </is>
      </c>
      <c r="C4839" s="12" t="inlineStr">
        <is>
          <t>Modular / portable power</t>
        </is>
      </c>
      <c r="D4839" s="12" t="inlineStr">
        <is>
          <t>Analog instrument to JB JB-T-MOD-2-AI01: 8 x 1 pr (field cables)</t>
        </is>
      </c>
      <c r="E4839" s="12" t="inlineStr">
        <is>
          <t>T-MOD-2</t>
        </is>
      </c>
      <c r="F4839" s="12" t="inlineStr">
        <is>
          <t>T-MOD-2: 13.8/230 kV</t>
        </is>
      </c>
      <c r="G4839" s="12" t="inlineStr">
        <is>
          <t>JB-T-MOD-2-AI01</t>
        </is>
      </c>
      <c r="H4839" s="12" t="inlineStr">
        <is>
          <t>T-MOD-2: 13.8/230 kV</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8</v>
      </c>
      <c r="O4839" s="12" t="n">
        <v>1</v>
      </c>
      <c r="P4839" s="12" t="n"/>
      <c r="Q4839" s="12" t="n"/>
      <c r="R4839" s="12" t="n"/>
      <c r="S4839" s="12" t="inlineStr">
        <is>
          <t>Tray / conduit</t>
        </is>
      </c>
      <c r="T4839" s="17" t="n">
        <v>77</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I-I-0473</t>
        </is>
      </c>
      <c r="B4840" s="12" t="inlineStr">
        <is>
          <t>I</t>
        </is>
      </c>
      <c r="C4840" s="12" t="inlineStr">
        <is>
          <t>Modular / portable power</t>
        </is>
      </c>
      <c r="D4840" s="12" t="inlineStr">
        <is>
          <t>Home run JB-T-MOD-2-AI01 to the control / marshalling room</t>
        </is>
      </c>
      <c r="E4840" s="12" t="inlineStr"/>
      <c r="F4840" s="12" t="inlineStr">
        <is>
          <t>PCM: power control module</t>
        </is>
      </c>
      <c r="G4840" s="12" t="inlineStr">
        <is>
          <t>JB-T-MOD-2-AI01</t>
        </is>
      </c>
      <c r="H4840" s="12" t="inlineStr">
        <is>
          <t>T-MOD-2: 13.8/230 kV</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7" t="n">
        <v>3272</v>
      </c>
      <c r="U4840" s="17" t="n">
        <v>165</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I-I-0474</t>
        </is>
      </c>
      <c r="B4841" s="12" t="inlineStr">
        <is>
          <t>I</t>
        </is>
      </c>
      <c r="C4841" s="12" t="inlineStr">
        <is>
          <t>Modular / portable power</t>
        </is>
      </c>
      <c r="D4841" s="12" t="inlineStr">
        <is>
          <t>Discrete device to JB JB-T-MOD-2-DI01: 16 x 1 pr (field cables)</t>
        </is>
      </c>
      <c r="E4841" s="12" t="inlineStr">
        <is>
          <t>T-MOD-2</t>
        </is>
      </c>
      <c r="F4841" s="12" t="inlineStr">
        <is>
          <t>T-MOD-2: 13.8/230 kV</t>
        </is>
      </c>
      <c r="G4841" s="12" t="inlineStr">
        <is>
          <t>JB-T-MOD-2-DI01</t>
        </is>
      </c>
      <c r="H4841" s="12" t="inlineStr">
        <is>
          <t>T-MOD-2: 13.8/230 kV</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16</v>
      </c>
      <c r="O4841" s="12" t="n">
        <v>1</v>
      </c>
      <c r="P4841" s="12" t="n"/>
      <c r="Q4841" s="12" t="n"/>
      <c r="R4841" s="12" t="n"/>
      <c r="S4841" s="12" t="inlineStr">
        <is>
          <t>Tray / conduit</t>
        </is>
      </c>
      <c r="T4841" s="17" t="n">
        <v>77</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I-I-0475</t>
        </is>
      </c>
      <c r="B4842" s="12" t="inlineStr">
        <is>
          <t>I</t>
        </is>
      </c>
      <c r="C4842" s="12" t="inlineStr">
        <is>
          <t>Modular / portable power</t>
        </is>
      </c>
      <c r="D4842" s="12" t="inlineStr">
        <is>
          <t>Home run JB-T-MOD-2-DI01 to the control / marshalling room</t>
        </is>
      </c>
      <c r="E4842" s="12" t="inlineStr"/>
      <c r="F4842" s="12" t="inlineStr">
        <is>
          <t>PCM: power control module</t>
        </is>
      </c>
      <c r="G4842" s="12" t="inlineStr">
        <is>
          <t>JB-T-MOD-2-DI01</t>
        </is>
      </c>
      <c r="H4842" s="12" t="inlineStr">
        <is>
          <t>T-MOD-2: 13.8/230 kV</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3272</v>
      </c>
      <c r="U4842" s="17" t="n">
        <v>165</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I-I-0476</t>
        </is>
      </c>
      <c r="B4843" s="12" t="inlineStr">
        <is>
          <t>I</t>
        </is>
      </c>
      <c r="C4843" s="12" t="inlineStr">
        <is>
          <t>Modular / portable power</t>
        </is>
      </c>
      <c r="D4843" s="12" t="inlineStr">
        <is>
          <t>Analog instrument to JB JB-TM-1-AI01: 20 x 1 pr (field cables)</t>
        </is>
      </c>
      <c r="E4843" s="12" t="inlineStr">
        <is>
          <t>TM-1</t>
        </is>
      </c>
      <c r="F4843" s="12" t="inlineStr">
        <is>
          <t>TM-1: trailer-mounted aeroderivative GT (TM2500 class, ~35 MW)</t>
        </is>
      </c>
      <c r="G4843" s="12" t="inlineStr">
        <is>
          <t>JB-TM-1-AI01</t>
        </is>
      </c>
      <c r="H4843" s="12" t="inlineStr">
        <is>
          <t>TM-1: trailer-mounted aeroderivative GT (TM2500 class, ~35 MW)</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7" t="n">
        <v>108</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I-I-0477</t>
        </is>
      </c>
      <c r="B4844" s="12" t="inlineStr">
        <is>
          <t>I</t>
        </is>
      </c>
      <c r="C4844" s="12" t="inlineStr">
        <is>
          <t>Modular / portable power</t>
        </is>
      </c>
      <c r="D4844" s="12" t="inlineStr">
        <is>
          <t>Home run JB-TM-1-AI01 to the control / marshalling room</t>
        </is>
      </c>
      <c r="E4844" s="12" t="inlineStr">
        <is>
          <t>PAD-EH</t>
        </is>
      </c>
      <c r="F4844" s="12" t="inlineStr">
        <is>
          <t>PAD-EH 13.8 kV switchgear e-house</t>
        </is>
      </c>
      <c r="G4844" s="12" t="inlineStr">
        <is>
          <t>JB-TM-1-AI01</t>
        </is>
      </c>
      <c r="H4844" s="12" t="inlineStr">
        <is>
          <t>TM-1: trailer-mounted aeroderivative GT (TM2500 class, ~35 MW)</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Surface</t>
        </is>
      </c>
      <c r="T4844" s="17" t="n">
        <v>382</v>
      </c>
      <c r="U4844" s="17" t="n">
        <v>50</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I-I-0478</t>
        </is>
      </c>
      <c r="B4845" s="12" t="inlineStr">
        <is>
          <t>I</t>
        </is>
      </c>
      <c r="C4845" s="12" t="inlineStr">
        <is>
          <t>Modular / portable power</t>
        </is>
      </c>
      <c r="D4845" s="12" t="inlineStr">
        <is>
          <t>Analog instrument to JB JB-TM-1-AI02: 20 x 1 pr (field cables)</t>
        </is>
      </c>
      <c r="E4845" s="12" t="inlineStr">
        <is>
          <t>TM-1</t>
        </is>
      </c>
      <c r="F4845" s="12" t="inlineStr">
        <is>
          <t>TM-1: trailer-mounted aeroderivative GT (TM2500 class, ~35 MW)</t>
        </is>
      </c>
      <c r="G4845" s="12" t="inlineStr">
        <is>
          <t>JB-TM-1-AI02</t>
        </is>
      </c>
      <c r="H4845" s="12" t="inlineStr">
        <is>
          <t>TM-1: trailer-mounted aeroderivative GT (TM2500 class, ~35 MW)</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7" t="n">
        <v>108</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I-I-0479</t>
        </is>
      </c>
      <c r="B4846" s="12" t="inlineStr">
        <is>
          <t>I</t>
        </is>
      </c>
      <c r="C4846" s="12" t="inlineStr">
        <is>
          <t>Modular / portable power</t>
        </is>
      </c>
      <c r="D4846" s="12" t="inlineStr">
        <is>
          <t>Home run JB-TM-1-AI02 to the control / marshalling room</t>
        </is>
      </c>
      <c r="E4846" s="12" t="inlineStr">
        <is>
          <t>PAD-EH</t>
        </is>
      </c>
      <c r="F4846" s="12" t="inlineStr">
        <is>
          <t>PAD-EH 13.8 kV switchgear e-house</t>
        </is>
      </c>
      <c r="G4846" s="12" t="inlineStr">
        <is>
          <t>JB-TM-1-AI02</t>
        </is>
      </c>
      <c r="H4846" s="12" t="inlineStr">
        <is>
          <t>TM-1: trailer-mounted aeroderivative GT (TM2500 class, ~35 MW)</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Surface</t>
        </is>
      </c>
      <c r="T4846" s="17" t="n">
        <v>382</v>
      </c>
      <c r="U4846" s="17" t="n">
        <v>50</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I-I-0480</t>
        </is>
      </c>
      <c r="B4847" s="12" t="inlineStr">
        <is>
          <t>I</t>
        </is>
      </c>
      <c r="C4847" s="12" t="inlineStr">
        <is>
          <t>Modular / portable power</t>
        </is>
      </c>
      <c r="D4847" s="12" t="inlineStr">
        <is>
          <t>Analog instrument to JB JB-TM-1-AI03: 20 x 1 pr (field cables)</t>
        </is>
      </c>
      <c r="E4847" s="12" t="inlineStr">
        <is>
          <t>TM-1</t>
        </is>
      </c>
      <c r="F4847" s="12" t="inlineStr">
        <is>
          <t>TM-1: trailer-mounted aeroderivative GT (TM2500 class, ~35 MW)</t>
        </is>
      </c>
      <c r="G4847" s="12" t="inlineStr">
        <is>
          <t>JB-TM-1-AI03</t>
        </is>
      </c>
      <c r="H4847" s="12" t="inlineStr">
        <is>
          <t>TM-1: trailer-mounted aeroderivative GT (TM2500 class, ~35 MW)</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7" t="n">
        <v>108</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I-I-0481</t>
        </is>
      </c>
      <c r="B4848" s="12" t="inlineStr">
        <is>
          <t>I</t>
        </is>
      </c>
      <c r="C4848" s="12" t="inlineStr">
        <is>
          <t>Modular / portable power</t>
        </is>
      </c>
      <c r="D4848" s="12" t="inlineStr">
        <is>
          <t>Home run JB-TM-1-AI03 to the control / marshalling room</t>
        </is>
      </c>
      <c r="E4848" s="12" t="inlineStr">
        <is>
          <t>PAD-EH</t>
        </is>
      </c>
      <c r="F4848" s="12" t="inlineStr">
        <is>
          <t>PAD-EH 13.8 kV switchgear e-house</t>
        </is>
      </c>
      <c r="G4848" s="12" t="inlineStr">
        <is>
          <t>JB-TM-1-AI03</t>
        </is>
      </c>
      <c r="H4848" s="12" t="inlineStr">
        <is>
          <t>TM-1: trailer-mounted aeroderivative GT (TM2500 class, ~35 MW)</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Surface</t>
        </is>
      </c>
      <c r="T4848" s="17" t="n">
        <v>382</v>
      </c>
      <c r="U4848" s="17" t="n">
        <v>50</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I-I-0482</t>
        </is>
      </c>
      <c r="B4849" s="12" t="inlineStr">
        <is>
          <t>I</t>
        </is>
      </c>
      <c r="C4849" s="12" t="inlineStr">
        <is>
          <t>Modular / portable power</t>
        </is>
      </c>
      <c r="D4849" s="12" t="inlineStr">
        <is>
          <t>Analog instrument to JB JB-TM-1-AI04: 20 x 1 pr (field cables)</t>
        </is>
      </c>
      <c r="E4849" s="12" t="inlineStr">
        <is>
          <t>TM-1</t>
        </is>
      </c>
      <c r="F4849" s="12" t="inlineStr">
        <is>
          <t>TM-1: trailer-mounted aeroderivative GT (TM2500 class, ~35 MW)</t>
        </is>
      </c>
      <c r="G4849" s="12" t="inlineStr">
        <is>
          <t>JB-TM-1-AI04</t>
        </is>
      </c>
      <c r="H4849" s="12" t="inlineStr">
        <is>
          <t>TM-1: trailer-mounted aeroderivative GT (TM2500 class, ~35 MW)</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7" t="n">
        <v>108</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I-I-0483</t>
        </is>
      </c>
      <c r="B4850" s="12" t="inlineStr">
        <is>
          <t>I</t>
        </is>
      </c>
      <c r="C4850" s="12" t="inlineStr">
        <is>
          <t>Modular / portable power</t>
        </is>
      </c>
      <c r="D4850" s="12" t="inlineStr">
        <is>
          <t>Home run JB-TM-1-AI04 to the control / marshalling room</t>
        </is>
      </c>
      <c r="E4850" s="12" t="inlineStr">
        <is>
          <t>PAD-EH</t>
        </is>
      </c>
      <c r="F4850" s="12" t="inlineStr">
        <is>
          <t>PAD-EH 13.8 kV switchgear e-house</t>
        </is>
      </c>
      <c r="G4850" s="12" t="inlineStr">
        <is>
          <t>JB-TM-1-AI04</t>
        </is>
      </c>
      <c r="H4850" s="12" t="inlineStr">
        <is>
          <t>TM-1: trailer-mounted aeroderivative GT (TM2500 class, ~35 MW)</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Surface</t>
        </is>
      </c>
      <c r="T4850" s="17" t="n">
        <v>382</v>
      </c>
      <c r="U4850" s="17" t="n">
        <v>50</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I-I-0484</t>
        </is>
      </c>
      <c r="B4851" s="12" t="inlineStr">
        <is>
          <t>I</t>
        </is>
      </c>
      <c r="C4851" s="12" t="inlineStr">
        <is>
          <t>Modular / portable power</t>
        </is>
      </c>
      <c r="D4851" s="12" t="inlineStr">
        <is>
          <t>Analog instrument to JB JB-TM-1-AI05: 20 x 1 pr (field cables)</t>
        </is>
      </c>
      <c r="E4851" s="12" t="inlineStr">
        <is>
          <t>TM-1</t>
        </is>
      </c>
      <c r="F4851" s="12" t="inlineStr">
        <is>
          <t>TM-1: trailer-mounted aeroderivative GT (TM2500 class, ~35 MW)</t>
        </is>
      </c>
      <c r="G4851" s="12" t="inlineStr">
        <is>
          <t>JB-TM-1-AI05</t>
        </is>
      </c>
      <c r="H4851" s="12" t="inlineStr">
        <is>
          <t>TM-1: trailer-mounted aeroderivative GT (TM2500 class, ~35 MW)</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7" t="n">
        <v>108</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I-I-0485</t>
        </is>
      </c>
      <c r="B4852" s="12" t="inlineStr">
        <is>
          <t>I</t>
        </is>
      </c>
      <c r="C4852" s="12" t="inlineStr">
        <is>
          <t>Modular / portable power</t>
        </is>
      </c>
      <c r="D4852" s="12" t="inlineStr">
        <is>
          <t>Home run JB-TM-1-AI05 to the control / marshalling room</t>
        </is>
      </c>
      <c r="E4852" s="12" t="inlineStr">
        <is>
          <t>PAD-EH</t>
        </is>
      </c>
      <c r="F4852" s="12" t="inlineStr">
        <is>
          <t>PAD-EH 13.8 kV switchgear e-house</t>
        </is>
      </c>
      <c r="G4852" s="12" t="inlineStr">
        <is>
          <t>JB-TM-1-AI05</t>
        </is>
      </c>
      <c r="H4852" s="12" t="inlineStr">
        <is>
          <t>TM-1: trailer-mounted aeroderivative GT (TM2500 class, ~35 MW)</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Surface</t>
        </is>
      </c>
      <c r="T4852" s="17" t="n">
        <v>382</v>
      </c>
      <c r="U4852" s="17" t="n">
        <v>50</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I-I-0486</t>
        </is>
      </c>
      <c r="B4853" s="12" t="inlineStr">
        <is>
          <t>I</t>
        </is>
      </c>
      <c r="C4853" s="12" t="inlineStr">
        <is>
          <t>Modular / portable power</t>
        </is>
      </c>
      <c r="D4853" s="12" t="inlineStr">
        <is>
          <t>Discrete device to JB JB-TM-1-DI01: 20 x 1 pr (field cables)</t>
        </is>
      </c>
      <c r="E4853" s="12" t="inlineStr">
        <is>
          <t>TM-1</t>
        </is>
      </c>
      <c r="F4853" s="12" t="inlineStr">
        <is>
          <t>TM-1: trailer-mounted aeroderivative GT (TM2500 class, ~35 MW)</t>
        </is>
      </c>
      <c r="G4853" s="12" t="inlineStr">
        <is>
          <t>JB-TM-1-DI01</t>
        </is>
      </c>
      <c r="H4853" s="12" t="inlineStr">
        <is>
          <t>TM-1: trailer-mounted aeroderivative GT (TM2500 class, ~35 MW)</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7" t="n">
        <v>108</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I-I-0487</t>
        </is>
      </c>
      <c r="B4854" s="12" t="inlineStr">
        <is>
          <t>I</t>
        </is>
      </c>
      <c r="C4854" s="12" t="inlineStr">
        <is>
          <t>Modular / portable power</t>
        </is>
      </c>
      <c r="D4854" s="12" t="inlineStr">
        <is>
          <t>Home run JB-TM-1-DI01 to the control / marshalling room</t>
        </is>
      </c>
      <c r="E4854" s="12" t="inlineStr">
        <is>
          <t>PAD-EH</t>
        </is>
      </c>
      <c r="F4854" s="12" t="inlineStr">
        <is>
          <t>PAD-EH 13.8 kV switchgear e-house</t>
        </is>
      </c>
      <c r="G4854" s="12" t="inlineStr">
        <is>
          <t>JB-TM-1-DI01</t>
        </is>
      </c>
      <c r="H4854" s="12" t="inlineStr">
        <is>
          <t>TM-1: trailer-mounted aeroderivative GT (TM2500 class, ~35 MW)</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Surface</t>
        </is>
      </c>
      <c r="T4854" s="17" t="n">
        <v>382</v>
      </c>
      <c r="U4854" s="17" t="n">
        <v>50</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I-I-0488</t>
        </is>
      </c>
      <c r="B4855" s="12" t="inlineStr">
        <is>
          <t>I</t>
        </is>
      </c>
      <c r="C4855" s="12" t="inlineStr">
        <is>
          <t>Modular / portable power</t>
        </is>
      </c>
      <c r="D4855" s="12" t="inlineStr">
        <is>
          <t>Discrete device to JB JB-TM-1-DI02: 20 x 1 pr (field cables)</t>
        </is>
      </c>
      <c r="E4855" s="12" t="inlineStr">
        <is>
          <t>TM-1</t>
        </is>
      </c>
      <c r="F4855" s="12" t="inlineStr">
        <is>
          <t>TM-1: trailer-mounted aeroderivative GT (TM2500 class, ~35 MW)</t>
        </is>
      </c>
      <c r="G4855" s="12" t="inlineStr">
        <is>
          <t>JB-TM-1-DI02</t>
        </is>
      </c>
      <c r="H4855" s="12" t="inlineStr">
        <is>
          <t>TM-1: trailer-mounted aeroderivative GT (TM2500 class, ~35 MW)</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7" t="n">
        <v>108</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I-I-0489</t>
        </is>
      </c>
      <c r="B4856" s="12" t="inlineStr">
        <is>
          <t>I</t>
        </is>
      </c>
      <c r="C4856" s="12" t="inlineStr">
        <is>
          <t>Modular / portable power</t>
        </is>
      </c>
      <c r="D4856" s="12" t="inlineStr">
        <is>
          <t>Home run JB-TM-1-DI02 to the control / marshalling room</t>
        </is>
      </c>
      <c r="E4856" s="12" t="inlineStr">
        <is>
          <t>PAD-EH</t>
        </is>
      </c>
      <c r="F4856" s="12" t="inlineStr">
        <is>
          <t>PAD-EH 13.8 kV switchgear e-house</t>
        </is>
      </c>
      <c r="G4856" s="12" t="inlineStr">
        <is>
          <t>JB-TM-1-DI02</t>
        </is>
      </c>
      <c r="H4856" s="12" t="inlineStr">
        <is>
          <t>TM-1: trailer-mounted aeroderivative GT (TM2500 class, ~35 MW)</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Surface</t>
        </is>
      </c>
      <c r="T4856" s="17" t="n">
        <v>382</v>
      </c>
      <c r="U4856" s="17" t="n">
        <v>50</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I-I-0490</t>
        </is>
      </c>
      <c r="B4857" s="12" t="inlineStr">
        <is>
          <t>I</t>
        </is>
      </c>
      <c r="C4857" s="12" t="inlineStr">
        <is>
          <t>Modular / portable power</t>
        </is>
      </c>
      <c r="D4857" s="12" t="inlineStr">
        <is>
          <t>Discrete device to JB JB-TM-1-DI03: 20 x 1 pr (field cables)</t>
        </is>
      </c>
      <c r="E4857" s="12" t="inlineStr">
        <is>
          <t>TM-1</t>
        </is>
      </c>
      <c r="F4857" s="12" t="inlineStr">
        <is>
          <t>TM-1: trailer-mounted aeroderivative GT (TM2500 class, ~35 MW)</t>
        </is>
      </c>
      <c r="G4857" s="12" t="inlineStr">
        <is>
          <t>JB-TM-1-DI03</t>
        </is>
      </c>
      <c r="H4857" s="12" t="inlineStr">
        <is>
          <t>TM-1: trailer-mounted aeroderivative GT (TM2500 class, ~35 MW)</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7" t="n">
        <v>108</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I-I-0491</t>
        </is>
      </c>
      <c r="B4858" s="12" t="inlineStr">
        <is>
          <t>I</t>
        </is>
      </c>
      <c r="C4858" s="12" t="inlineStr">
        <is>
          <t>Modular / portable power</t>
        </is>
      </c>
      <c r="D4858" s="12" t="inlineStr">
        <is>
          <t>Home run JB-TM-1-DI03 to the control / marshalling room</t>
        </is>
      </c>
      <c r="E4858" s="12" t="inlineStr">
        <is>
          <t>PAD-EH</t>
        </is>
      </c>
      <c r="F4858" s="12" t="inlineStr">
        <is>
          <t>PAD-EH 13.8 kV switchgear e-house</t>
        </is>
      </c>
      <c r="G4858" s="12" t="inlineStr">
        <is>
          <t>JB-TM-1-DI03</t>
        </is>
      </c>
      <c r="H4858" s="12" t="inlineStr">
        <is>
          <t>TM-1: trailer-mounted aeroderivative GT (TM2500 class, ~35 MW)</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Surface</t>
        </is>
      </c>
      <c r="T4858" s="17" t="n">
        <v>382</v>
      </c>
      <c r="U4858" s="17" t="n">
        <v>50</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I-I-0492</t>
        </is>
      </c>
      <c r="B4859" s="12" t="inlineStr">
        <is>
          <t>I</t>
        </is>
      </c>
      <c r="C4859" s="12" t="inlineStr">
        <is>
          <t>Modular / portable power</t>
        </is>
      </c>
      <c r="D4859" s="12" t="inlineStr">
        <is>
          <t>Thermocouple to TC JB JB-TM-1-TC01: 20 x 1 pr (field cables)</t>
        </is>
      </c>
      <c r="E4859" s="12" t="inlineStr">
        <is>
          <t>TM-1</t>
        </is>
      </c>
      <c r="F4859" s="12" t="inlineStr">
        <is>
          <t>TM-1: trailer-mounted aeroderivative GT (TM2500 class, ~35 MW)</t>
        </is>
      </c>
      <c r="G4859" s="12" t="inlineStr">
        <is>
          <t>JB-TM-1-TC01</t>
        </is>
      </c>
      <c r="H4859" s="12" t="inlineStr">
        <is>
          <t>TM-1: trailer-mounted aeroderivative GT (TM2500 class, ~35 MW)</t>
        </is>
      </c>
      <c r="I4859" s="12" t="inlineStr">
        <is>
          <t>Instrumentation</t>
        </is>
      </c>
      <c r="J4859" s="12" t="inlineStr">
        <is>
          <t>Thermocouple extension KX, #16 shielded pairs, PLTC</t>
        </is>
      </c>
      <c r="K4859" s="12" t="inlineStr">
        <is>
          <t>TCX|1 pr|16</t>
        </is>
      </c>
      <c r="L4859" s="12" t="inlineStr">
        <is>
          <t>1 pr</t>
        </is>
      </c>
      <c r="M4859" s="12" t="inlineStr">
        <is>
          <t>16</t>
        </is>
      </c>
      <c r="N4859" s="12" t="n">
        <v>20</v>
      </c>
      <c r="O4859" s="12" t="n">
        <v>1</v>
      </c>
      <c r="P4859" s="12" t="n"/>
      <c r="Q4859" s="12" t="n"/>
      <c r="R4859" s="12" t="n"/>
      <c r="S4859" s="12" t="inlineStr">
        <is>
          <t>Tray / conduit</t>
        </is>
      </c>
      <c r="T4859" s="17" t="n">
        <v>108</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I-I-0493</t>
        </is>
      </c>
      <c r="B4860" s="12" t="inlineStr">
        <is>
          <t>I</t>
        </is>
      </c>
      <c r="C4860" s="12" t="inlineStr">
        <is>
          <t>Modular / portable power</t>
        </is>
      </c>
      <c r="D4860" s="12" t="inlineStr">
        <is>
          <t>Home run JB-TM-1-TC01 to the control / marshalling room</t>
        </is>
      </c>
      <c r="E4860" s="12" t="inlineStr">
        <is>
          <t>PAD-EH</t>
        </is>
      </c>
      <c r="F4860" s="12" t="inlineStr">
        <is>
          <t>PAD-EH 13.8 kV switchgear e-house</t>
        </is>
      </c>
      <c r="G4860" s="12" t="inlineStr">
        <is>
          <t>JB-TM-1-TC01</t>
        </is>
      </c>
      <c r="H4860" s="12" t="inlineStr">
        <is>
          <t>TM-1: trailer-mounted aeroderivative GT (TM2500 class, ~35 MW)</t>
        </is>
      </c>
      <c r="I4860" s="12" t="inlineStr">
        <is>
          <t>Instrumentation</t>
        </is>
      </c>
      <c r="J4860" s="12" t="inlineStr">
        <is>
          <t>Thermocouple extension KX, #16 shielded pairs, PLTC</t>
        </is>
      </c>
      <c r="K4860" s="12" t="inlineStr">
        <is>
          <t>TCX|24 pr|16</t>
        </is>
      </c>
      <c r="L4860" s="12" t="inlineStr">
        <is>
          <t>24 pr</t>
        </is>
      </c>
      <c r="M4860" s="12" t="inlineStr">
        <is>
          <t>16</t>
        </is>
      </c>
      <c r="N4860" s="12" t="n">
        <v>1</v>
      </c>
      <c r="O4860" s="12" t="n">
        <v>1</v>
      </c>
      <c r="P4860" s="12" t="n"/>
      <c r="Q4860" s="12" t="n"/>
      <c r="R4860" s="12" t="n"/>
      <c r="S4860" s="12" t="inlineStr">
        <is>
          <t>Surface</t>
        </is>
      </c>
      <c r="T4860" s="17" t="n">
        <v>382</v>
      </c>
      <c r="U4860" s="17" t="n">
        <v>50</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I-I-0494</t>
        </is>
      </c>
      <c r="B4861" s="12" t="inlineStr">
        <is>
          <t>I</t>
        </is>
      </c>
      <c r="C4861" s="12" t="inlineStr">
        <is>
          <t>Modular / portable power</t>
        </is>
      </c>
      <c r="D4861" s="12" t="inlineStr">
        <is>
          <t>Analog instrument to JB JB-TM-2-AI01: 20 x 1 pr (field cables)</t>
        </is>
      </c>
      <c r="E4861" s="12" t="inlineStr">
        <is>
          <t>TM-2</t>
        </is>
      </c>
      <c r="F4861" s="12" t="inlineStr">
        <is>
          <t>TM-2: trailer-mounted aeroderivative GT (TM2500 class, ~35 MW)</t>
        </is>
      </c>
      <c r="G4861" s="12" t="inlineStr">
        <is>
          <t>JB-TM-2-AI01</t>
        </is>
      </c>
      <c r="H4861" s="12" t="inlineStr">
        <is>
          <t>TM-2: trailer-mounted aeroderivative GT (TM2500 class, ~35 MW)</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7" t="n">
        <v>108</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I-I-0495</t>
        </is>
      </c>
      <c r="B4862" s="12" t="inlineStr">
        <is>
          <t>I</t>
        </is>
      </c>
      <c r="C4862" s="12" t="inlineStr">
        <is>
          <t>Modular / portable power</t>
        </is>
      </c>
      <c r="D4862" s="12" t="inlineStr">
        <is>
          <t>Home run JB-TM-2-AI01 to the control / marshalling room</t>
        </is>
      </c>
      <c r="E4862" s="12" t="inlineStr">
        <is>
          <t>PAD-EH</t>
        </is>
      </c>
      <c r="F4862" s="12" t="inlineStr">
        <is>
          <t>PAD-EH 13.8 kV switchgear e-house</t>
        </is>
      </c>
      <c r="G4862" s="12" t="inlineStr">
        <is>
          <t>JB-TM-2-AI01</t>
        </is>
      </c>
      <c r="H4862" s="12" t="inlineStr">
        <is>
          <t>TM-2: trailer-mounted aeroderivative GT (TM2500 class, ~35 MW)</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Surface</t>
        </is>
      </c>
      <c r="T4862" s="17" t="n">
        <v>386</v>
      </c>
      <c r="U4862" s="17" t="n">
        <v>52</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I-I-0496</t>
        </is>
      </c>
      <c r="B4863" s="12" t="inlineStr">
        <is>
          <t>I</t>
        </is>
      </c>
      <c r="C4863" s="12" t="inlineStr">
        <is>
          <t>Modular / portable power</t>
        </is>
      </c>
      <c r="D4863" s="12" t="inlineStr">
        <is>
          <t>Analog instrument to JB JB-TM-2-AI02: 20 x 1 pr (field cables)</t>
        </is>
      </c>
      <c r="E4863" s="12" t="inlineStr">
        <is>
          <t>TM-2</t>
        </is>
      </c>
      <c r="F4863" s="12" t="inlineStr">
        <is>
          <t>TM-2: trailer-mounted aeroderivative GT (TM2500 class, ~35 MW)</t>
        </is>
      </c>
      <c r="G4863" s="12" t="inlineStr">
        <is>
          <t>JB-TM-2-AI02</t>
        </is>
      </c>
      <c r="H4863" s="12" t="inlineStr">
        <is>
          <t>TM-2: trailer-mounted aeroderivative GT (TM2500 class, ~35 MW)</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7" t="n">
        <v>108</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I-I-0497</t>
        </is>
      </c>
      <c r="B4864" s="12" t="inlineStr">
        <is>
          <t>I</t>
        </is>
      </c>
      <c r="C4864" s="12" t="inlineStr">
        <is>
          <t>Modular / portable power</t>
        </is>
      </c>
      <c r="D4864" s="12" t="inlineStr">
        <is>
          <t>Home run JB-TM-2-AI02 to the control / marshalling room</t>
        </is>
      </c>
      <c r="E4864" s="12" t="inlineStr">
        <is>
          <t>PAD-EH</t>
        </is>
      </c>
      <c r="F4864" s="12" t="inlineStr">
        <is>
          <t>PAD-EH 13.8 kV switchgear e-house</t>
        </is>
      </c>
      <c r="G4864" s="12" t="inlineStr">
        <is>
          <t>JB-TM-2-AI02</t>
        </is>
      </c>
      <c r="H4864" s="12" t="inlineStr">
        <is>
          <t>TM-2: trailer-mounted aeroderivative GT (TM2500 class, ~35 MW)</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Surface</t>
        </is>
      </c>
      <c r="T4864" s="17" t="n">
        <v>386</v>
      </c>
      <c r="U4864" s="17" t="n">
        <v>52</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I-I-0498</t>
        </is>
      </c>
      <c r="B4865" s="12" t="inlineStr">
        <is>
          <t>I</t>
        </is>
      </c>
      <c r="C4865" s="12" t="inlineStr">
        <is>
          <t>Modular / portable power</t>
        </is>
      </c>
      <c r="D4865" s="12" t="inlineStr">
        <is>
          <t>Analog instrument to JB JB-TM-2-AI03: 20 x 1 pr (field cables)</t>
        </is>
      </c>
      <c r="E4865" s="12" t="inlineStr">
        <is>
          <t>TM-2</t>
        </is>
      </c>
      <c r="F4865" s="12" t="inlineStr">
        <is>
          <t>TM-2: trailer-mounted aeroderivative GT (TM2500 class, ~35 MW)</t>
        </is>
      </c>
      <c r="G4865" s="12" t="inlineStr">
        <is>
          <t>JB-TM-2-AI03</t>
        </is>
      </c>
      <c r="H4865" s="12" t="inlineStr">
        <is>
          <t>TM-2: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108</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I-I-0499</t>
        </is>
      </c>
      <c r="B4866" s="12" t="inlineStr">
        <is>
          <t>I</t>
        </is>
      </c>
      <c r="C4866" s="12" t="inlineStr">
        <is>
          <t>Modular / portable power</t>
        </is>
      </c>
      <c r="D4866" s="12" t="inlineStr">
        <is>
          <t>Home run JB-TM-2-AI03 to the control / marshalling room</t>
        </is>
      </c>
      <c r="E4866" s="12" t="inlineStr">
        <is>
          <t>PAD-EH</t>
        </is>
      </c>
      <c r="F4866" s="12" t="inlineStr">
        <is>
          <t>PAD-EH 13.8 kV switchgear e-house</t>
        </is>
      </c>
      <c r="G4866" s="12" t="inlineStr">
        <is>
          <t>JB-TM-2-AI03</t>
        </is>
      </c>
      <c r="H4866" s="12" t="inlineStr">
        <is>
          <t>TM-2: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7" t="n">
        <v>386</v>
      </c>
      <c r="U4866" s="17" t="n">
        <v>52</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I-I-0500</t>
        </is>
      </c>
      <c r="B4867" s="12" t="inlineStr">
        <is>
          <t>I</t>
        </is>
      </c>
      <c r="C4867" s="12" t="inlineStr">
        <is>
          <t>Modular / portable power</t>
        </is>
      </c>
      <c r="D4867" s="12" t="inlineStr">
        <is>
          <t>Analog instrument to JB JB-TM-2-AI04: 20 x 1 pr (field cables)</t>
        </is>
      </c>
      <c r="E4867" s="12" t="inlineStr">
        <is>
          <t>TM-2</t>
        </is>
      </c>
      <c r="F4867" s="12" t="inlineStr">
        <is>
          <t>TM-2: trailer-mounted aeroderivative GT (TM2500 class, ~35 MW)</t>
        </is>
      </c>
      <c r="G4867" s="12" t="inlineStr">
        <is>
          <t>JB-TM-2-AI04</t>
        </is>
      </c>
      <c r="H4867" s="12" t="inlineStr">
        <is>
          <t>TM-2: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108</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I-I-0501</t>
        </is>
      </c>
      <c r="B4868" s="12" t="inlineStr">
        <is>
          <t>I</t>
        </is>
      </c>
      <c r="C4868" s="12" t="inlineStr">
        <is>
          <t>Modular / portable power</t>
        </is>
      </c>
      <c r="D4868" s="12" t="inlineStr">
        <is>
          <t>Home run JB-TM-2-AI04 to the control / marshalling room</t>
        </is>
      </c>
      <c r="E4868" s="12" t="inlineStr">
        <is>
          <t>PAD-EH</t>
        </is>
      </c>
      <c r="F4868" s="12" t="inlineStr">
        <is>
          <t>PAD-EH 13.8 kV switchgear e-house</t>
        </is>
      </c>
      <c r="G4868" s="12" t="inlineStr">
        <is>
          <t>JB-TM-2-AI04</t>
        </is>
      </c>
      <c r="H4868" s="12" t="inlineStr">
        <is>
          <t>TM-2: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7" t="n">
        <v>386</v>
      </c>
      <c r="U4868" s="17" t="n">
        <v>52</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I-I-0502</t>
        </is>
      </c>
      <c r="B4869" s="12" t="inlineStr">
        <is>
          <t>I</t>
        </is>
      </c>
      <c r="C4869" s="12" t="inlineStr">
        <is>
          <t>Modular / portable power</t>
        </is>
      </c>
      <c r="D4869" s="12" t="inlineStr">
        <is>
          <t>Analog instrument to JB JB-TM-2-AI05: 20 x 1 pr (field cables)</t>
        </is>
      </c>
      <c r="E4869" s="12" t="inlineStr">
        <is>
          <t>TM-2</t>
        </is>
      </c>
      <c r="F4869" s="12" t="inlineStr">
        <is>
          <t>TM-2: trailer-mounted aeroderivative GT (TM2500 class, ~35 MW)</t>
        </is>
      </c>
      <c r="G4869" s="12" t="inlineStr">
        <is>
          <t>JB-TM-2-AI05</t>
        </is>
      </c>
      <c r="H4869" s="12" t="inlineStr">
        <is>
          <t>TM-2: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7" t="n">
        <v>108</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I-I-0503</t>
        </is>
      </c>
      <c r="B4870" s="12" t="inlineStr">
        <is>
          <t>I</t>
        </is>
      </c>
      <c r="C4870" s="12" t="inlineStr">
        <is>
          <t>Modular / portable power</t>
        </is>
      </c>
      <c r="D4870" s="12" t="inlineStr">
        <is>
          <t>Home run JB-TM-2-AI05 to the control / marshalling room</t>
        </is>
      </c>
      <c r="E4870" s="12" t="inlineStr">
        <is>
          <t>PAD-EH</t>
        </is>
      </c>
      <c r="F4870" s="12" t="inlineStr">
        <is>
          <t>PAD-EH 13.8 kV switchgear e-house</t>
        </is>
      </c>
      <c r="G4870" s="12" t="inlineStr">
        <is>
          <t>JB-TM-2-AI05</t>
        </is>
      </c>
      <c r="H4870" s="12" t="inlineStr">
        <is>
          <t>TM-2: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7" t="n">
        <v>386</v>
      </c>
      <c r="U4870" s="17" t="n">
        <v>52</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I-I-0504</t>
        </is>
      </c>
      <c r="B4871" s="12" t="inlineStr">
        <is>
          <t>I</t>
        </is>
      </c>
      <c r="C4871" s="12" t="inlineStr">
        <is>
          <t>Modular / portable power</t>
        </is>
      </c>
      <c r="D4871" s="12" t="inlineStr">
        <is>
          <t>Discrete device to JB JB-TM-2-DI01: 20 x 1 pr (field cables)</t>
        </is>
      </c>
      <c r="E4871" s="12" t="inlineStr">
        <is>
          <t>TM-2</t>
        </is>
      </c>
      <c r="F4871" s="12" t="inlineStr">
        <is>
          <t>TM-2: trailer-mounted aeroderivative GT (TM2500 class, ~35 MW)</t>
        </is>
      </c>
      <c r="G4871" s="12" t="inlineStr">
        <is>
          <t>JB-TM-2-DI01</t>
        </is>
      </c>
      <c r="H4871" s="12" t="inlineStr">
        <is>
          <t>TM-2: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7" t="n">
        <v>108</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I-I-0505</t>
        </is>
      </c>
      <c r="B4872" s="12" t="inlineStr">
        <is>
          <t>I</t>
        </is>
      </c>
      <c r="C4872" s="12" t="inlineStr">
        <is>
          <t>Modular / portable power</t>
        </is>
      </c>
      <c r="D4872" s="12" t="inlineStr">
        <is>
          <t>Home run JB-TM-2-DI01 to the control / marshalling room</t>
        </is>
      </c>
      <c r="E4872" s="12" t="inlineStr">
        <is>
          <t>PAD-EH</t>
        </is>
      </c>
      <c r="F4872" s="12" t="inlineStr">
        <is>
          <t>PAD-EH 13.8 kV switchgear e-house</t>
        </is>
      </c>
      <c r="G4872" s="12" t="inlineStr">
        <is>
          <t>JB-TM-2-DI01</t>
        </is>
      </c>
      <c r="H4872" s="12" t="inlineStr">
        <is>
          <t>TM-2: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7" t="n">
        <v>386</v>
      </c>
      <c r="U4872" s="17" t="n">
        <v>52</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I-I-0506</t>
        </is>
      </c>
      <c r="B4873" s="12" t="inlineStr">
        <is>
          <t>I</t>
        </is>
      </c>
      <c r="C4873" s="12" t="inlineStr">
        <is>
          <t>Modular / portable power</t>
        </is>
      </c>
      <c r="D4873" s="12" t="inlineStr">
        <is>
          <t>Discrete device to JB JB-TM-2-DI02: 20 x 1 pr (field cables)</t>
        </is>
      </c>
      <c r="E4873" s="12" t="inlineStr">
        <is>
          <t>TM-2</t>
        </is>
      </c>
      <c r="F4873" s="12" t="inlineStr">
        <is>
          <t>TM-2: trailer-mounted aeroderivative GT (TM2500 class, ~35 MW)</t>
        </is>
      </c>
      <c r="G4873" s="12" t="inlineStr">
        <is>
          <t>JB-TM-2-DI02</t>
        </is>
      </c>
      <c r="H4873" s="12" t="inlineStr">
        <is>
          <t>TM-2: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7" t="n">
        <v>108</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I-I-0507</t>
        </is>
      </c>
      <c r="B4874" s="12" t="inlineStr">
        <is>
          <t>I</t>
        </is>
      </c>
      <c r="C4874" s="12" t="inlineStr">
        <is>
          <t>Modular / portable power</t>
        </is>
      </c>
      <c r="D4874" s="12" t="inlineStr">
        <is>
          <t>Home run JB-TM-2-DI02 to the control / marshalling room</t>
        </is>
      </c>
      <c r="E4874" s="12" t="inlineStr">
        <is>
          <t>PAD-EH</t>
        </is>
      </c>
      <c r="F4874" s="12" t="inlineStr">
        <is>
          <t>PAD-EH 13.8 kV switchgear e-house</t>
        </is>
      </c>
      <c r="G4874" s="12" t="inlineStr">
        <is>
          <t>JB-TM-2-DI02</t>
        </is>
      </c>
      <c r="H4874" s="12" t="inlineStr">
        <is>
          <t>TM-2: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7" t="n">
        <v>386</v>
      </c>
      <c r="U4874" s="17" t="n">
        <v>52</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I-I-0508</t>
        </is>
      </c>
      <c r="B4875" s="12" t="inlineStr">
        <is>
          <t>I</t>
        </is>
      </c>
      <c r="C4875" s="12" t="inlineStr">
        <is>
          <t>Modular / portable power</t>
        </is>
      </c>
      <c r="D4875" s="12" t="inlineStr">
        <is>
          <t>Discrete device to JB JB-TM-2-DI03: 20 x 1 pr (field cables)</t>
        </is>
      </c>
      <c r="E4875" s="12" t="inlineStr">
        <is>
          <t>TM-2</t>
        </is>
      </c>
      <c r="F4875" s="12" t="inlineStr">
        <is>
          <t>TM-2: trailer-mounted aeroderivative GT (TM2500 class, ~35 MW)</t>
        </is>
      </c>
      <c r="G4875" s="12" t="inlineStr">
        <is>
          <t>JB-TM-2-DI03</t>
        </is>
      </c>
      <c r="H4875" s="12" t="inlineStr">
        <is>
          <t>TM-2: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7" t="n">
        <v>108</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I-I-0509</t>
        </is>
      </c>
      <c r="B4876" s="12" t="inlineStr">
        <is>
          <t>I</t>
        </is>
      </c>
      <c r="C4876" s="12" t="inlineStr">
        <is>
          <t>Modular / portable power</t>
        </is>
      </c>
      <c r="D4876" s="12" t="inlineStr">
        <is>
          <t>Home run JB-TM-2-DI03 to the control / marshalling room</t>
        </is>
      </c>
      <c r="E4876" s="12" t="inlineStr">
        <is>
          <t>PAD-EH</t>
        </is>
      </c>
      <c r="F4876" s="12" t="inlineStr">
        <is>
          <t>PAD-EH 13.8 kV switchgear e-house</t>
        </is>
      </c>
      <c r="G4876" s="12" t="inlineStr">
        <is>
          <t>JB-TM-2-DI03</t>
        </is>
      </c>
      <c r="H4876" s="12" t="inlineStr">
        <is>
          <t>TM-2: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7" t="n">
        <v>386</v>
      </c>
      <c r="U4876" s="17" t="n">
        <v>52</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I-I-0510</t>
        </is>
      </c>
      <c r="B4877" s="12" t="inlineStr">
        <is>
          <t>I</t>
        </is>
      </c>
      <c r="C4877" s="12" t="inlineStr">
        <is>
          <t>Modular / portable power</t>
        </is>
      </c>
      <c r="D4877" s="12" t="inlineStr">
        <is>
          <t>Thermocouple to TC JB JB-TM-2-TC01: 20 x 1 pr (field cables)</t>
        </is>
      </c>
      <c r="E4877" s="12" t="inlineStr">
        <is>
          <t>TM-2</t>
        </is>
      </c>
      <c r="F4877" s="12" t="inlineStr">
        <is>
          <t>TM-2: trailer-mounted aeroderivative GT (TM2500 class, ~35 MW)</t>
        </is>
      </c>
      <c r="G4877" s="12" t="inlineStr">
        <is>
          <t>JB-TM-2-TC01</t>
        </is>
      </c>
      <c r="H4877" s="12" t="inlineStr">
        <is>
          <t>TM-2: trailer-mounted aeroderivative GT (TM2500 class, ~35 MW)</t>
        </is>
      </c>
      <c r="I4877" s="12" t="inlineStr">
        <is>
          <t>Instrumentation</t>
        </is>
      </c>
      <c r="J4877" s="12" t="inlineStr">
        <is>
          <t>Thermocouple extension KX, #16 shielded pairs, PLTC</t>
        </is>
      </c>
      <c r="K4877" s="12" t="inlineStr">
        <is>
          <t>TCX|1 pr|16</t>
        </is>
      </c>
      <c r="L4877" s="12" t="inlineStr">
        <is>
          <t>1 pr</t>
        </is>
      </c>
      <c r="M4877" s="12" t="inlineStr">
        <is>
          <t>16</t>
        </is>
      </c>
      <c r="N4877" s="12" t="n">
        <v>20</v>
      </c>
      <c r="O4877" s="12" t="n">
        <v>1</v>
      </c>
      <c r="P4877" s="12" t="n"/>
      <c r="Q4877" s="12" t="n"/>
      <c r="R4877" s="12" t="n"/>
      <c r="S4877" s="12" t="inlineStr">
        <is>
          <t>Tray / conduit</t>
        </is>
      </c>
      <c r="T4877" s="17" t="n">
        <v>108</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I-I-0511</t>
        </is>
      </c>
      <c r="B4878" s="12" t="inlineStr">
        <is>
          <t>I</t>
        </is>
      </c>
      <c r="C4878" s="12" t="inlineStr">
        <is>
          <t>Modular / portable power</t>
        </is>
      </c>
      <c r="D4878" s="12" t="inlineStr">
        <is>
          <t>Home run JB-TM-2-TC01 to the control / marshalling room</t>
        </is>
      </c>
      <c r="E4878" s="12" t="inlineStr">
        <is>
          <t>PAD-EH</t>
        </is>
      </c>
      <c r="F4878" s="12" t="inlineStr">
        <is>
          <t>PAD-EH 13.8 kV switchgear e-house</t>
        </is>
      </c>
      <c r="G4878" s="12" t="inlineStr">
        <is>
          <t>JB-TM-2-TC01</t>
        </is>
      </c>
      <c r="H4878" s="12" t="inlineStr">
        <is>
          <t>TM-2: trailer-mounted aeroderivative GT (TM2500 class, ~35 MW)</t>
        </is>
      </c>
      <c r="I4878" s="12" t="inlineStr">
        <is>
          <t>Instrumentation</t>
        </is>
      </c>
      <c r="J4878" s="12" t="inlineStr">
        <is>
          <t>Thermocouple extension KX, #16 shielded pairs, PLTC</t>
        </is>
      </c>
      <c r="K4878" s="12" t="inlineStr">
        <is>
          <t>TCX|24 pr|16</t>
        </is>
      </c>
      <c r="L4878" s="12" t="inlineStr">
        <is>
          <t>24 pr</t>
        </is>
      </c>
      <c r="M4878" s="12" t="inlineStr">
        <is>
          <t>16</t>
        </is>
      </c>
      <c r="N4878" s="12" t="n">
        <v>1</v>
      </c>
      <c r="O4878" s="12" t="n">
        <v>1</v>
      </c>
      <c r="P4878" s="12" t="n"/>
      <c r="Q4878" s="12" t="n"/>
      <c r="R4878" s="12" t="n"/>
      <c r="S4878" s="12" t="inlineStr">
        <is>
          <t>Surface</t>
        </is>
      </c>
      <c r="T4878" s="17" t="n">
        <v>386</v>
      </c>
      <c r="U4878" s="17" t="n">
        <v>52</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I-I-0512</t>
        </is>
      </c>
      <c r="B4879" s="12" t="inlineStr">
        <is>
          <t>I</t>
        </is>
      </c>
      <c r="C4879" s="12" t="inlineStr">
        <is>
          <t>Modular / portable power</t>
        </is>
      </c>
      <c r="D4879" s="12" t="inlineStr">
        <is>
          <t>Instrumentation</t>
        </is>
      </c>
      <c r="E4879" s="12" t="inlineStr"/>
      <c r="F4879" s="12" t="inlineStr">
        <is>
          <t>PCM: power control module</t>
        </is>
      </c>
      <c r="G4879" s="12" t="inlineStr"/>
      <c r="H4879" s="12" t="inlineStr">
        <is>
          <t>Water-injection skid</t>
        </is>
      </c>
      <c r="I4879" s="12" t="inlineStr">
        <is>
          <t>Instrumentation</t>
        </is>
      </c>
      <c r="J4879" s="12" t="inlineStr">
        <is>
          <t>Instrumentation PLTC / TC-ER 300 V, #18 twisted shielded pairs, overall shield</t>
        </is>
      </c>
      <c r="K4879" s="12" t="inlineStr">
        <is>
          <t>PLTC|4 pr|18</t>
        </is>
      </c>
      <c r="L4879" s="12" t="inlineStr">
        <is>
          <t>4 pr</t>
        </is>
      </c>
      <c r="M4879" s="12" t="inlineStr">
        <is>
          <t>18</t>
        </is>
      </c>
      <c r="N4879" s="12" t="n">
        <v>1</v>
      </c>
      <c r="O4879" s="12" t="n">
        <v>1</v>
      </c>
      <c r="P4879" s="12" t="n"/>
      <c r="Q4879" s="12" t="n"/>
      <c r="R4879" s="12" t="n"/>
      <c r="S4879" s="12" t="inlineStr">
        <is>
          <t>HV duct bank</t>
        </is>
      </c>
      <c r="T4879" s="17" t="n">
        <v>4344</v>
      </c>
      <c r="U4879" s="17" t="n">
        <v>53</v>
      </c>
      <c r="V4879" s="17">
        <f>ROUNDUP((T4879+U4879+2*'Read Me'!$B$13)*(1+'Read Me'!$B$12),-1)</f>
        <v/>
      </c>
      <c r="W4879" s="17">
        <f>V4879*N4879*O4879</f>
        <v/>
      </c>
      <c r="X4879" s="12">
        <f>IF(LEFT(I4879,2)="MV",2*N4879*IF(L4879="1/C",O4879,1),0)</f>
        <v/>
      </c>
      <c r="Y4879" s="12">
        <f>IF(OR(LEFT(K4879,4)="LVAX",LEFT(K4879,6)="MV15AX",LEFT(K4879,4)="CTAX",LEFT(K4879,2)="W|"),2*N4879*O4879,0)</f>
        <v/>
      </c>
      <c r="Z4879" s="12" t="inlineStr"/>
      <c r="AA4879" s="12">
        <f>N4879*O4879</f>
        <v/>
      </c>
    </row>
    <row r="4880">
      <c r="A4880" s="12" t="inlineStr">
        <is>
          <t>I-I-0513</t>
        </is>
      </c>
      <c r="B4880" s="12" t="inlineStr">
        <is>
          <t>I</t>
        </is>
      </c>
      <c r="C4880" s="12" t="inlineStr">
        <is>
          <t>Modular / portable power</t>
        </is>
      </c>
      <c r="D4880" s="12" t="inlineStr">
        <is>
          <t>Instrumentation</t>
        </is>
      </c>
      <c r="E4880" s="12" t="inlineStr"/>
      <c r="F4880" s="12" t="inlineStr">
        <is>
          <t>PCM: power control module</t>
        </is>
      </c>
      <c r="G4880" s="12" t="inlineStr"/>
      <c r="H4880" s="12" t="inlineStr">
        <is>
          <t>Water-injection skid</t>
        </is>
      </c>
      <c r="I4880" s="12" t="inlineStr">
        <is>
          <t>Instrumentation</t>
        </is>
      </c>
      <c r="J4880" s="12" t="inlineStr">
        <is>
          <t>Instrumentation PLTC / TC-ER 300 V, #18 twisted shielded pairs, overall shield</t>
        </is>
      </c>
      <c r="K4880" s="12" t="inlineStr">
        <is>
          <t>PLTC|12 pr|18</t>
        </is>
      </c>
      <c r="L4880" s="12" t="inlineStr">
        <is>
          <t>12 pr</t>
        </is>
      </c>
      <c r="M4880" s="12" t="inlineStr">
        <is>
          <t>18</t>
        </is>
      </c>
      <c r="N4880" s="12" t="n">
        <v>1</v>
      </c>
      <c r="O4880" s="12" t="n">
        <v>1</v>
      </c>
      <c r="P4880" s="12" t="n"/>
      <c r="Q4880" s="12" t="n"/>
      <c r="R4880" s="12" t="n"/>
      <c r="S4880" s="12" t="inlineStr">
        <is>
          <t>HV duct bank</t>
        </is>
      </c>
      <c r="T4880" s="17" t="n">
        <v>4344</v>
      </c>
      <c r="U4880" s="17" t="n">
        <v>53</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I-P-0001</t>
        </is>
      </c>
      <c r="B4881" s="12" t="inlineStr">
        <is>
          <t>I</t>
        </is>
      </c>
      <c r="C4881" s="12" t="inlineStr">
        <is>
          <t>Modular / portable power</t>
        </is>
      </c>
      <c r="D4881" s="12" t="inlineStr">
        <is>
          <t>LV power feeder</t>
        </is>
      </c>
      <c r="E4881" s="12" t="inlineStr"/>
      <c r="F4881" s="12" t="inlineStr">
        <is>
          <t>MOD-LV 480 V board + 480 V : 13.8 kV step-up</t>
        </is>
      </c>
      <c r="G4881" s="12" t="inlineStr"/>
      <c r="H4881" s="12" t="inlineStr">
        <is>
          <t>Aqueous ammonia (SC units)</t>
        </is>
      </c>
      <c r="I4881" s="12" t="inlineStr">
        <is>
          <t>LV 600 V</t>
        </is>
      </c>
      <c r="J4881" s="12" t="inlineStr">
        <is>
          <t>Type TC-ER 600 V 3/C Cu XHHW-2 + ground, PVC jacket</t>
        </is>
      </c>
      <c r="K4881" s="12" t="inlineStr">
        <is>
          <t>LV|3/C+G|1/0</t>
        </is>
      </c>
      <c r="L4881" s="12" t="inlineStr">
        <is>
          <t>3/C+G</t>
        </is>
      </c>
      <c r="M4881" s="12" t="inlineStr">
        <is>
          <t>1/0</t>
        </is>
      </c>
      <c r="N4881" s="12" t="n">
        <v>1</v>
      </c>
      <c r="O4881" s="12" t="n">
        <v>1</v>
      </c>
      <c r="P4881" s="12" t="n">
        <v>480</v>
      </c>
      <c r="Q4881" s="12" t="n">
        <v>10</v>
      </c>
      <c r="R4881" s="12" t="n">
        <v>14.2</v>
      </c>
      <c r="S4881" s="12" t="inlineStr">
        <is>
          <t>HV duct bank</t>
        </is>
      </c>
      <c r="T4881" s="17" t="n">
        <v>4246</v>
      </c>
      <c r="U4881" s="17" t="n">
        <v>38</v>
      </c>
      <c r="V4881" s="17">
        <f>ROUNDUP((T4881+U4881+2*'Read Me'!$B$13)*(1+'Read Me'!$B$12),-1)</f>
        <v/>
      </c>
      <c r="W4881" s="17">
        <f>V4881*N4881*O4881</f>
        <v/>
      </c>
      <c r="X4881" s="12">
        <f>IF(LEFT(I4881,2)="MV",2*N4881*IF(L4881="1/C",O4881,1),0)</f>
        <v/>
      </c>
      <c r="Y4881" s="12">
        <f>IF(OR(LEFT(K4881,4)="LVAX",LEFT(K4881,6)="MV15AX",LEFT(K4881,4)="CTAX",LEFT(K4881,2)="W|"),2*N4881*O4881,0)</f>
        <v/>
      </c>
      <c r="Z4881" s="12" t="inlineStr">
        <is>
          <t>VD 2.9 %</t>
        </is>
      </c>
      <c r="AA4881" s="12">
        <f>N4881*O4881</f>
        <v/>
      </c>
    </row>
    <row r="4882">
      <c r="A4882" s="12" t="inlineStr">
        <is>
          <t>I-P-0002</t>
        </is>
      </c>
      <c r="B4882" s="12" t="inlineStr">
        <is>
          <t>I</t>
        </is>
      </c>
      <c r="C4882" s="12" t="inlineStr">
        <is>
          <t>Modular / portable power</t>
        </is>
      </c>
      <c r="D4882" s="12" t="inlineStr">
        <is>
          <t>Black-start genset output</t>
        </is>
      </c>
      <c r="E4882" s="12" t="inlineStr"/>
      <c r="F4882" s="12" t="inlineStr">
        <is>
          <t>Black-start genset (proposed; requires study)</t>
        </is>
      </c>
      <c r="G4882" s="12" t="inlineStr"/>
      <c r="H4882" s="12" t="inlineStr">
        <is>
          <t>BS black-start switchgear</t>
        </is>
      </c>
      <c r="I4882" s="12" t="inlineStr">
        <is>
          <t>LV 600 V</t>
        </is>
      </c>
      <c r="J4882" s="12" t="inlineStr">
        <is>
          <t>Type TC-ER 600 V 3/C Cu XHHW-2 + ground, PVC jacket</t>
        </is>
      </c>
      <c r="K4882" s="12" t="inlineStr">
        <is>
          <t>LV|3/C+G|500</t>
        </is>
      </c>
      <c r="L4882" s="12" t="inlineStr">
        <is>
          <t>3/C+G</t>
        </is>
      </c>
      <c r="M4882" s="12" t="inlineStr">
        <is>
          <t>500 kcmil</t>
        </is>
      </c>
      <c r="N4882" s="12" t="n">
        <v>10</v>
      </c>
      <c r="O4882" s="12" t="n">
        <v>1</v>
      </c>
      <c r="P4882" s="12" t="n">
        <v>480</v>
      </c>
      <c r="Q4882" s="12" t="n">
        <v>2000</v>
      </c>
      <c r="R4882" s="12" t="n">
        <v>2532.3</v>
      </c>
      <c r="S4882" s="12" t="inlineStr">
        <is>
          <t>Tray</t>
        </is>
      </c>
      <c r="T4882" s="17" t="n">
        <v>0</v>
      </c>
      <c r="U4882" s="17" t="n">
        <v>41</v>
      </c>
      <c r="V4882" s="17">
        <f>ROUNDUP((T4882+U4882+2*'Read Me'!$B$13)*(1+'Read Me'!$B$12),-1)</f>
        <v/>
      </c>
      <c r="W4882" s="17">
        <f>V4882*N4882*O4882</f>
        <v/>
      </c>
      <c r="X4882" s="12">
        <f>IF(LEFT(I4882,2)="MV",2*N4882*IF(L4882="1/C",O4882,1),0)</f>
        <v/>
      </c>
      <c r="Y4882" s="12">
        <f>IF(OR(LEFT(K4882,4)="LVAX",LEFT(K4882,6)="MV15AX",LEFT(K4882,4)="CTAX",LEFT(K4882,2)="W|"),2*N4882*O4882,0)</f>
        <v/>
      </c>
      <c r="Z4882" s="12" t="inlineStr">
        <is>
          <t>VD 0.1 %</t>
        </is>
      </c>
      <c r="AA4882" s="12">
        <f>N4882*O4882</f>
        <v/>
      </c>
    </row>
    <row r="4883">
      <c r="A4883" s="12" t="inlineStr">
        <is>
          <t>I-P-0003</t>
        </is>
      </c>
      <c r="B4883" s="12" t="inlineStr">
        <is>
          <t>I</t>
        </is>
      </c>
      <c r="C4883" s="12" t="inlineStr">
        <is>
          <t>Modular / portable power</t>
        </is>
      </c>
      <c r="D4883" s="12" t="inlineStr">
        <is>
          <t>Black-start genset output</t>
        </is>
      </c>
      <c r="E4883" s="12" t="inlineStr"/>
      <c r="F4883" s="12" t="inlineStr">
        <is>
          <t>Black-start genset (proposed; requires study)</t>
        </is>
      </c>
      <c r="G4883" s="12" t="inlineStr"/>
      <c r="H4883" s="12" t="inlineStr">
        <is>
          <t>BS black-start switchgear</t>
        </is>
      </c>
      <c r="I4883" s="12" t="inlineStr">
        <is>
          <t>LV 600 V</t>
        </is>
      </c>
      <c r="J4883" s="12" t="inlineStr">
        <is>
          <t>Type TC-ER 600 V 3/C Cu XHHW-2 + ground, PVC jacket</t>
        </is>
      </c>
      <c r="K4883" s="12" t="inlineStr">
        <is>
          <t>LV|3/C+G|500</t>
        </is>
      </c>
      <c r="L4883" s="12" t="inlineStr">
        <is>
          <t>3/C+G</t>
        </is>
      </c>
      <c r="M4883" s="12" t="inlineStr">
        <is>
          <t>500 kcmil</t>
        </is>
      </c>
      <c r="N4883" s="12" t="n">
        <v>10</v>
      </c>
      <c r="O4883" s="12" t="n">
        <v>1</v>
      </c>
      <c r="P4883" s="12" t="n">
        <v>480</v>
      </c>
      <c r="Q4883" s="12" t="n">
        <v>2000</v>
      </c>
      <c r="R4883" s="12" t="n">
        <v>2532.3</v>
      </c>
      <c r="S4883" s="12" t="inlineStr">
        <is>
          <t>Tray</t>
        </is>
      </c>
      <c r="T4883" s="17" t="n">
        <v>0</v>
      </c>
      <c r="U4883" s="17" t="n">
        <v>49</v>
      </c>
      <c r="V4883" s="17">
        <f>ROUNDUP((T4883+U4883+2*'Read Me'!$B$13)*(1+'Read Me'!$B$12),-1)</f>
        <v/>
      </c>
      <c r="W4883" s="17">
        <f>V4883*N4883*O4883</f>
        <v/>
      </c>
      <c r="X4883" s="12">
        <f>IF(LEFT(I4883,2)="MV",2*N4883*IF(L4883="1/C",O4883,1),0)</f>
        <v/>
      </c>
      <c r="Y4883" s="12">
        <f>IF(OR(LEFT(K4883,4)="LVAX",LEFT(K4883,6)="MV15AX",LEFT(K4883,4)="CTAX",LEFT(K4883,2)="W|"),2*N4883*O4883,0)</f>
        <v/>
      </c>
      <c r="Z4883" s="12" t="inlineStr">
        <is>
          <t>VD 0.1 %</t>
        </is>
      </c>
      <c r="AA4883" s="12">
        <f>N4883*O4883</f>
        <v/>
      </c>
    </row>
    <row r="4884">
      <c r="A4884" s="12" t="inlineStr">
        <is>
          <t>I-P-0004</t>
        </is>
      </c>
      <c r="B4884" s="12" t="inlineStr">
        <is>
          <t>I</t>
        </is>
      </c>
      <c r="C4884" s="12" t="inlineStr">
        <is>
          <t>Modular / portable power</t>
        </is>
      </c>
      <c r="D4884" s="12" t="inlineStr">
        <is>
          <t>LV power feeder</t>
        </is>
      </c>
      <c r="E4884" s="12" t="inlineStr"/>
      <c r="F4884" s="12" t="inlineStr">
        <is>
          <t>PCM: power control module</t>
        </is>
      </c>
      <c r="G4884" s="12" t="inlineStr"/>
      <c r="H4884" s="12" t="inlineStr">
        <is>
          <t>BS black-start switchgear</t>
        </is>
      </c>
      <c r="I4884" s="12" t="inlineStr">
        <is>
          <t>LV 600 V</t>
        </is>
      </c>
      <c r="J4884" s="12" t="inlineStr">
        <is>
          <t>Type TC-ER 600 V 3/C Cu XHHW-2 + ground, PVC jacket</t>
        </is>
      </c>
      <c r="K4884" s="12" t="inlineStr">
        <is>
          <t>LV|3/C+G|6</t>
        </is>
      </c>
      <c r="L4884" s="12" t="inlineStr">
        <is>
          <t>3/C+G</t>
        </is>
      </c>
      <c r="M4884" s="12" t="inlineStr">
        <is>
          <t>6</t>
        </is>
      </c>
      <c r="N4884" s="12" t="n">
        <v>1</v>
      </c>
      <c r="O4884" s="12" t="n">
        <v>1</v>
      </c>
      <c r="P4884" s="12" t="n">
        <v>480</v>
      </c>
      <c r="Q4884" s="12" t="n">
        <v>15</v>
      </c>
      <c r="R4884" s="12" t="n">
        <v>21.2</v>
      </c>
      <c r="S4884" s="12" t="inlineStr">
        <is>
          <t>Duct bank</t>
        </is>
      </c>
      <c r="T4884" s="17" t="n">
        <v>562</v>
      </c>
      <c r="U4884" s="17" t="n">
        <v>64</v>
      </c>
      <c r="V4884" s="17">
        <f>ROUNDUP((T4884+U4884+2*'Read Me'!$B$13)*(1+'Read Me'!$B$12),-1)</f>
        <v/>
      </c>
      <c r="W4884" s="17">
        <f>V4884*N4884*O4884</f>
        <v/>
      </c>
      <c r="X4884" s="12">
        <f>IF(LEFT(I4884,2)="MV",2*N4884*IF(L4884="1/C",O4884,1),0)</f>
        <v/>
      </c>
      <c r="Y4884" s="12">
        <f>IF(OR(LEFT(K4884,4)="LVAX",LEFT(K4884,6)="MV15AX",LEFT(K4884,4)="CTAX",LEFT(K4884,2)="W|"),2*N4884*O4884,0)</f>
        <v/>
      </c>
      <c r="Z4884" s="12" t="inlineStr">
        <is>
          <t>VD 2.6 %</t>
        </is>
      </c>
      <c r="AA4884" s="12">
        <f>N4884*O4884</f>
        <v/>
      </c>
    </row>
    <row r="4885">
      <c r="A4885" s="12" t="inlineStr">
        <is>
          <t>I-P-0005</t>
        </is>
      </c>
      <c r="B4885" s="12" t="inlineStr">
        <is>
          <t>I</t>
        </is>
      </c>
      <c r="C4885" s="12" t="inlineStr">
        <is>
          <t>Modular / portable power</t>
        </is>
      </c>
      <c r="D4885" s="12" t="inlineStr">
        <is>
          <t>LV power feeder</t>
        </is>
      </c>
      <c r="E4885" s="12" t="inlineStr"/>
      <c r="F4885" s="12" t="inlineStr">
        <is>
          <t>PCM: power control module</t>
        </is>
      </c>
      <c r="G4885" s="12" t="inlineStr"/>
      <c r="H4885" s="12" t="inlineStr">
        <is>
          <t>CONDITIONAL: BESS black-start alternative</t>
        </is>
      </c>
      <c r="I4885" s="12" t="inlineStr">
        <is>
          <t>LV 600 V</t>
        </is>
      </c>
      <c r="J4885" s="12" t="inlineStr">
        <is>
          <t>Type TC-ER 600 V 3/C Cu XHHW-2 + ground, PVC jacket</t>
        </is>
      </c>
      <c r="K4885" s="12" t="inlineStr">
        <is>
          <t>LV|3/C+G|6</t>
        </is>
      </c>
      <c r="L4885" s="12" t="inlineStr">
        <is>
          <t>3/C+G</t>
        </is>
      </c>
      <c r="M4885" s="12" t="inlineStr">
        <is>
          <t>6</t>
        </is>
      </c>
      <c r="N4885" s="12" t="n">
        <v>1</v>
      </c>
      <c r="O4885" s="12" t="n">
        <v>1</v>
      </c>
      <c r="P4885" s="12" t="n">
        <v>480</v>
      </c>
      <c r="Q4885" s="12" t="n">
        <v>15</v>
      </c>
      <c r="R4885" s="12" t="n">
        <v>21.2</v>
      </c>
      <c r="S4885" s="12" t="inlineStr">
        <is>
          <t>Duct bank</t>
        </is>
      </c>
      <c r="T4885" s="17" t="n">
        <v>550</v>
      </c>
      <c r="U4885" s="17" t="n">
        <v>32</v>
      </c>
      <c r="V4885" s="17">
        <f>ROUNDUP((T4885+U4885+2*'Read Me'!$B$13)*(1+'Read Me'!$B$12),-1)</f>
        <v/>
      </c>
      <c r="W4885" s="17">
        <f>V4885*N4885*O4885</f>
        <v/>
      </c>
      <c r="X4885" s="12">
        <f>IF(LEFT(I4885,2)="MV",2*N4885*IF(L4885="1/C",O4885,1),0)</f>
        <v/>
      </c>
      <c r="Y4885" s="12">
        <f>IF(OR(LEFT(K4885,4)="LVAX",LEFT(K4885,6)="MV15AX",LEFT(K4885,4)="CTAX",LEFT(K4885,2)="W|"),2*N4885*O4885,0)</f>
        <v/>
      </c>
      <c r="Z4885" s="12" t="inlineStr">
        <is>
          <t>VD 2.4 %</t>
        </is>
      </c>
      <c r="AA4885" s="12">
        <f>N4885*O4885</f>
        <v/>
      </c>
    </row>
    <row r="4886">
      <c r="A4886" s="12" t="inlineStr">
        <is>
          <t>I-P-0006</t>
        </is>
      </c>
      <c r="B4886" s="12" t="inlineStr">
        <is>
          <t>I</t>
        </is>
      </c>
      <c r="C4886" s="12" t="inlineStr">
        <is>
          <t>Modular / portable power</t>
        </is>
      </c>
      <c r="D4886" s="12" t="inlineStr">
        <is>
          <t>LV power feeder</t>
        </is>
      </c>
      <c r="E4886" s="12" t="inlineStr"/>
      <c r="F4886" s="12" t="inlineStr">
        <is>
          <t>PCM: power control module</t>
        </is>
      </c>
      <c r="G4886" s="12" t="inlineStr"/>
      <c r="H4886" s="12" t="inlineStr">
        <is>
          <t>CONDITIONAL: SC-1 inlet chiller / evaporative cooler</t>
        </is>
      </c>
      <c r="I4886" s="12" t="inlineStr">
        <is>
          <t>LV 600 V</t>
        </is>
      </c>
      <c r="J4886" s="12" t="inlineStr">
        <is>
          <t>Type TC-ER 600 V 3/C Cu XHHW-2 + ground, PVC jacket</t>
        </is>
      </c>
      <c r="K4886" s="12" t="inlineStr">
        <is>
          <t>LV|3/C+G|350</t>
        </is>
      </c>
      <c r="L4886" s="12" t="inlineStr">
        <is>
          <t>3/C+G</t>
        </is>
      </c>
      <c r="M4886" s="12" t="inlineStr">
        <is>
          <t>350 kcmil</t>
        </is>
      </c>
      <c r="N4886" s="12" t="n">
        <v>3</v>
      </c>
      <c r="O4886" s="12" t="n">
        <v>1</v>
      </c>
      <c r="P4886" s="12" t="n">
        <v>480</v>
      </c>
      <c r="Q4886" s="12" t="n">
        <v>500</v>
      </c>
      <c r="R4886" s="12" t="n">
        <v>707.6</v>
      </c>
      <c r="S4886" s="12" t="inlineStr">
        <is>
          <t>Duct bank</t>
        </is>
      </c>
      <c r="T4886" s="17" t="n">
        <v>40</v>
      </c>
      <c r="U4886" s="17" t="n">
        <v>52</v>
      </c>
      <c r="V4886" s="17">
        <f>ROUNDUP((T4886+U4886+2*'Read Me'!$B$13)*(1+'Read Me'!$B$12),-1)</f>
        <v/>
      </c>
      <c r="W4886" s="17">
        <f>V4886*N4886*O4886</f>
        <v/>
      </c>
      <c r="X4886" s="12">
        <f>IF(LEFT(I4886,2)="MV",2*N4886*IF(L4886="1/C",O4886,1),0)</f>
        <v/>
      </c>
      <c r="Y4886" s="12">
        <f>IF(OR(LEFT(K4886,4)="LVAX",LEFT(K4886,6)="MV15AX",LEFT(K4886,4)="CTAX",LEFT(K4886,2)="W|"),2*N4886*O4886,0)</f>
        <v/>
      </c>
      <c r="Z4886" s="12" t="inlineStr">
        <is>
          <t>VD 0.3 %</t>
        </is>
      </c>
      <c r="AA4886" s="12">
        <f>N4886*O4886</f>
        <v/>
      </c>
    </row>
    <row r="4887">
      <c r="A4887" s="12" t="inlineStr">
        <is>
          <t>I-P-0007</t>
        </is>
      </c>
      <c r="B4887" s="12" t="inlineStr">
        <is>
          <t>I</t>
        </is>
      </c>
      <c r="C4887" s="12" t="inlineStr">
        <is>
          <t>Modular / portable power</t>
        </is>
      </c>
      <c r="D4887" s="12" t="inlineStr">
        <is>
          <t>LV power feeder</t>
        </is>
      </c>
      <c r="E4887" s="12" t="inlineStr"/>
      <c r="F4887" s="12" t="inlineStr">
        <is>
          <t>MOD-LV 480 V board + 480 V : 13.8 kV step-up</t>
        </is>
      </c>
      <c r="G4887" s="12" t="inlineStr"/>
      <c r="H4887" s="12" t="inlineStr">
        <is>
          <t>CONDITIONAL: SC-2 inlet chiller / evaporative cooler</t>
        </is>
      </c>
      <c r="I4887" s="12" t="inlineStr">
        <is>
          <t>LV 600 V</t>
        </is>
      </c>
      <c r="J4887" s="12" t="inlineStr">
        <is>
          <t>Type TC-ER 600 V 3/C Cu XHHW-2 + ground, PVC jacket</t>
        </is>
      </c>
      <c r="K4887" s="12" t="inlineStr">
        <is>
          <t>LV|3/C+G|500</t>
        </is>
      </c>
      <c r="L4887" s="12" t="inlineStr">
        <is>
          <t>3/C+G</t>
        </is>
      </c>
      <c r="M4887" s="12" t="inlineStr">
        <is>
          <t>500 kcmil</t>
        </is>
      </c>
      <c r="N4887" s="12" t="n">
        <v>12</v>
      </c>
      <c r="O4887" s="12" t="n">
        <v>1</v>
      </c>
      <c r="P4887" s="12" t="n">
        <v>480</v>
      </c>
      <c r="Q4887" s="12" t="n">
        <v>500</v>
      </c>
      <c r="R4887" s="12" t="n">
        <v>707.6</v>
      </c>
      <c r="S4887" s="12" t="inlineStr">
        <is>
          <t>HV duct bank</t>
        </is>
      </c>
      <c r="T4887" s="17" t="n">
        <v>4434</v>
      </c>
      <c r="U4887" s="17" t="n">
        <v>38</v>
      </c>
      <c r="V4887" s="17">
        <f>ROUNDUP((T4887+U4887+2*'Read Me'!$B$13)*(1+'Read Me'!$B$12),-1)</f>
        <v/>
      </c>
      <c r="W4887" s="17">
        <f>V4887*N4887*O4887</f>
        <v/>
      </c>
      <c r="X4887" s="12">
        <f>IF(LEFT(I4887,2)="MV",2*N4887*IF(L4887="1/C",O4887,1),0)</f>
        <v/>
      </c>
      <c r="Y4887" s="12">
        <f>IF(OR(LEFT(K4887,4)="LVAX",LEFT(K4887,6)="MV15AX",LEFT(K4887,4)="CTAX",LEFT(K4887,2)="W|"),2*N4887*O4887,0)</f>
        <v/>
      </c>
      <c r="Z4887" s="12" t="inlineStr">
        <is>
          <t>VD 2.7 %</t>
        </is>
      </c>
      <c r="AA4887" s="12">
        <f>N4887*O4887</f>
        <v/>
      </c>
    </row>
    <row r="4888">
      <c r="A4888" s="12" t="inlineStr">
        <is>
          <t>I-P-0008</t>
        </is>
      </c>
      <c r="B4888" s="12" t="inlineStr">
        <is>
          <t>I</t>
        </is>
      </c>
      <c r="C4888" s="12" t="inlineStr">
        <is>
          <t>Modular / portable power</t>
        </is>
      </c>
      <c r="D4888" s="12" t="inlineStr">
        <is>
          <t>FC-5 SOFC output to inverter / AC cabinet</t>
        </is>
      </c>
      <c r="E4888" s="12" t="inlineStr">
        <is>
          <t>FC-5</t>
        </is>
      </c>
      <c r="F4888" s="12" t="inlineStr">
        <is>
          <t>FC-5: SOFC module (Bloom ES5 class, 200-300 kW)</t>
        </is>
      </c>
      <c r="G4888" s="12" t="inlineStr"/>
      <c r="H4888" s="12" t="inlineStr">
        <is>
          <t>FC-5..12 inverter / AC cabinet / desulfurizer</t>
        </is>
      </c>
      <c r="I4888" s="12" t="inlineStr">
        <is>
          <t>LV 600 V</t>
        </is>
      </c>
      <c r="J4888" s="12" t="inlineStr">
        <is>
          <t>Type TC-ER 600 V 3/C Cu XHHW-2 + ground, PVC jacket</t>
        </is>
      </c>
      <c r="K4888" s="12" t="inlineStr">
        <is>
          <t>LV|3/C+G|3/0</t>
        </is>
      </c>
      <c r="L4888" s="12" t="inlineStr">
        <is>
          <t>3/C+G</t>
        </is>
      </c>
      <c r="M4888" s="12" t="inlineStr">
        <is>
          <t>3/0</t>
        </is>
      </c>
      <c r="N4888" s="12" t="n">
        <v>2</v>
      </c>
      <c r="O4888" s="12" t="n">
        <v>1</v>
      </c>
      <c r="P4888" s="12" t="n">
        <v>480</v>
      </c>
      <c r="Q4888" s="12" t="n">
        <v>250</v>
      </c>
      <c r="R4888" s="12" t="n">
        <v>316.5</v>
      </c>
      <c r="S4888" s="12" t="inlineStr">
        <is>
          <t>Duct bank</t>
        </is>
      </c>
      <c r="T4888" s="17" t="n">
        <v>139</v>
      </c>
      <c r="U4888" s="17" t="n">
        <v>32</v>
      </c>
      <c r="V4888" s="17">
        <f>ROUNDUP((T4888+U4888+2*'Read Me'!$B$13)*(1+'Read Me'!$B$12),-1)</f>
        <v/>
      </c>
      <c r="W4888" s="17">
        <f>V4888*N4888*O4888</f>
        <v/>
      </c>
      <c r="X4888" s="12">
        <f>IF(LEFT(I4888,2)="MV",2*N4888*IF(L4888="1/C",O4888,1),0)</f>
        <v/>
      </c>
      <c r="Y4888" s="12">
        <f>IF(OR(LEFT(K4888,4)="LVAX",LEFT(K4888,6)="MV15AX",LEFT(K4888,4)="CTAX",LEFT(K4888,2)="W|"),2*N4888*O4888,0)</f>
        <v/>
      </c>
      <c r="Z4888" s="12" t="inlineStr">
        <is>
          <t>VD 0.8 %</t>
        </is>
      </c>
      <c r="AA4888" s="12">
        <f>N4888*O4888</f>
        <v/>
      </c>
    </row>
    <row r="4889">
      <c r="A4889" s="12" t="inlineStr">
        <is>
          <t>I-P-0009</t>
        </is>
      </c>
      <c r="B4889" s="12" t="inlineStr">
        <is>
          <t>I</t>
        </is>
      </c>
      <c r="C4889" s="12" t="inlineStr">
        <is>
          <t>Modular / portable power</t>
        </is>
      </c>
      <c r="D4889" s="12" t="inlineStr">
        <is>
          <t>FC-6 SOFC output to inverter / AC cabinet</t>
        </is>
      </c>
      <c r="E4889" s="12" t="inlineStr">
        <is>
          <t>FC-6</t>
        </is>
      </c>
      <c r="F4889" s="12" t="inlineStr">
        <is>
          <t>FC-6: SOFC module (Bloom ES5 class, 200-300 kW)</t>
        </is>
      </c>
      <c r="G4889" s="12" t="inlineStr"/>
      <c r="H4889" s="12" t="inlineStr">
        <is>
          <t>FC-5..12 inverter / AC cabinet / desulfurizer</t>
        </is>
      </c>
      <c r="I4889" s="12" t="inlineStr">
        <is>
          <t>LV 600 V</t>
        </is>
      </c>
      <c r="J4889" s="12" t="inlineStr">
        <is>
          <t>Type TC-ER 600 V 3/C Cu XHHW-2 + ground, PVC jacket</t>
        </is>
      </c>
      <c r="K4889" s="12" t="inlineStr">
        <is>
          <t>LV|3/C+G|3/0</t>
        </is>
      </c>
      <c r="L4889" s="12" t="inlineStr">
        <is>
          <t>3/C+G</t>
        </is>
      </c>
      <c r="M4889" s="12" t="inlineStr">
        <is>
          <t>3/0</t>
        </is>
      </c>
      <c r="N4889" s="12" t="n">
        <v>2</v>
      </c>
      <c r="O4889" s="12" t="n">
        <v>1</v>
      </c>
      <c r="P4889" s="12" t="n">
        <v>480</v>
      </c>
      <c r="Q4889" s="12" t="n">
        <v>250</v>
      </c>
      <c r="R4889" s="12" t="n">
        <v>316.5</v>
      </c>
      <c r="S4889" s="12" t="inlineStr">
        <is>
          <t>Duct bank</t>
        </is>
      </c>
      <c r="T4889" s="17" t="n">
        <v>125</v>
      </c>
      <c r="U4889" s="17" t="n">
        <v>32</v>
      </c>
      <c r="V4889" s="17">
        <f>ROUNDUP((T4889+U4889+2*'Read Me'!$B$13)*(1+'Read Me'!$B$12),-1)</f>
        <v/>
      </c>
      <c r="W4889" s="17">
        <f>V4889*N4889*O4889</f>
        <v/>
      </c>
      <c r="X4889" s="12">
        <f>IF(LEFT(I4889,2)="MV",2*N4889*IF(L4889="1/C",O4889,1),0)</f>
        <v/>
      </c>
      <c r="Y4889" s="12">
        <f>IF(OR(LEFT(K4889,4)="LVAX",LEFT(K4889,6)="MV15AX",LEFT(K4889,4)="CTAX",LEFT(K4889,2)="W|"),2*N4889*O4889,0)</f>
        <v/>
      </c>
      <c r="Z4889" s="12" t="inlineStr">
        <is>
          <t>VD 0.8 %</t>
        </is>
      </c>
      <c r="AA4889" s="12">
        <f>N4889*O4889</f>
        <v/>
      </c>
    </row>
    <row r="4890">
      <c r="A4890" s="12" t="inlineStr">
        <is>
          <t>I-P-0010</t>
        </is>
      </c>
      <c r="B4890" s="12" t="inlineStr">
        <is>
          <t>I</t>
        </is>
      </c>
      <c r="C4890" s="12" t="inlineStr">
        <is>
          <t>Modular / portable power</t>
        </is>
      </c>
      <c r="D4890" s="12" t="inlineStr">
        <is>
          <t>FC-7 SOFC output to inverter / AC cabinet</t>
        </is>
      </c>
      <c r="E4890" s="12" t="inlineStr">
        <is>
          <t>FC-7</t>
        </is>
      </c>
      <c r="F4890" s="12" t="inlineStr">
        <is>
          <t>FC-7: SOFC module (Bloom ES5 class, 200-300 kW)</t>
        </is>
      </c>
      <c r="G4890" s="12" t="inlineStr"/>
      <c r="H4890" s="12" t="inlineStr">
        <is>
          <t>FC-5..12 inverter / AC cabinet / desulfurizer</t>
        </is>
      </c>
      <c r="I4890" s="12" t="inlineStr">
        <is>
          <t>LV 600 V</t>
        </is>
      </c>
      <c r="J4890" s="12" t="inlineStr">
        <is>
          <t>Type TC-ER 600 V 3/C Cu XHHW-2 + ground, PVC jacket</t>
        </is>
      </c>
      <c r="K4890" s="12" t="inlineStr">
        <is>
          <t>LV|3/C+G|3/0</t>
        </is>
      </c>
      <c r="L4890" s="12" t="inlineStr">
        <is>
          <t>3/C+G</t>
        </is>
      </c>
      <c r="M4890" s="12" t="inlineStr">
        <is>
          <t>3/0</t>
        </is>
      </c>
      <c r="N4890" s="12" t="n">
        <v>2</v>
      </c>
      <c r="O4890" s="12" t="n">
        <v>1</v>
      </c>
      <c r="P4890" s="12" t="n">
        <v>480</v>
      </c>
      <c r="Q4890" s="12" t="n">
        <v>250</v>
      </c>
      <c r="R4890" s="12" t="n">
        <v>316.5</v>
      </c>
      <c r="S4890" s="12" t="inlineStr">
        <is>
          <t>Duct bank</t>
        </is>
      </c>
      <c r="T4890" s="17" t="n">
        <v>111</v>
      </c>
      <c r="U4890" s="17" t="n">
        <v>32</v>
      </c>
      <c r="V4890" s="17">
        <f>ROUNDUP((T4890+U4890+2*'Read Me'!$B$13)*(1+'Read Me'!$B$12),-1)</f>
        <v/>
      </c>
      <c r="W4890" s="17">
        <f>V4890*N4890*O4890</f>
        <v/>
      </c>
      <c r="X4890" s="12">
        <f>IF(LEFT(I4890,2)="MV",2*N4890*IF(L4890="1/C",O4890,1),0)</f>
        <v/>
      </c>
      <c r="Y4890" s="12">
        <f>IF(OR(LEFT(K4890,4)="LVAX",LEFT(K4890,6)="MV15AX",LEFT(K4890,4)="CTAX",LEFT(K4890,2)="W|"),2*N4890*O4890,0)</f>
        <v/>
      </c>
      <c r="Z4890" s="12" t="inlineStr">
        <is>
          <t>VD 0.7 %</t>
        </is>
      </c>
      <c r="AA4890" s="12">
        <f>N4890*O4890</f>
        <v/>
      </c>
    </row>
    <row r="4891">
      <c r="A4891" s="12" t="inlineStr">
        <is>
          <t>I-P-0011</t>
        </is>
      </c>
      <c r="B4891" s="12" t="inlineStr">
        <is>
          <t>I</t>
        </is>
      </c>
      <c r="C4891" s="12" t="inlineStr">
        <is>
          <t>Modular / portable power</t>
        </is>
      </c>
      <c r="D4891" s="12" t="inlineStr">
        <is>
          <t>FC-8 SOFC output to inverter / AC cabinet</t>
        </is>
      </c>
      <c r="E4891" s="12" t="inlineStr">
        <is>
          <t>FC-8</t>
        </is>
      </c>
      <c r="F4891" s="12" t="inlineStr">
        <is>
          <t>FC-8: SOFC module (Bloom ES5 class, 200-300 kW)</t>
        </is>
      </c>
      <c r="G4891" s="12" t="inlineStr"/>
      <c r="H4891" s="12" t="inlineStr">
        <is>
          <t>FC-5..12 inverter / AC cabinet / desulfurizer</t>
        </is>
      </c>
      <c r="I4891" s="12" t="inlineStr">
        <is>
          <t>LV 600 V</t>
        </is>
      </c>
      <c r="J4891" s="12" t="inlineStr">
        <is>
          <t>Type TC-ER 600 V 3/C Cu XHHW-2 + ground, PVC jacket</t>
        </is>
      </c>
      <c r="K4891" s="12" t="inlineStr">
        <is>
          <t>LV|3/C+G|3/0</t>
        </is>
      </c>
      <c r="L4891" s="12" t="inlineStr">
        <is>
          <t>3/C+G</t>
        </is>
      </c>
      <c r="M4891" s="12" t="inlineStr">
        <is>
          <t>3/0</t>
        </is>
      </c>
      <c r="N4891" s="12" t="n">
        <v>2</v>
      </c>
      <c r="O4891" s="12" t="n">
        <v>1</v>
      </c>
      <c r="P4891" s="12" t="n">
        <v>480</v>
      </c>
      <c r="Q4891" s="12" t="n">
        <v>250</v>
      </c>
      <c r="R4891" s="12" t="n">
        <v>316.5</v>
      </c>
      <c r="S4891" s="12" t="inlineStr">
        <is>
          <t>Duct bank</t>
        </is>
      </c>
      <c r="T4891" s="17" t="n">
        <v>97</v>
      </c>
      <c r="U4891" s="17" t="n">
        <v>32</v>
      </c>
      <c r="V4891" s="17">
        <f>ROUNDUP((T4891+U4891+2*'Read Me'!$B$13)*(1+'Read Me'!$B$12),-1)</f>
        <v/>
      </c>
      <c r="W4891" s="17">
        <f>V4891*N4891*O4891</f>
        <v/>
      </c>
      <c r="X4891" s="12">
        <f>IF(LEFT(I4891,2)="MV",2*N4891*IF(L4891="1/C",O4891,1),0)</f>
        <v/>
      </c>
      <c r="Y4891" s="12">
        <f>IF(OR(LEFT(K4891,4)="LVAX",LEFT(K4891,6)="MV15AX",LEFT(K4891,4)="CTAX",LEFT(K4891,2)="W|"),2*N4891*O4891,0)</f>
        <v/>
      </c>
      <c r="Z4891" s="12" t="inlineStr">
        <is>
          <t>VD 0.6 %</t>
        </is>
      </c>
      <c r="AA4891" s="12">
        <f>N4891*O4891</f>
        <v/>
      </c>
    </row>
    <row r="4892">
      <c r="A4892" s="12" t="inlineStr">
        <is>
          <t>I-P-0012</t>
        </is>
      </c>
      <c r="B4892" s="12" t="inlineStr">
        <is>
          <t>I</t>
        </is>
      </c>
      <c r="C4892" s="12" t="inlineStr">
        <is>
          <t>Modular / portable power</t>
        </is>
      </c>
      <c r="D4892" s="12" t="inlineStr">
        <is>
          <t>FC-9 SOFC output to inverter / AC cabinet</t>
        </is>
      </c>
      <c r="E4892" s="12" t="inlineStr">
        <is>
          <t>FC-9</t>
        </is>
      </c>
      <c r="F4892" s="12" t="inlineStr">
        <is>
          <t>FC-9: SOFC module (Bloom ES5 class, 200-300 kW)</t>
        </is>
      </c>
      <c r="G4892" s="12" t="inlineStr"/>
      <c r="H4892" s="12" t="inlineStr">
        <is>
          <t>FC-5..12 inverter / AC cabinet / desulfurizer</t>
        </is>
      </c>
      <c r="I4892" s="12" t="inlineStr">
        <is>
          <t>LV 600 V</t>
        </is>
      </c>
      <c r="J4892" s="12" t="inlineStr">
        <is>
          <t>Type TC-ER 600 V 3/C Cu XHHW-2 + ground, PVC jacket</t>
        </is>
      </c>
      <c r="K4892" s="12" t="inlineStr">
        <is>
          <t>LV|3/C+G|3/0</t>
        </is>
      </c>
      <c r="L4892" s="12" t="inlineStr">
        <is>
          <t>3/C+G</t>
        </is>
      </c>
      <c r="M4892" s="12" t="inlineStr">
        <is>
          <t>3/0</t>
        </is>
      </c>
      <c r="N4892" s="12" t="n">
        <v>2</v>
      </c>
      <c r="O4892" s="12" t="n">
        <v>1</v>
      </c>
      <c r="P4892" s="12" t="n">
        <v>480</v>
      </c>
      <c r="Q4892" s="12" t="n">
        <v>250</v>
      </c>
      <c r="R4892" s="12" t="n">
        <v>316.5</v>
      </c>
      <c r="S4892" s="12" t="inlineStr">
        <is>
          <t>Duct bank</t>
        </is>
      </c>
      <c r="T4892" s="17" t="n">
        <v>83</v>
      </c>
      <c r="U4892" s="17" t="n">
        <v>32</v>
      </c>
      <c r="V4892" s="17">
        <f>ROUNDUP((T4892+U4892+2*'Read Me'!$B$13)*(1+'Read Me'!$B$12),-1)</f>
        <v/>
      </c>
      <c r="W4892" s="17">
        <f>V4892*N4892*O4892</f>
        <v/>
      </c>
      <c r="X4892" s="12">
        <f>IF(LEFT(I4892,2)="MV",2*N4892*IF(L4892="1/C",O4892,1),0)</f>
        <v/>
      </c>
      <c r="Y4892" s="12">
        <f>IF(OR(LEFT(K4892,4)="LVAX",LEFT(K4892,6)="MV15AX",LEFT(K4892,4)="CTAX",LEFT(K4892,2)="W|"),2*N4892*O4892,0)</f>
        <v/>
      </c>
      <c r="Z4892" s="12" t="inlineStr">
        <is>
          <t>VD 0.6 %</t>
        </is>
      </c>
      <c r="AA4892" s="12">
        <f>N4892*O4892</f>
        <v/>
      </c>
    </row>
    <row r="4893">
      <c r="A4893" s="12" t="inlineStr">
        <is>
          <t>I-P-0013</t>
        </is>
      </c>
      <c r="B4893" s="12" t="inlineStr">
        <is>
          <t>I</t>
        </is>
      </c>
      <c r="C4893" s="12" t="inlineStr">
        <is>
          <t>Modular / portable power</t>
        </is>
      </c>
      <c r="D4893" s="12" t="inlineStr">
        <is>
          <t>FC-10 SOFC output to inverter / AC cabinet</t>
        </is>
      </c>
      <c r="E4893" s="12" t="inlineStr">
        <is>
          <t>FC-10</t>
        </is>
      </c>
      <c r="F4893" s="12" t="inlineStr">
        <is>
          <t>FC-10: SOFC module (Bloom ES5 class, 200-300 kW)</t>
        </is>
      </c>
      <c r="G4893" s="12" t="inlineStr"/>
      <c r="H4893" s="12" t="inlineStr">
        <is>
          <t>FC-5..12 inverter / AC cabinet / desulfurizer</t>
        </is>
      </c>
      <c r="I4893" s="12" t="inlineStr">
        <is>
          <t>LV 600 V</t>
        </is>
      </c>
      <c r="J4893" s="12" t="inlineStr">
        <is>
          <t>Type TC-ER 600 V 3/C Cu XHHW-2 + ground, PVC jacket</t>
        </is>
      </c>
      <c r="K4893" s="12" t="inlineStr">
        <is>
          <t>LV|3/C+G|3/0</t>
        </is>
      </c>
      <c r="L4893" s="12" t="inlineStr">
        <is>
          <t>3/C+G</t>
        </is>
      </c>
      <c r="M4893" s="12" t="inlineStr">
        <is>
          <t>3/0</t>
        </is>
      </c>
      <c r="N4893" s="12" t="n">
        <v>2</v>
      </c>
      <c r="O4893" s="12" t="n">
        <v>1</v>
      </c>
      <c r="P4893" s="12" t="n">
        <v>480</v>
      </c>
      <c r="Q4893" s="12" t="n">
        <v>250</v>
      </c>
      <c r="R4893" s="12" t="n">
        <v>316.5</v>
      </c>
      <c r="S4893" s="12" t="inlineStr">
        <is>
          <t>Duct bank</t>
        </is>
      </c>
      <c r="T4893" s="17" t="n">
        <v>69</v>
      </c>
      <c r="U4893" s="17" t="n">
        <v>32</v>
      </c>
      <c r="V4893" s="17">
        <f>ROUNDUP((T4893+U4893+2*'Read Me'!$B$13)*(1+'Read Me'!$B$12),-1)</f>
        <v/>
      </c>
      <c r="W4893" s="17">
        <f>V4893*N4893*O4893</f>
        <v/>
      </c>
      <c r="X4893" s="12">
        <f>IF(LEFT(I4893,2)="MV",2*N4893*IF(L4893="1/C",O4893,1),0)</f>
        <v/>
      </c>
      <c r="Y4893" s="12">
        <f>IF(OR(LEFT(K4893,4)="LVAX",LEFT(K4893,6)="MV15AX",LEFT(K4893,4)="CTAX",LEFT(K4893,2)="W|"),2*N4893*O4893,0)</f>
        <v/>
      </c>
      <c r="Z4893" s="12" t="inlineStr">
        <is>
          <t>VD 0.5 %</t>
        </is>
      </c>
      <c r="AA4893" s="12">
        <f>N4893*O4893</f>
        <v/>
      </c>
    </row>
    <row r="4894">
      <c r="A4894" s="12" t="inlineStr">
        <is>
          <t>I-P-0014</t>
        </is>
      </c>
      <c r="B4894" s="12" t="inlineStr">
        <is>
          <t>I</t>
        </is>
      </c>
      <c r="C4894" s="12" t="inlineStr">
        <is>
          <t>Modular / portable power</t>
        </is>
      </c>
      <c r="D4894" s="12" t="inlineStr">
        <is>
          <t>FC-11 SOFC output to inverter / AC cabinet</t>
        </is>
      </c>
      <c r="E4894" s="12" t="inlineStr">
        <is>
          <t>FC-11</t>
        </is>
      </c>
      <c r="F4894" s="12" t="inlineStr">
        <is>
          <t>FC-11: SOFC module (Bloom ES5 class, 200-300 kW)</t>
        </is>
      </c>
      <c r="G4894" s="12" t="inlineStr"/>
      <c r="H4894" s="12" t="inlineStr">
        <is>
          <t>FC-5..12 inverter / AC cabinet / desulfurizer</t>
        </is>
      </c>
      <c r="I4894" s="12" t="inlineStr">
        <is>
          <t>LV 600 V</t>
        </is>
      </c>
      <c r="J4894" s="12" t="inlineStr">
        <is>
          <t>Type TC-ER 600 V 3/C Cu XHHW-2 + ground, PVC jacket</t>
        </is>
      </c>
      <c r="K4894" s="12" t="inlineStr">
        <is>
          <t>LV|3/C+G|3/0</t>
        </is>
      </c>
      <c r="L4894" s="12" t="inlineStr">
        <is>
          <t>3/C+G</t>
        </is>
      </c>
      <c r="M4894" s="12" t="inlineStr">
        <is>
          <t>3/0</t>
        </is>
      </c>
      <c r="N4894" s="12" t="n">
        <v>2</v>
      </c>
      <c r="O4894" s="12" t="n">
        <v>1</v>
      </c>
      <c r="P4894" s="12" t="n">
        <v>480</v>
      </c>
      <c r="Q4894" s="12" t="n">
        <v>250</v>
      </c>
      <c r="R4894" s="12" t="n">
        <v>316.5</v>
      </c>
      <c r="S4894" s="12" t="inlineStr">
        <is>
          <t>Duct bank</t>
        </is>
      </c>
      <c r="T4894" s="17" t="n">
        <v>55</v>
      </c>
      <c r="U4894" s="17" t="n">
        <v>32</v>
      </c>
      <c r="V4894" s="17">
        <f>ROUNDUP((T4894+U4894+2*'Read Me'!$B$13)*(1+'Read Me'!$B$12),-1)</f>
        <v/>
      </c>
      <c r="W4894" s="17">
        <f>V4894*N4894*O4894</f>
        <v/>
      </c>
      <c r="X4894" s="12">
        <f>IF(LEFT(I4894,2)="MV",2*N4894*IF(L4894="1/C",O4894,1),0)</f>
        <v/>
      </c>
      <c r="Y4894" s="12">
        <f>IF(OR(LEFT(K4894,4)="LVAX",LEFT(K4894,6)="MV15AX",LEFT(K4894,4)="CTAX",LEFT(K4894,2)="W|"),2*N4894*O4894,0)</f>
        <v/>
      </c>
      <c r="Z4894" s="12" t="inlineStr">
        <is>
          <t>VD 0.4 %</t>
        </is>
      </c>
      <c r="AA4894" s="12">
        <f>N4894*O4894</f>
        <v/>
      </c>
    </row>
    <row r="4895">
      <c r="A4895" s="12" t="inlineStr">
        <is>
          <t>I-P-0015</t>
        </is>
      </c>
      <c r="B4895" s="12" t="inlineStr">
        <is>
          <t>I</t>
        </is>
      </c>
      <c r="C4895" s="12" t="inlineStr">
        <is>
          <t>Modular / portable power</t>
        </is>
      </c>
      <c r="D4895" s="12" t="inlineStr">
        <is>
          <t>FC-12 SOFC output to inverter / AC cabinet</t>
        </is>
      </c>
      <c r="E4895" s="12" t="inlineStr">
        <is>
          <t>FC-12</t>
        </is>
      </c>
      <c r="F4895" s="12" t="inlineStr">
        <is>
          <t>FC-12: SOFC module (Bloom ES5 class, 200-300 kW)</t>
        </is>
      </c>
      <c r="G4895" s="12" t="inlineStr"/>
      <c r="H4895" s="12" t="inlineStr">
        <is>
          <t>FC-5..12 inverter / AC cabinet / desulfurizer</t>
        </is>
      </c>
      <c r="I4895" s="12" t="inlineStr">
        <is>
          <t>LV 600 V</t>
        </is>
      </c>
      <c r="J4895" s="12" t="inlineStr">
        <is>
          <t>Type TC-ER 600 V 3/C Cu XHHW-2 + ground, PVC jacket</t>
        </is>
      </c>
      <c r="K4895" s="12" t="inlineStr">
        <is>
          <t>LV|3/C+G|3/0</t>
        </is>
      </c>
      <c r="L4895" s="12" t="inlineStr">
        <is>
          <t>3/C+G</t>
        </is>
      </c>
      <c r="M4895" s="12" t="inlineStr">
        <is>
          <t>3/0</t>
        </is>
      </c>
      <c r="N4895" s="12" t="n">
        <v>2</v>
      </c>
      <c r="O4895" s="12" t="n">
        <v>1</v>
      </c>
      <c r="P4895" s="12" t="n">
        <v>480</v>
      </c>
      <c r="Q4895" s="12" t="n">
        <v>250</v>
      </c>
      <c r="R4895" s="12" t="n">
        <v>316.5</v>
      </c>
      <c r="S4895" s="12" t="inlineStr">
        <is>
          <t>Duct bank</t>
        </is>
      </c>
      <c r="T4895" s="17" t="n">
        <v>46</v>
      </c>
      <c r="U4895" s="17" t="n">
        <v>32</v>
      </c>
      <c r="V4895" s="17">
        <f>ROUNDUP((T4895+U4895+2*'Read Me'!$B$13)*(1+'Read Me'!$B$12),-1)</f>
        <v/>
      </c>
      <c r="W4895" s="17">
        <f>V4895*N4895*O4895</f>
        <v/>
      </c>
      <c r="X4895" s="12">
        <f>IF(LEFT(I4895,2)="MV",2*N4895*IF(L4895="1/C",O4895,1),0)</f>
        <v/>
      </c>
      <c r="Y4895" s="12">
        <f>IF(OR(LEFT(K4895,4)="LVAX",LEFT(K4895,6)="MV15AX",LEFT(K4895,4)="CTAX",LEFT(K4895,2)="W|"),2*N4895*O4895,0)</f>
        <v/>
      </c>
      <c r="Z4895" s="12" t="inlineStr">
        <is>
          <t>VD 0.4 %</t>
        </is>
      </c>
      <c r="AA4895" s="12">
        <f>N4895*O4895</f>
        <v/>
      </c>
    </row>
    <row r="4896">
      <c r="A4896" s="12" t="inlineStr">
        <is>
          <t>I-P-0016</t>
        </is>
      </c>
      <c r="B4896" s="12" t="inlineStr">
        <is>
          <t>I</t>
        </is>
      </c>
      <c r="C4896" s="12" t="inlineStr">
        <is>
          <t>Modular / portable power</t>
        </is>
      </c>
      <c r="D4896" s="12" t="inlineStr">
        <is>
          <t>Motor 1 of 6, 15 kW</t>
        </is>
      </c>
      <c r="E4896" s="12" t="inlineStr"/>
      <c r="F4896" s="12" t="inlineStr">
        <is>
          <t>MOD-LV 480 V board + 480 V : 13.8 kV step-up</t>
        </is>
      </c>
      <c r="G4896" s="12" t="inlineStr"/>
      <c r="H4896" s="12" t="inlineStr">
        <is>
          <t>Fuel-gas compressors 3 x 100% electric</t>
        </is>
      </c>
      <c r="I4896" s="12" t="inlineStr">
        <is>
          <t>LV 600 V</t>
        </is>
      </c>
      <c r="J4896" s="12" t="inlineStr">
        <is>
          <t>ARMOR-X MC-HL 600 V 3/C Cu XHHW-2 + ground, CWA, black PVC (Class I Div 2)</t>
        </is>
      </c>
      <c r="K4896" s="12" t="inlineStr">
        <is>
          <t>LVAX|3/C+G|3/0</t>
        </is>
      </c>
      <c r="L4896" s="12" t="inlineStr">
        <is>
          <t>3/C+G</t>
        </is>
      </c>
      <c r="M4896" s="12" t="inlineStr">
        <is>
          <t>3/0</t>
        </is>
      </c>
      <c r="N4896" s="12" t="n">
        <v>1</v>
      </c>
      <c r="O4896" s="12" t="n">
        <v>1</v>
      </c>
      <c r="P4896" s="12" t="n">
        <v>480</v>
      </c>
      <c r="Q4896" s="12" t="n">
        <v>15</v>
      </c>
      <c r="R4896" s="12" t="n">
        <v>21.2</v>
      </c>
      <c r="S4896" s="12" t="inlineStr">
        <is>
          <t>HV duct bank</t>
        </is>
      </c>
      <c r="T4896" s="17" t="n">
        <v>4344</v>
      </c>
      <c r="U4896" s="17" t="n">
        <v>114</v>
      </c>
      <c r="V4896" s="17">
        <f>ROUNDUP((T4896+U4896+2*'Read Me'!$B$13)*(1+'Read Me'!$B$12),-1)</f>
        <v/>
      </c>
      <c r="W4896" s="17">
        <f>V4896*N4896*O4896</f>
        <v/>
      </c>
      <c r="X4896" s="12">
        <f>IF(LEFT(I4896,2)="MV",2*N4896*IF(L4896="1/C",O4896,1),0)</f>
        <v/>
      </c>
      <c r="Y4896" s="12">
        <f>IF(OR(LEFT(K4896,4)="LVAX",LEFT(K4896,6)="MV15AX",LEFT(K4896,4)="CTAX",LEFT(K4896,2)="W|"),2*N4896*O4896,0)</f>
        <v/>
      </c>
      <c r="Z4896" s="12" t="inlineStr">
        <is>
          <t>VD 2.9 %</t>
        </is>
      </c>
      <c r="AA4896" s="12">
        <f>N4896*O4896</f>
        <v/>
      </c>
    </row>
    <row r="4897">
      <c r="A4897" s="12" t="inlineStr">
        <is>
          <t>I-P-0017</t>
        </is>
      </c>
      <c r="B4897" s="12" t="inlineStr">
        <is>
          <t>I</t>
        </is>
      </c>
      <c r="C4897" s="12" t="inlineStr">
        <is>
          <t>Modular / portable power</t>
        </is>
      </c>
      <c r="D4897" s="12" t="inlineStr">
        <is>
          <t>Motor 2 of 6, 15 kW</t>
        </is>
      </c>
      <c r="E4897" s="12" t="inlineStr"/>
      <c r="F4897" s="12" t="inlineStr">
        <is>
          <t>MOD-LV 480 V board + 480 V : 13.8 kV step-up</t>
        </is>
      </c>
      <c r="G4897" s="12" t="inlineStr"/>
      <c r="H4897" s="12" t="inlineStr">
        <is>
          <t>Fuel-gas compressors 3 x 100% electric</t>
        </is>
      </c>
      <c r="I4897" s="12" t="inlineStr">
        <is>
          <t>LV 600 V</t>
        </is>
      </c>
      <c r="J4897" s="12" t="inlineStr">
        <is>
          <t>ARMOR-X MC-HL 600 V 3/C Cu XHHW-2 + ground, CWA, black PVC (Class I Div 2)</t>
        </is>
      </c>
      <c r="K4897" s="12" t="inlineStr">
        <is>
          <t>LVAX|3/C+G|3/0</t>
        </is>
      </c>
      <c r="L4897" s="12" t="inlineStr">
        <is>
          <t>3/C+G</t>
        </is>
      </c>
      <c r="M4897" s="12" t="inlineStr">
        <is>
          <t>3/0</t>
        </is>
      </c>
      <c r="N4897" s="12" t="n">
        <v>1</v>
      </c>
      <c r="O4897" s="12" t="n">
        <v>1</v>
      </c>
      <c r="P4897" s="12" t="n">
        <v>480</v>
      </c>
      <c r="Q4897" s="12" t="n">
        <v>15</v>
      </c>
      <c r="R4897" s="12" t="n">
        <v>21.2</v>
      </c>
      <c r="S4897" s="12" t="inlineStr">
        <is>
          <t>HV duct bank</t>
        </is>
      </c>
      <c r="T4897" s="17" t="n">
        <v>4344</v>
      </c>
      <c r="U4897" s="17" t="n">
        <v>114</v>
      </c>
      <c r="V4897" s="17">
        <f>ROUNDUP((T4897+U4897+2*'Read Me'!$B$13)*(1+'Read Me'!$B$12),-1)</f>
        <v/>
      </c>
      <c r="W4897" s="17">
        <f>V4897*N4897*O4897</f>
        <v/>
      </c>
      <c r="X4897" s="12">
        <f>IF(LEFT(I4897,2)="MV",2*N4897*IF(L4897="1/C",O4897,1),0)</f>
        <v/>
      </c>
      <c r="Y4897" s="12">
        <f>IF(OR(LEFT(K4897,4)="LVAX",LEFT(K4897,6)="MV15AX",LEFT(K4897,4)="CTAX",LEFT(K4897,2)="W|"),2*N4897*O4897,0)</f>
        <v/>
      </c>
      <c r="Z4897" s="12" t="inlineStr">
        <is>
          <t>VD 2.9 %</t>
        </is>
      </c>
      <c r="AA4897" s="12">
        <f>N4897*O4897</f>
        <v/>
      </c>
    </row>
    <row r="4898">
      <c r="A4898" s="12" t="inlineStr">
        <is>
          <t>I-P-0018</t>
        </is>
      </c>
      <c r="B4898" s="12" t="inlineStr">
        <is>
          <t>I</t>
        </is>
      </c>
      <c r="C4898" s="12" t="inlineStr">
        <is>
          <t>Modular / portable power</t>
        </is>
      </c>
      <c r="D4898" s="12" t="inlineStr">
        <is>
          <t>Motor 3 of 6, 15 kW</t>
        </is>
      </c>
      <c r="E4898" s="12" t="inlineStr"/>
      <c r="F4898" s="12" t="inlineStr">
        <is>
          <t>MOD-LV 480 V board + 480 V : 13.8 kV step-up</t>
        </is>
      </c>
      <c r="G4898" s="12" t="inlineStr"/>
      <c r="H4898" s="12" t="inlineStr">
        <is>
          <t>Fuel-gas compressors 3 x 100% electric</t>
        </is>
      </c>
      <c r="I4898" s="12" t="inlineStr">
        <is>
          <t>LV 600 V</t>
        </is>
      </c>
      <c r="J4898" s="12" t="inlineStr">
        <is>
          <t>ARMOR-X MC-HL 600 V 3/C Cu XHHW-2 + ground, CWA, black PVC (Class I Div 2)</t>
        </is>
      </c>
      <c r="K4898" s="12" t="inlineStr">
        <is>
          <t>LVAX|3/C+G|3/0</t>
        </is>
      </c>
      <c r="L4898" s="12" t="inlineStr">
        <is>
          <t>3/C+G</t>
        </is>
      </c>
      <c r="M4898" s="12" t="inlineStr">
        <is>
          <t>3/0</t>
        </is>
      </c>
      <c r="N4898" s="12" t="n">
        <v>1</v>
      </c>
      <c r="O4898" s="12" t="n">
        <v>1</v>
      </c>
      <c r="P4898" s="12" t="n">
        <v>480</v>
      </c>
      <c r="Q4898" s="12" t="n">
        <v>15</v>
      </c>
      <c r="R4898" s="12" t="n">
        <v>21.2</v>
      </c>
      <c r="S4898" s="12" t="inlineStr">
        <is>
          <t>HV duct bank</t>
        </is>
      </c>
      <c r="T4898" s="17" t="n">
        <v>4344</v>
      </c>
      <c r="U4898" s="17" t="n">
        <v>114</v>
      </c>
      <c r="V4898" s="17">
        <f>ROUNDUP((T4898+U4898+2*'Read Me'!$B$13)*(1+'Read Me'!$B$12),-1)</f>
        <v/>
      </c>
      <c r="W4898" s="17">
        <f>V4898*N4898*O4898</f>
        <v/>
      </c>
      <c r="X4898" s="12">
        <f>IF(LEFT(I4898,2)="MV",2*N4898*IF(L4898="1/C",O4898,1),0)</f>
        <v/>
      </c>
      <c r="Y4898" s="12">
        <f>IF(OR(LEFT(K4898,4)="LVAX",LEFT(K4898,6)="MV15AX",LEFT(K4898,4)="CTAX",LEFT(K4898,2)="W|"),2*N4898*O4898,0)</f>
        <v/>
      </c>
      <c r="Z4898" s="12" t="inlineStr">
        <is>
          <t>VD 2.9 %</t>
        </is>
      </c>
      <c r="AA4898" s="12">
        <f>N4898*O4898</f>
        <v/>
      </c>
    </row>
    <row r="4899">
      <c r="A4899" s="12" t="inlineStr">
        <is>
          <t>I-P-0019</t>
        </is>
      </c>
      <c r="B4899" s="12" t="inlineStr">
        <is>
          <t>I</t>
        </is>
      </c>
      <c r="C4899" s="12" t="inlineStr">
        <is>
          <t>Modular / portable power</t>
        </is>
      </c>
      <c r="D4899" s="12" t="inlineStr">
        <is>
          <t>Motor 4 of 6, 15 kW</t>
        </is>
      </c>
      <c r="E4899" s="12" t="inlineStr"/>
      <c r="F4899" s="12" t="inlineStr">
        <is>
          <t>MOD-LV 480 V board + 480 V : 13.8 kV step-up</t>
        </is>
      </c>
      <c r="G4899" s="12" t="inlineStr"/>
      <c r="H4899" s="12" t="inlineStr">
        <is>
          <t>Fuel-gas compressors 3 x 100% electric</t>
        </is>
      </c>
      <c r="I4899" s="12" t="inlineStr">
        <is>
          <t>LV 600 V</t>
        </is>
      </c>
      <c r="J4899" s="12" t="inlineStr">
        <is>
          <t>ARMOR-X MC-HL 600 V 3/C Cu XHHW-2 + ground, CWA, black PVC (Class I Div 2)</t>
        </is>
      </c>
      <c r="K4899" s="12" t="inlineStr">
        <is>
          <t>LVAX|3/C+G|3/0</t>
        </is>
      </c>
      <c r="L4899" s="12" t="inlineStr">
        <is>
          <t>3/C+G</t>
        </is>
      </c>
      <c r="M4899" s="12" t="inlineStr">
        <is>
          <t>3/0</t>
        </is>
      </c>
      <c r="N4899" s="12" t="n">
        <v>1</v>
      </c>
      <c r="O4899" s="12" t="n">
        <v>1</v>
      </c>
      <c r="P4899" s="12" t="n">
        <v>480</v>
      </c>
      <c r="Q4899" s="12" t="n">
        <v>15</v>
      </c>
      <c r="R4899" s="12" t="n">
        <v>21.2</v>
      </c>
      <c r="S4899" s="12" t="inlineStr">
        <is>
          <t>HV duct bank</t>
        </is>
      </c>
      <c r="T4899" s="17" t="n">
        <v>4344</v>
      </c>
      <c r="U4899" s="17" t="n">
        <v>114</v>
      </c>
      <c r="V4899" s="17">
        <f>ROUNDUP((T4899+U4899+2*'Read Me'!$B$13)*(1+'Read Me'!$B$12),-1)</f>
        <v/>
      </c>
      <c r="W4899" s="17">
        <f>V4899*N4899*O4899</f>
        <v/>
      </c>
      <c r="X4899" s="12">
        <f>IF(LEFT(I4899,2)="MV",2*N4899*IF(L4899="1/C",O4899,1),0)</f>
        <v/>
      </c>
      <c r="Y4899" s="12">
        <f>IF(OR(LEFT(K4899,4)="LVAX",LEFT(K4899,6)="MV15AX",LEFT(K4899,4)="CTAX",LEFT(K4899,2)="W|"),2*N4899*O4899,0)</f>
        <v/>
      </c>
      <c r="Z4899" s="12" t="inlineStr">
        <is>
          <t>VD 2.9 %</t>
        </is>
      </c>
      <c r="AA4899" s="12">
        <f>N4899*O4899</f>
        <v/>
      </c>
    </row>
    <row r="4900">
      <c r="A4900" s="12" t="inlineStr">
        <is>
          <t>I-P-0020</t>
        </is>
      </c>
      <c r="B4900" s="12" t="inlineStr">
        <is>
          <t>I</t>
        </is>
      </c>
      <c r="C4900" s="12" t="inlineStr">
        <is>
          <t>Modular / portable power</t>
        </is>
      </c>
      <c r="D4900" s="12" t="inlineStr">
        <is>
          <t>Motor 5 of 6, 15 kW</t>
        </is>
      </c>
      <c r="E4900" s="12" t="inlineStr"/>
      <c r="F4900" s="12" t="inlineStr">
        <is>
          <t>MOD-LV 480 V board + 480 V : 13.8 kV step-up</t>
        </is>
      </c>
      <c r="G4900" s="12" t="inlineStr"/>
      <c r="H4900" s="12" t="inlineStr">
        <is>
          <t>Fuel-gas compressors 3 x 100% electric</t>
        </is>
      </c>
      <c r="I4900" s="12" t="inlineStr">
        <is>
          <t>LV 600 V</t>
        </is>
      </c>
      <c r="J4900" s="12" t="inlineStr">
        <is>
          <t>ARMOR-X MC-HL 600 V 3/C Cu XHHW-2 + ground, CWA, black PVC (Class I Div 2)</t>
        </is>
      </c>
      <c r="K4900" s="12" t="inlineStr">
        <is>
          <t>LVAX|3/C+G|3/0</t>
        </is>
      </c>
      <c r="L4900" s="12" t="inlineStr">
        <is>
          <t>3/C+G</t>
        </is>
      </c>
      <c r="M4900" s="12" t="inlineStr">
        <is>
          <t>3/0</t>
        </is>
      </c>
      <c r="N4900" s="12" t="n">
        <v>1</v>
      </c>
      <c r="O4900" s="12" t="n">
        <v>1</v>
      </c>
      <c r="P4900" s="12" t="n">
        <v>480</v>
      </c>
      <c r="Q4900" s="12" t="n">
        <v>15</v>
      </c>
      <c r="R4900" s="12" t="n">
        <v>21.2</v>
      </c>
      <c r="S4900" s="12" t="inlineStr">
        <is>
          <t>HV duct bank</t>
        </is>
      </c>
      <c r="T4900" s="17" t="n">
        <v>4344</v>
      </c>
      <c r="U4900" s="17" t="n">
        <v>114</v>
      </c>
      <c r="V4900" s="17">
        <f>ROUNDUP((T4900+U4900+2*'Read Me'!$B$13)*(1+'Read Me'!$B$12),-1)</f>
        <v/>
      </c>
      <c r="W4900" s="17">
        <f>V4900*N4900*O4900</f>
        <v/>
      </c>
      <c r="X4900" s="12">
        <f>IF(LEFT(I4900,2)="MV",2*N4900*IF(L4900="1/C",O4900,1),0)</f>
        <v/>
      </c>
      <c r="Y4900" s="12">
        <f>IF(OR(LEFT(K4900,4)="LVAX",LEFT(K4900,6)="MV15AX",LEFT(K4900,4)="CTAX",LEFT(K4900,2)="W|"),2*N4900*O4900,0)</f>
        <v/>
      </c>
      <c r="Z4900" s="12" t="inlineStr">
        <is>
          <t>VD 2.9 %</t>
        </is>
      </c>
      <c r="AA4900" s="12">
        <f>N4900*O4900</f>
        <v/>
      </c>
    </row>
    <row r="4901">
      <c r="A4901" s="12" t="inlineStr">
        <is>
          <t>I-P-0021</t>
        </is>
      </c>
      <c r="B4901" s="12" t="inlineStr">
        <is>
          <t>I</t>
        </is>
      </c>
      <c r="C4901" s="12" t="inlineStr">
        <is>
          <t>Modular / portable power</t>
        </is>
      </c>
      <c r="D4901" s="12" t="inlineStr">
        <is>
          <t>Motor 6 of 6, 15 kW</t>
        </is>
      </c>
      <c r="E4901" s="12" t="inlineStr"/>
      <c r="F4901" s="12" t="inlineStr">
        <is>
          <t>MOD-LV 480 V board + 480 V : 13.8 kV step-up</t>
        </is>
      </c>
      <c r="G4901" s="12" t="inlineStr"/>
      <c r="H4901" s="12" t="inlineStr">
        <is>
          <t>Fuel-gas compressors 3 x 100% electric</t>
        </is>
      </c>
      <c r="I4901" s="12" t="inlineStr">
        <is>
          <t>LV 600 V</t>
        </is>
      </c>
      <c r="J4901" s="12" t="inlineStr">
        <is>
          <t>ARMOR-X MC-HL 600 V 3/C Cu XHHW-2 + ground, CWA, black PVC (Class I Div 2)</t>
        </is>
      </c>
      <c r="K4901" s="12" t="inlineStr">
        <is>
          <t>LVAX|3/C+G|3/0</t>
        </is>
      </c>
      <c r="L4901" s="12" t="inlineStr">
        <is>
          <t>3/C+G</t>
        </is>
      </c>
      <c r="M4901" s="12" t="inlineStr">
        <is>
          <t>3/0</t>
        </is>
      </c>
      <c r="N4901" s="12" t="n">
        <v>1</v>
      </c>
      <c r="O4901" s="12" t="n">
        <v>1</v>
      </c>
      <c r="P4901" s="12" t="n">
        <v>480</v>
      </c>
      <c r="Q4901" s="12" t="n">
        <v>15</v>
      </c>
      <c r="R4901" s="12" t="n">
        <v>21.2</v>
      </c>
      <c r="S4901" s="12" t="inlineStr">
        <is>
          <t>HV duct bank</t>
        </is>
      </c>
      <c r="T4901" s="17" t="n">
        <v>4344</v>
      </c>
      <c r="U4901" s="17" t="n">
        <v>114</v>
      </c>
      <c r="V4901" s="17">
        <f>ROUNDUP((T4901+U4901+2*'Read Me'!$B$13)*(1+'Read Me'!$B$12),-1)</f>
        <v/>
      </c>
      <c r="W4901" s="17">
        <f>V4901*N4901*O4901</f>
        <v/>
      </c>
      <c r="X4901" s="12">
        <f>IF(LEFT(I4901,2)="MV",2*N4901*IF(L4901="1/C",O4901,1),0)</f>
        <v/>
      </c>
      <c r="Y4901" s="12">
        <f>IF(OR(LEFT(K4901,4)="LVAX",LEFT(K4901,6)="MV15AX",LEFT(K4901,4)="CTAX",LEFT(K4901,2)="W|"),2*N4901*O4901,0)</f>
        <v/>
      </c>
      <c r="Z4901" s="12" t="inlineStr">
        <is>
          <t>VD 2.9 %</t>
        </is>
      </c>
      <c r="AA4901" s="12">
        <f>N4901*O4901</f>
        <v/>
      </c>
    </row>
    <row r="4902">
      <c r="A4902" s="12" t="inlineStr">
        <is>
          <t>I-P-0022</t>
        </is>
      </c>
      <c r="B4902" s="12" t="inlineStr">
        <is>
          <t>I</t>
        </is>
      </c>
      <c r="C4902" s="12" t="inlineStr">
        <is>
          <t>Modular / portable power</t>
        </is>
      </c>
      <c r="D4902" s="12" t="inlineStr">
        <is>
          <t>LV power feeder</t>
        </is>
      </c>
      <c r="E4902" s="12" t="inlineStr"/>
      <c r="F4902" s="12" t="inlineStr">
        <is>
          <t>PCM: power control module</t>
        </is>
      </c>
      <c r="G4902" s="12" t="inlineStr"/>
      <c r="H4902" s="12" t="inlineStr">
        <is>
          <t>Gas conditioning skid</t>
        </is>
      </c>
      <c r="I4902" s="12" t="inlineStr">
        <is>
          <t>LV 600 V</t>
        </is>
      </c>
      <c r="J4902" s="12" t="inlineStr">
        <is>
          <t>ARMOR-X MC-HL 600 V 3/C Cu XHHW-2 + ground, CWA, black PVC (Class I Div 2)</t>
        </is>
      </c>
      <c r="K4902" s="12" t="inlineStr">
        <is>
          <t>LVAX|3/C+G|6</t>
        </is>
      </c>
      <c r="L4902" s="12" t="inlineStr">
        <is>
          <t>3/C+G</t>
        </is>
      </c>
      <c r="M4902" s="12" t="inlineStr">
        <is>
          <t>6</t>
        </is>
      </c>
      <c r="N4902" s="12" t="n">
        <v>1</v>
      </c>
      <c r="O4902" s="12" t="n">
        <v>1</v>
      </c>
      <c r="P4902" s="12" t="n">
        <v>480</v>
      </c>
      <c r="Q4902" s="12" t="n">
        <v>30</v>
      </c>
      <c r="R4902" s="12" t="n">
        <v>42.5</v>
      </c>
      <c r="S4902" s="12" t="inlineStr">
        <is>
          <t>Tray</t>
        </is>
      </c>
      <c r="T4902" s="17" t="n">
        <v>40</v>
      </c>
      <c r="U4902" s="17" t="n">
        <v>94</v>
      </c>
      <c r="V4902" s="17">
        <f>ROUNDUP((T4902+U4902+2*'Read Me'!$B$13)*(1+'Read Me'!$B$12),-1)</f>
        <v/>
      </c>
      <c r="W4902" s="17">
        <f>V4902*N4902*O4902</f>
        <v/>
      </c>
      <c r="X4902" s="12">
        <f>IF(LEFT(I4902,2)="MV",2*N4902*IF(L4902="1/C",O4902,1),0)</f>
        <v/>
      </c>
      <c r="Y4902" s="12">
        <f>IF(OR(LEFT(K4902,4)="LVAX",LEFT(K4902,6)="MV15AX",LEFT(K4902,4)="CTAX",LEFT(K4902,2)="W|"),2*N4902*O4902,0)</f>
        <v/>
      </c>
      <c r="Z4902" s="12" t="inlineStr">
        <is>
          <t>VD 1.1 %</t>
        </is>
      </c>
      <c r="AA4902" s="12">
        <f>N4902*O4902</f>
        <v/>
      </c>
    </row>
    <row r="4903">
      <c r="A4903" s="12" t="inlineStr">
        <is>
          <t>I-P-0023</t>
        </is>
      </c>
      <c r="B4903" s="12" t="inlineStr">
        <is>
          <t>I</t>
        </is>
      </c>
      <c r="C4903" s="12" t="inlineStr">
        <is>
          <t>Modular / portable power</t>
        </is>
      </c>
      <c r="D4903" s="12" t="inlineStr">
        <is>
          <t>LV panel / distribution feeder</t>
        </is>
      </c>
      <c r="E4903" s="12" t="inlineStr"/>
      <c r="F4903" s="12" t="inlineStr">
        <is>
          <t>PCM: power control module</t>
        </is>
      </c>
      <c r="G4903" s="12" t="inlineStr"/>
      <c r="H4903" s="12" t="inlineStr">
        <is>
          <t>Lube oil / starting air / oily water building</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79</v>
      </c>
      <c r="R4903" s="12" t="n">
        <v>111.8</v>
      </c>
      <c r="S4903" s="12" t="inlineStr">
        <is>
          <t>Tray</t>
        </is>
      </c>
      <c r="T4903" s="17" t="n">
        <v>40</v>
      </c>
      <c r="U4903" s="17" t="n">
        <v>164</v>
      </c>
      <c r="V4903" s="17">
        <f>ROUNDUP((T4903+U4903+2*'Read Me'!$B$13)*(1+'Read Me'!$B$12),-1)</f>
        <v/>
      </c>
      <c r="W4903" s="17">
        <f>V4903*N4903*O4903</f>
        <v/>
      </c>
      <c r="X4903" s="12">
        <f>IF(LEFT(I4903,2)="MV",2*N4903*IF(L4903="1/C",O4903,1),0)</f>
        <v/>
      </c>
      <c r="Y4903" s="12">
        <f>IF(OR(LEFT(K4903,4)="LVAX",LEFT(K4903,6)="MV15AX",LEFT(K4903,4)="CTAX",LEFT(K4903,2)="W|"),2*N4903*O4903,0)</f>
        <v/>
      </c>
      <c r="Z4903" s="12" t="inlineStr">
        <is>
          <t>VD 1.1 %</t>
        </is>
      </c>
      <c r="AA4903" s="12">
        <f>N4903*O4903</f>
        <v/>
      </c>
    </row>
    <row r="4904">
      <c r="A4904" s="12" t="inlineStr">
        <is>
          <t>I-P-0024</t>
        </is>
      </c>
      <c r="B4904" s="12" t="inlineStr">
        <is>
          <t>I</t>
        </is>
      </c>
      <c r="C4904" s="12" t="inlineStr">
        <is>
          <t>Modular / portable power</t>
        </is>
      </c>
      <c r="D4904" s="12" t="inlineStr">
        <is>
          <t>LV panel / distribution feeder</t>
        </is>
      </c>
      <c r="E4904" s="12" t="inlineStr"/>
      <c r="F4904" s="12" t="inlineStr">
        <is>
          <t>MOD-LV 480 V board + 480 V : 13.8 kV step-up</t>
        </is>
      </c>
      <c r="G4904" s="12" t="inlineStr">
        <is>
          <t>MOD-EH</t>
        </is>
      </c>
      <c r="H4904" s="12" t="inlineStr">
        <is>
          <t>MOD-EH: 13.8 kV modular collector e-house</t>
        </is>
      </c>
      <c r="I4904" s="12" t="inlineStr">
        <is>
          <t>LV 600 V</t>
        </is>
      </c>
      <c r="J4904" s="12" t="inlineStr">
        <is>
          <t>Type TC-ER 600 V 3/C Cu XHHW-2 + ground, PVC jacket</t>
        </is>
      </c>
      <c r="K4904" s="12" t="inlineStr">
        <is>
          <t>LV|3/C+G|4</t>
        </is>
      </c>
      <c r="L4904" s="12" t="inlineStr">
        <is>
          <t>3/C+G</t>
        </is>
      </c>
      <c r="M4904" s="12" t="inlineStr">
        <is>
          <t>4</t>
        </is>
      </c>
      <c r="N4904" s="12" t="n">
        <v>1</v>
      </c>
      <c r="O4904" s="12" t="n">
        <v>1</v>
      </c>
      <c r="P4904" s="12" t="n">
        <v>480</v>
      </c>
      <c r="Q4904" s="12" t="n">
        <v>30</v>
      </c>
      <c r="R4904" s="12" t="n">
        <v>42.5</v>
      </c>
      <c r="S4904" s="12" t="inlineStr">
        <is>
          <t>Duct bank</t>
        </is>
      </c>
      <c r="T4904" s="17" t="n">
        <v>352</v>
      </c>
      <c r="U4904" s="17" t="n">
        <v>32</v>
      </c>
      <c r="V4904" s="17">
        <f>ROUNDUP((T4904+U4904+2*'Read Me'!$B$13)*(1+'Read Me'!$B$12),-1)</f>
        <v/>
      </c>
      <c r="W4904" s="17">
        <f>V4904*N4904*O4904</f>
        <v/>
      </c>
      <c r="X4904" s="12">
        <f>IF(LEFT(I4904,2)="MV",2*N4904*IF(L4904="1/C",O4904,1),0)</f>
        <v/>
      </c>
      <c r="Y4904" s="12">
        <f>IF(OR(LEFT(K4904,4)="LVAX",LEFT(K4904,6)="MV15AX",LEFT(K4904,4)="CTAX",LEFT(K4904,2)="W|"),2*N4904*O4904,0)</f>
        <v/>
      </c>
      <c r="Z4904" s="12" t="inlineStr">
        <is>
          <t>VD 2.0 %</t>
        </is>
      </c>
      <c r="AA4904" s="12">
        <f>N4904*O4904</f>
        <v/>
      </c>
    </row>
    <row r="4905">
      <c r="A4905" s="12" t="inlineStr">
        <is>
          <t>I-P-0025</t>
        </is>
      </c>
      <c r="B4905" s="12" t="inlineStr">
        <is>
          <t>I</t>
        </is>
      </c>
      <c r="C4905" s="12" t="inlineStr">
        <is>
          <t>Modular / portable power</t>
        </is>
      </c>
      <c r="D4905" s="12" t="inlineStr">
        <is>
          <t>Fuel-cell AC cabinet to MOD-LV</t>
        </is>
      </c>
      <c r="E4905" s="12" t="inlineStr"/>
      <c r="F4905" s="12" t="inlineStr">
        <is>
          <t>FC-5..12 inverter / AC cabinet / desulfurizer</t>
        </is>
      </c>
      <c r="G4905" s="12" t="inlineStr"/>
      <c r="H4905" s="12" t="inlineStr">
        <is>
          <t>MOD-LV 480 V board + 480 V : 13.8 kV step-up</t>
        </is>
      </c>
      <c r="I4905" s="12" t="inlineStr">
        <is>
          <t>LV 600 V</t>
        </is>
      </c>
      <c r="J4905" s="12" t="inlineStr">
        <is>
          <t>Type TC-ER 600 V 3/C Cu XHHW-2 + ground, PVC jacket</t>
        </is>
      </c>
      <c r="K4905" s="12" t="inlineStr">
        <is>
          <t>LV|3/C+G|500</t>
        </is>
      </c>
      <c r="L4905" s="12" t="inlineStr">
        <is>
          <t>3/C+G</t>
        </is>
      </c>
      <c r="M4905" s="12" t="inlineStr">
        <is>
          <t>500 kcmil</t>
        </is>
      </c>
      <c r="N4905" s="12" t="n">
        <v>12</v>
      </c>
      <c r="O4905" s="12" t="n">
        <v>1</v>
      </c>
      <c r="P4905" s="12" t="n">
        <v>480</v>
      </c>
      <c r="Q4905" s="12" t="n">
        <v>2000</v>
      </c>
      <c r="R4905" s="12" t="n">
        <v>2532.3</v>
      </c>
      <c r="S4905" s="12" t="inlineStr">
        <is>
          <t>Duct bank</t>
        </is>
      </c>
      <c r="T4905" s="17" t="n">
        <v>2572</v>
      </c>
      <c r="U4905" s="17" t="n">
        <v>34</v>
      </c>
      <c r="V4905" s="17">
        <f>ROUNDUP((T4905+U4905+2*'Read Me'!$B$13)*(1+'Read Me'!$B$12),-1)</f>
        <v/>
      </c>
      <c r="W4905" s="17">
        <f>V4905*N4905*O4905</f>
        <v/>
      </c>
      <c r="X4905" s="12">
        <f>IF(LEFT(I4905,2)="MV",2*N4905*IF(L4905="1/C",O4905,1),0)</f>
        <v/>
      </c>
      <c r="Y4905" s="12">
        <f>IF(OR(LEFT(K4905,4)="LVAX",LEFT(K4905,6)="MV15AX",LEFT(K4905,4)="CTAX",LEFT(K4905,2)="W|"),2*N4905*O4905,0)</f>
        <v/>
      </c>
      <c r="Z4905" s="12" t="inlineStr"/>
      <c r="AA4905" s="12">
        <f>N4905*O4905</f>
        <v/>
      </c>
    </row>
    <row r="4906">
      <c r="A4906" s="12" t="inlineStr">
        <is>
          <t>I-P-0026</t>
        </is>
      </c>
      <c r="B4906" s="12" t="inlineStr">
        <is>
          <t>I</t>
        </is>
      </c>
      <c r="C4906" s="12" t="inlineStr">
        <is>
          <t>Modular / portable power</t>
        </is>
      </c>
      <c r="D4906" s="12" t="inlineStr">
        <is>
          <t>MT-4 microturbine output</t>
        </is>
      </c>
      <c r="E4906" s="12" t="inlineStr">
        <is>
          <t>MT-4</t>
        </is>
      </c>
      <c r="F4906" s="12" t="inlineStr">
        <is>
          <t>MT-4: microturbine 1 MW (Capstone C1000 class)</t>
        </is>
      </c>
      <c r="G4906" s="12" t="inlineStr"/>
      <c r="H4906" s="12" t="inlineStr">
        <is>
          <t>MOD-LV 480 V board + 480 V : 13.8 kV step-up</t>
        </is>
      </c>
      <c r="I4906" s="12" t="inlineStr">
        <is>
          <t>LV 600 V</t>
        </is>
      </c>
      <c r="J4906" s="12" t="inlineStr">
        <is>
          <t>Type TC-ER 600 V 3/C Cu XHHW-2 + ground, PVC jacket</t>
        </is>
      </c>
      <c r="K4906" s="12" t="inlineStr">
        <is>
          <t>LV|3/C+G|500</t>
        </is>
      </c>
      <c r="L4906" s="12" t="inlineStr">
        <is>
          <t>3/C+G</t>
        </is>
      </c>
      <c r="M4906" s="12" t="inlineStr">
        <is>
          <t>500 kcmil</t>
        </is>
      </c>
      <c r="N4906" s="12" t="n">
        <v>12</v>
      </c>
      <c r="O4906" s="12" t="n">
        <v>1</v>
      </c>
      <c r="P4906" s="12" t="n">
        <v>480</v>
      </c>
      <c r="Q4906" s="12" t="n">
        <v>1000</v>
      </c>
      <c r="R4906" s="12" t="n">
        <v>1266.2</v>
      </c>
      <c r="S4906" s="12" t="inlineStr">
        <is>
          <t>Duct bank</t>
        </is>
      </c>
      <c r="T4906" s="17" t="n">
        <v>2596</v>
      </c>
      <c r="U4906" s="17" t="n">
        <v>44</v>
      </c>
      <c r="V4906" s="17">
        <f>ROUNDUP((T4906+U4906+2*'Read Me'!$B$13)*(1+'Read Me'!$B$12),-1)</f>
        <v/>
      </c>
      <c r="W4906" s="17">
        <f>V4906*N4906*O4906</f>
        <v/>
      </c>
      <c r="X4906" s="12">
        <f>IF(LEFT(I4906,2)="MV",2*N4906*IF(L4906="1/C",O4906,1),0)</f>
        <v/>
      </c>
      <c r="Y4906" s="12">
        <f>IF(OR(LEFT(K4906,4)="LVAX",LEFT(K4906,6)="MV15AX",LEFT(K4906,4)="CTAX",LEFT(K4906,2)="W|"),2*N4906*O4906,0)</f>
        <v/>
      </c>
      <c r="Z4906" s="12" t="inlineStr">
        <is>
          <t>VD 2.9 %</t>
        </is>
      </c>
      <c r="AA4906" s="12">
        <f>N4906*O4906</f>
        <v/>
      </c>
    </row>
    <row r="4907">
      <c r="A4907" s="12" t="inlineStr">
        <is>
          <t>I-P-0027</t>
        </is>
      </c>
      <c r="B4907" s="12" t="inlineStr">
        <is>
          <t>I</t>
        </is>
      </c>
      <c r="C4907" s="12" t="inlineStr">
        <is>
          <t>Modular / portable power</t>
        </is>
      </c>
      <c r="D4907" s="12" t="inlineStr">
        <is>
          <t>MT-5 microturbine output</t>
        </is>
      </c>
      <c r="E4907" s="12" t="inlineStr">
        <is>
          <t>MT-5</t>
        </is>
      </c>
      <c r="F4907" s="12" t="inlineStr">
        <is>
          <t>MT-5: microturbine 1 MW (Capstone C1000 class)</t>
        </is>
      </c>
      <c r="G4907" s="12" t="inlineStr"/>
      <c r="H4907" s="12" t="inlineStr">
        <is>
          <t>MOD-LV 480 V board + 480 V : 13.8 kV step-up</t>
        </is>
      </c>
      <c r="I4907" s="12" t="inlineStr">
        <is>
          <t>LV 600 V</t>
        </is>
      </c>
      <c r="J4907" s="12" t="inlineStr">
        <is>
          <t>Type TC-ER 600 V 3/C Cu XHHW-2 + ground, PVC jacket</t>
        </is>
      </c>
      <c r="K4907" s="12" t="inlineStr">
        <is>
          <t>LV|3/C+G|500</t>
        </is>
      </c>
      <c r="L4907" s="12" t="inlineStr">
        <is>
          <t>3/C+G</t>
        </is>
      </c>
      <c r="M4907" s="12" t="inlineStr">
        <is>
          <t>500 kcmil</t>
        </is>
      </c>
      <c r="N4907" s="12" t="n">
        <v>12</v>
      </c>
      <c r="O4907" s="12" t="n">
        <v>1</v>
      </c>
      <c r="P4907" s="12" t="n">
        <v>480</v>
      </c>
      <c r="Q4907" s="12" t="n">
        <v>1000</v>
      </c>
      <c r="R4907" s="12" t="n">
        <v>1266.2</v>
      </c>
      <c r="S4907" s="12" t="inlineStr">
        <is>
          <t>Duct bank</t>
        </is>
      </c>
      <c r="T4907" s="17" t="n">
        <v>2620</v>
      </c>
      <c r="U4907" s="17" t="n">
        <v>34</v>
      </c>
      <c r="V4907" s="17">
        <f>ROUNDUP((T4907+U4907+2*'Read Me'!$B$13)*(1+'Read Me'!$B$12),-1)</f>
        <v/>
      </c>
      <c r="W4907" s="17">
        <f>V4907*N4907*O4907</f>
        <v/>
      </c>
      <c r="X4907" s="12">
        <f>IF(LEFT(I4907,2)="MV",2*N4907*IF(L4907="1/C",O4907,1),0)</f>
        <v/>
      </c>
      <c r="Y4907" s="12">
        <f>IF(OR(LEFT(K4907,4)="LVAX",LEFT(K4907,6)="MV15AX",LEFT(K4907,4)="CTAX",LEFT(K4907,2)="W|"),2*N4907*O4907,0)</f>
        <v/>
      </c>
      <c r="Z4907" s="12" t="inlineStr">
        <is>
          <t>VD 2.9 %</t>
        </is>
      </c>
      <c r="AA4907" s="12">
        <f>N4907*O4907</f>
        <v/>
      </c>
    </row>
    <row r="4908">
      <c r="A4908" s="12" t="inlineStr">
        <is>
          <t>I-P-0028</t>
        </is>
      </c>
      <c r="B4908" s="12" t="inlineStr">
        <is>
          <t>I</t>
        </is>
      </c>
      <c r="C4908" s="12" t="inlineStr">
        <is>
          <t>Modular / portable power</t>
        </is>
      </c>
      <c r="D4908" s="12" t="inlineStr">
        <is>
          <t>MT-6 microturbine output</t>
        </is>
      </c>
      <c r="E4908" s="12" t="inlineStr">
        <is>
          <t>MT-6</t>
        </is>
      </c>
      <c r="F4908" s="12" t="inlineStr">
        <is>
          <t>MT-6: microturbine 1 MW (Capstone C1000 class)</t>
        </is>
      </c>
      <c r="G4908" s="12" t="inlineStr"/>
      <c r="H4908" s="12" t="inlineStr">
        <is>
          <t>MOD-LV 480 V board + 480 V : 13.8 kV step-up</t>
        </is>
      </c>
      <c r="I4908" s="12" t="inlineStr">
        <is>
          <t>LV 600 V</t>
        </is>
      </c>
      <c r="J4908" s="12" t="inlineStr">
        <is>
          <t>Type TC-ER 600 V 3/C Cu XHHW-2 + ground, PVC jacket</t>
        </is>
      </c>
      <c r="K4908" s="12" t="inlineStr">
        <is>
          <t>LV|3/C+G|500</t>
        </is>
      </c>
      <c r="L4908" s="12" t="inlineStr">
        <is>
          <t>3/C+G</t>
        </is>
      </c>
      <c r="M4908" s="12" t="inlineStr">
        <is>
          <t>500 kcmil</t>
        </is>
      </c>
      <c r="N4908" s="12" t="n">
        <v>12</v>
      </c>
      <c r="O4908" s="12" t="n">
        <v>1</v>
      </c>
      <c r="P4908" s="12" t="n">
        <v>480</v>
      </c>
      <c r="Q4908" s="12" t="n">
        <v>1000</v>
      </c>
      <c r="R4908" s="12" t="n">
        <v>1266.2</v>
      </c>
      <c r="S4908" s="12" t="inlineStr">
        <is>
          <t>Duct bank</t>
        </is>
      </c>
      <c r="T4908" s="17" t="n">
        <v>2753</v>
      </c>
      <c r="U4908" s="17" t="n">
        <v>51</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I-P-0029</t>
        </is>
      </c>
      <c r="B4909" s="12" t="inlineStr">
        <is>
          <t>I</t>
        </is>
      </c>
      <c r="C4909" s="12" t="inlineStr">
        <is>
          <t>Modular / portable power</t>
        </is>
      </c>
      <c r="D4909" s="12" t="inlineStr">
        <is>
          <t>PAD-LV to PAD-TX</t>
        </is>
      </c>
      <c r="E4909" s="12" t="inlineStr">
        <is>
          <t>PAD-LV</t>
        </is>
      </c>
      <c r="F4909" s="12" t="inlineStr">
        <is>
          <t>PAD-LV 480 V paralleling switchboard</t>
        </is>
      </c>
      <c r="G4909" s="12" t="inlineStr">
        <is>
          <t>PAD-TX</t>
        </is>
      </c>
      <c r="H4909" s="12" t="inlineStr">
        <is>
          <t>PAD-TX 480 V : 13.8 kV</t>
        </is>
      </c>
      <c r="I4909" s="12" t="inlineStr">
        <is>
          <t>LV 600 V</t>
        </is>
      </c>
      <c r="J4909" s="12" t="inlineStr">
        <is>
          <t>XHHW-2 600 V 1/C Cu (feeder sets in tray / duct)</t>
        </is>
      </c>
      <c r="K4909" s="12" t="inlineStr">
        <is>
          <t>LV1C|1/C|500</t>
        </is>
      </c>
      <c r="L4909" s="12" t="inlineStr">
        <is>
          <t>1/C</t>
        </is>
      </c>
      <c r="M4909" s="12" t="inlineStr">
        <is>
          <t>500 kcmil</t>
        </is>
      </c>
      <c r="N4909" s="12" t="n">
        <v>12</v>
      </c>
      <c r="O4909" s="12" t="n">
        <v>4</v>
      </c>
      <c r="P4909" s="12" t="n">
        <v>480</v>
      </c>
      <c r="Q4909" s="12" t="n">
        <v>3000</v>
      </c>
      <c r="R4909" s="12" t="n">
        <v>3600</v>
      </c>
      <c r="S4909" s="12" t="inlineStr">
        <is>
          <t>Duct bank</t>
        </is>
      </c>
      <c r="T4909" s="17" t="n">
        <v>55</v>
      </c>
      <c r="U4909" s="17" t="n">
        <v>32</v>
      </c>
      <c r="V4909" s="17">
        <f>ROUNDUP((T4909+U4909+2*'Read Me'!$B$13)*(1+'Read Me'!$B$12),-1)</f>
        <v/>
      </c>
      <c r="W4909" s="17">
        <f>V4909*N4909*O4909</f>
        <v/>
      </c>
      <c r="X4909" s="12">
        <f>IF(LEFT(I4909,2)="MV",2*N4909*IF(L4909="1/C",O4909,1),0)</f>
        <v/>
      </c>
      <c r="Y4909" s="12">
        <f>IF(OR(LEFT(K4909,4)="LVAX",LEFT(K4909,6)="MV15AX",LEFT(K4909,4)="CTAX",LEFT(K4909,2)="W|"),2*N4909*O4909,0)</f>
        <v/>
      </c>
      <c r="Z4909" s="12" t="inlineStr">
        <is>
          <t>12 sets of 4 x 1/C (or bus duct)</t>
        </is>
      </c>
      <c r="AA4909" s="12">
        <f>N4909*O4909</f>
        <v/>
      </c>
    </row>
    <row r="4910">
      <c r="A4910" s="12" t="inlineStr">
        <is>
          <t>I-P-0030</t>
        </is>
      </c>
      <c r="B4910" s="12" t="inlineStr">
        <is>
          <t>I</t>
        </is>
      </c>
      <c r="C4910" s="12" t="inlineStr">
        <is>
          <t>Modular / portable power</t>
        </is>
      </c>
      <c r="D4910" s="12" t="inlineStr">
        <is>
          <t>LV panel / distribution feeder</t>
        </is>
      </c>
      <c r="E4910" s="12" t="inlineStr"/>
      <c r="F4910" s="12" t="inlineStr">
        <is>
          <t>PCM: power control module</t>
        </is>
      </c>
      <c r="G4910" s="12" t="inlineStr"/>
      <c r="H4910" s="12" t="inlineStr">
        <is>
          <t>PCM: power control module</t>
        </is>
      </c>
      <c r="I4910" s="12" t="inlineStr">
        <is>
          <t>LV 600 V</t>
        </is>
      </c>
      <c r="J4910" s="12" t="inlineStr">
        <is>
          <t>Type TC-ER 600 V 3/C Cu XHHW-2 + ground, PVC jacket</t>
        </is>
      </c>
      <c r="K4910" s="12" t="inlineStr">
        <is>
          <t>LV|3/C+G|4</t>
        </is>
      </c>
      <c r="L4910" s="12" t="inlineStr">
        <is>
          <t>3/C+G</t>
        </is>
      </c>
      <c r="M4910" s="12" t="inlineStr">
        <is>
          <t>4</t>
        </is>
      </c>
      <c r="N4910" s="12" t="n">
        <v>1</v>
      </c>
      <c r="O4910" s="12" t="n">
        <v>1</v>
      </c>
      <c r="P4910" s="12" t="n">
        <v>480</v>
      </c>
      <c r="Q4910" s="12" t="n">
        <v>38</v>
      </c>
      <c r="R4910" s="12" t="n">
        <v>53.8</v>
      </c>
      <c r="S4910" s="12" t="inlineStr">
        <is>
          <t>Tray</t>
        </is>
      </c>
      <c r="T4910" s="17" t="n">
        <v>0</v>
      </c>
      <c r="U4910" s="17" t="n">
        <v>32</v>
      </c>
      <c r="V4910" s="17">
        <f>ROUNDUP((T4910+U4910+2*'Read Me'!$B$13)*(1+'Read Me'!$B$12),-1)</f>
        <v/>
      </c>
      <c r="W4910" s="17">
        <f>V4910*N4910*O4910</f>
        <v/>
      </c>
      <c r="X4910" s="12">
        <f>IF(LEFT(I4910,2)="MV",2*N4910*IF(L4910="1/C",O4910,1),0)</f>
        <v/>
      </c>
      <c r="Y4910" s="12">
        <f>IF(OR(LEFT(K4910,4)="LVAX",LEFT(K4910,6)="MV15AX",LEFT(K4910,4)="CTAX",LEFT(K4910,2)="W|"),2*N4910*O4910,0)</f>
        <v/>
      </c>
      <c r="Z4910" s="12" t="inlineStr">
        <is>
          <t>VD 0.2 %</t>
        </is>
      </c>
      <c r="AA4910" s="12">
        <f>N4910*O4910</f>
        <v/>
      </c>
    </row>
    <row r="4911">
      <c r="A4911" s="12" t="inlineStr">
        <is>
          <t>I-P-0031</t>
        </is>
      </c>
      <c r="B4911" s="12" t="inlineStr">
        <is>
          <t>I</t>
        </is>
      </c>
      <c r="C4911" s="12" t="inlineStr">
        <is>
          <t>Modular / portable power</t>
        </is>
      </c>
      <c r="D4911" s="12" t="inlineStr">
        <is>
          <t>Motor 1 of 1, 15 kW</t>
        </is>
      </c>
      <c r="E4911" s="12" t="inlineStr"/>
      <c r="F4911" s="12" t="inlineStr">
        <is>
          <t>PCM: power control module</t>
        </is>
      </c>
      <c r="G4911" s="12" t="inlineStr"/>
      <c r="H4911" s="12" t="inlineStr">
        <is>
          <t>RICE 1 SCR + oxidation catalyst and stack</t>
        </is>
      </c>
      <c r="I4911" s="12" t="inlineStr">
        <is>
          <t>LV 600 V</t>
        </is>
      </c>
      <c r="J4911" s="12" t="inlineStr">
        <is>
          <t>Type TC-ER 600 V 3/C Cu XHHW-2 + ground, PVC jacket</t>
        </is>
      </c>
      <c r="K4911" s="12" t="inlineStr">
        <is>
          <t>LV|3/C+G|6</t>
        </is>
      </c>
      <c r="L4911" s="12" t="inlineStr">
        <is>
          <t>3/C+G</t>
        </is>
      </c>
      <c r="M4911" s="12" t="inlineStr">
        <is>
          <t>6</t>
        </is>
      </c>
      <c r="N4911" s="12" t="n">
        <v>1</v>
      </c>
      <c r="O4911" s="12" t="n">
        <v>1</v>
      </c>
      <c r="P4911" s="12" t="n">
        <v>480</v>
      </c>
      <c r="Q4911" s="12" t="n">
        <v>15</v>
      </c>
      <c r="R4911" s="12" t="n">
        <v>21.2</v>
      </c>
      <c r="S4911" s="12" t="inlineStr">
        <is>
          <t>Duct bank</t>
        </is>
      </c>
      <c r="T4911" s="17" t="n">
        <v>470</v>
      </c>
      <c r="U4911" s="17" t="n">
        <v>160</v>
      </c>
      <c r="V4911" s="17">
        <f>ROUNDUP((T4911+U4911+2*'Read Me'!$B$13)*(1+'Read Me'!$B$12),-1)</f>
        <v/>
      </c>
      <c r="W4911" s="17">
        <f>V4911*N4911*O4911</f>
        <v/>
      </c>
      <c r="X4911" s="12">
        <f>IF(LEFT(I4911,2)="MV",2*N4911*IF(L4911="1/C",O4911,1),0)</f>
        <v/>
      </c>
      <c r="Y4911" s="12">
        <f>IF(OR(LEFT(K4911,4)="LVAX",LEFT(K4911,6)="MV15AX",LEFT(K4911,4)="CTAX",LEFT(K4911,2)="W|"),2*N4911*O4911,0)</f>
        <v/>
      </c>
      <c r="Z4911" s="12" t="inlineStr">
        <is>
          <t>VD 2.6 %</t>
        </is>
      </c>
      <c r="AA4911" s="12">
        <f>N4911*O4911</f>
        <v/>
      </c>
    </row>
    <row r="4912">
      <c r="A4912" s="12" t="inlineStr">
        <is>
          <t>I-P-0032</t>
        </is>
      </c>
      <c r="B4912" s="12" t="inlineStr">
        <is>
          <t>I</t>
        </is>
      </c>
      <c r="C4912" s="12" t="inlineStr">
        <is>
          <t>Modular / portable power</t>
        </is>
      </c>
      <c r="D4912" s="12" t="inlineStr">
        <is>
          <t>Area / platform lighting circuit 1 (6 fixtures)</t>
        </is>
      </c>
      <c r="E4912" s="12" t="inlineStr"/>
      <c r="F4912" s="12" t="inlineStr">
        <is>
          <t>PCM: power control module</t>
        </is>
      </c>
      <c r="G4912" s="12" t="inlineStr"/>
      <c r="H4912" s="12" t="inlineStr">
        <is>
          <t>RICE 1 SCR + oxidation catalyst and stack</t>
        </is>
      </c>
      <c r="I4912" s="12" t="inlineStr">
        <is>
          <t>LV 600 V</t>
        </is>
      </c>
      <c r="J4912" s="12" t="inlineStr">
        <is>
          <t>Type TC-ER 600 V 3/C Cu XHHW-2 + ground, PVC jacket</t>
        </is>
      </c>
      <c r="K4912" s="12" t="inlineStr">
        <is>
          <t>LV|3/C+G|10</t>
        </is>
      </c>
      <c r="L4912" s="12" t="inlineStr">
        <is>
          <t>3/C+G</t>
        </is>
      </c>
      <c r="M4912" s="12" t="inlineStr">
        <is>
          <t>10</t>
        </is>
      </c>
      <c r="N4912" s="12" t="n">
        <v>1</v>
      </c>
      <c r="O4912" s="12" t="n">
        <v>1</v>
      </c>
      <c r="P4912" s="12" t="n">
        <v>480</v>
      </c>
      <c r="Q4912" s="12" t="n">
        <v>3</v>
      </c>
      <c r="R4912" s="12" t="n">
        <v>5</v>
      </c>
      <c r="S4912" s="12" t="inlineStr">
        <is>
          <t>Duct bank</t>
        </is>
      </c>
      <c r="T4912" s="17" t="n">
        <v>770</v>
      </c>
      <c r="U4912" s="17" t="n">
        <v>160</v>
      </c>
      <c r="V4912" s="17">
        <f>ROUNDUP((T4912+U4912+2*'Read Me'!$B$13)*(1+'Read Me'!$B$12),-1)</f>
        <v/>
      </c>
      <c r="W4912" s="17">
        <f>V4912*N4912*O4912</f>
        <v/>
      </c>
      <c r="X4912" s="12">
        <f>IF(LEFT(I4912,2)="MV",2*N4912*IF(L4912="1/C",O4912,1),0)</f>
        <v/>
      </c>
      <c r="Y4912" s="12">
        <f>IF(OR(LEFT(K4912,4)="LVAX",LEFT(K4912,6)="MV15AX",LEFT(K4912,4)="CTAX",LEFT(K4912,2)="W|"),2*N4912*O4912,0)</f>
        <v/>
      </c>
      <c r="Z4912" s="12" t="inlineStr">
        <is>
          <t>fixture-to-fixture run included</t>
        </is>
      </c>
      <c r="AA4912" s="12">
        <f>N4912*O4912</f>
        <v/>
      </c>
    </row>
    <row r="4913">
      <c r="A4913" s="12" t="inlineStr">
        <is>
          <t>I-P-0033</t>
        </is>
      </c>
      <c r="B4913" s="12" t="inlineStr">
        <is>
          <t>I</t>
        </is>
      </c>
      <c r="C4913" s="12" t="inlineStr">
        <is>
          <t>Modular / portable power</t>
        </is>
      </c>
      <c r="D4913" s="12" t="inlineStr">
        <is>
          <t>Motor 1 of 5, 30 kW (VFD output)</t>
        </is>
      </c>
      <c r="E4913" s="12" t="inlineStr"/>
      <c r="F4913" s="12" t="inlineStr">
        <is>
          <t>PCM: power control module</t>
        </is>
      </c>
      <c r="G4913" s="12" t="inlineStr"/>
      <c r="H4913" s="12" t="inlineStr">
        <is>
          <t>RICE 1 radiators (5)</t>
        </is>
      </c>
      <c r="I4913" s="12" t="inlineStr">
        <is>
          <t>LV 600 V</t>
        </is>
      </c>
      <c r="J4913" s="12" t="inlineStr">
        <is>
          <t>VFD cable 600 V 3/C Cu XHHW-2, 3 symmetrical grounds, overall Cu tape shield, TC-ER</t>
        </is>
      </c>
      <c r="K4913" s="12" t="inlineStr">
        <is>
          <t>VFD|3/C+3G|1</t>
        </is>
      </c>
      <c r="L4913" s="12" t="inlineStr">
        <is>
          <t>3/C+3G</t>
        </is>
      </c>
      <c r="M4913" s="12" t="inlineStr">
        <is>
          <t>1</t>
        </is>
      </c>
      <c r="N4913" s="12" t="n">
        <v>1</v>
      </c>
      <c r="O4913" s="12" t="n">
        <v>1</v>
      </c>
      <c r="P4913" s="12" t="n">
        <v>480</v>
      </c>
      <c r="Q4913" s="12" t="n">
        <v>30</v>
      </c>
      <c r="R4913" s="12" t="n">
        <v>42</v>
      </c>
      <c r="S4913" s="12" t="inlineStr">
        <is>
          <t>Duct bank</t>
        </is>
      </c>
      <c r="T4913" s="17" t="n">
        <v>825</v>
      </c>
      <c r="U4913" s="17" t="n">
        <v>139</v>
      </c>
      <c r="V4913" s="17">
        <f>ROUNDUP((T4913+U4913+2*'Read Me'!$B$13)*(1+'Read Me'!$B$12),-1)</f>
        <v/>
      </c>
      <c r="W4913" s="17">
        <f>V4913*N4913*O4913</f>
        <v/>
      </c>
      <c r="X4913" s="12">
        <f>IF(LEFT(I4913,2)="MV",2*N4913*IF(L4913="1/C",O4913,1),0)</f>
        <v/>
      </c>
      <c r="Y4913" s="12">
        <f>IF(OR(LEFT(K4913,4)="LVAX",LEFT(K4913,6)="MV15AX",LEFT(K4913,4)="CTAX",LEFT(K4913,2)="W|"),2*N4913*O4913,0)</f>
        <v/>
      </c>
      <c r="Z4913" s="12" t="inlineStr">
        <is>
          <t>VD 2.5 %</t>
        </is>
      </c>
      <c r="AA4913" s="12">
        <f>N4913*O4913</f>
        <v/>
      </c>
    </row>
    <row r="4914">
      <c r="A4914" s="12" t="inlineStr">
        <is>
          <t>I-P-0034</t>
        </is>
      </c>
      <c r="B4914" s="12" t="inlineStr">
        <is>
          <t>I</t>
        </is>
      </c>
      <c r="C4914" s="12" t="inlineStr">
        <is>
          <t>Modular / portable power</t>
        </is>
      </c>
      <c r="D4914" s="12" t="inlineStr">
        <is>
          <t>Motor 2 of 5, 30 kW (VFD output)</t>
        </is>
      </c>
      <c r="E4914" s="12" t="inlineStr"/>
      <c r="F4914" s="12" t="inlineStr">
        <is>
          <t>PCM: power control module</t>
        </is>
      </c>
      <c r="G4914" s="12" t="inlineStr"/>
      <c r="H4914" s="12" t="inlineStr">
        <is>
          <t>RICE 1 radiators (5)</t>
        </is>
      </c>
      <c r="I4914" s="12" t="inlineStr">
        <is>
          <t>LV 600 V</t>
        </is>
      </c>
      <c r="J4914" s="12" t="inlineStr">
        <is>
          <t>VFD cable 600 V 3/C Cu XHHW-2, 3 symmetrical grounds, overall Cu tape shield, TC-ER</t>
        </is>
      </c>
      <c r="K4914" s="12" t="inlineStr">
        <is>
          <t>VFD|3/C+3G|1</t>
        </is>
      </c>
      <c r="L4914" s="12" t="inlineStr">
        <is>
          <t>3/C+3G</t>
        </is>
      </c>
      <c r="M4914" s="12" t="inlineStr">
        <is>
          <t>1</t>
        </is>
      </c>
      <c r="N4914" s="12" t="n">
        <v>1</v>
      </c>
      <c r="O4914" s="12" t="n">
        <v>1</v>
      </c>
      <c r="P4914" s="12" t="n">
        <v>480</v>
      </c>
      <c r="Q4914" s="12" t="n">
        <v>30</v>
      </c>
      <c r="R4914" s="12" t="n">
        <v>42</v>
      </c>
      <c r="S4914" s="12" t="inlineStr">
        <is>
          <t>Duct bank</t>
        </is>
      </c>
      <c r="T4914" s="17" t="n">
        <v>825</v>
      </c>
      <c r="U4914" s="17" t="n">
        <v>139</v>
      </c>
      <c r="V4914" s="17">
        <f>ROUNDUP((T4914+U4914+2*'Read Me'!$B$13)*(1+'Read Me'!$B$12),-1)</f>
        <v/>
      </c>
      <c r="W4914" s="17">
        <f>V4914*N4914*O4914</f>
        <v/>
      </c>
      <c r="X4914" s="12">
        <f>IF(LEFT(I4914,2)="MV",2*N4914*IF(L4914="1/C",O4914,1),0)</f>
        <v/>
      </c>
      <c r="Y4914" s="12">
        <f>IF(OR(LEFT(K4914,4)="LVAX",LEFT(K4914,6)="MV15AX",LEFT(K4914,4)="CTAX",LEFT(K4914,2)="W|"),2*N4914*O4914,0)</f>
        <v/>
      </c>
      <c r="Z4914" s="12" t="inlineStr">
        <is>
          <t>VD 2.5 %</t>
        </is>
      </c>
      <c r="AA4914" s="12">
        <f>N4914*O4914</f>
        <v/>
      </c>
    </row>
    <row r="4915">
      <c r="A4915" s="12" t="inlineStr">
        <is>
          <t>I-P-0035</t>
        </is>
      </c>
      <c r="B4915" s="12" t="inlineStr">
        <is>
          <t>I</t>
        </is>
      </c>
      <c r="C4915" s="12" t="inlineStr">
        <is>
          <t>Modular / portable power</t>
        </is>
      </c>
      <c r="D4915" s="12" t="inlineStr">
        <is>
          <t>Motor 3 of 5, 30 kW (VFD output)</t>
        </is>
      </c>
      <c r="E4915" s="12" t="inlineStr"/>
      <c r="F4915" s="12" t="inlineStr">
        <is>
          <t>PCM: power control module</t>
        </is>
      </c>
      <c r="G4915" s="12" t="inlineStr"/>
      <c r="H4915" s="12" t="inlineStr">
        <is>
          <t>RICE 1 radiators (5)</t>
        </is>
      </c>
      <c r="I4915" s="12" t="inlineStr">
        <is>
          <t>LV 600 V</t>
        </is>
      </c>
      <c r="J4915" s="12" t="inlineStr">
        <is>
          <t>VFD cable 600 V 3/C Cu XHHW-2, 3 symmetrical grounds, overall Cu tape shield, TC-ER</t>
        </is>
      </c>
      <c r="K4915" s="12" t="inlineStr">
        <is>
          <t>VFD|3/C+3G|1</t>
        </is>
      </c>
      <c r="L4915" s="12" t="inlineStr">
        <is>
          <t>3/C+3G</t>
        </is>
      </c>
      <c r="M4915" s="12" t="inlineStr">
        <is>
          <t>1</t>
        </is>
      </c>
      <c r="N4915" s="12" t="n">
        <v>1</v>
      </c>
      <c r="O4915" s="12" t="n">
        <v>1</v>
      </c>
      <c r="P4915" s="12" t="n">
        <v>480</v>
      </c>
      <c r="Q4915" s="12" t="n">
        <v>30</v>
      </c>
      <c r="R4915" s="12" t="n">
        <v>42</v>
      </c>
      <c r="S4915" s="12" t="inlineStr">
        <is>
          <t>Duct bank</t>
        </is>
      </c>
      <c r="T4915" s="17" t="n">
        <v>825</v>
      </c>
      <c r="U4915" s="17" t="n">
        <v>139</v>
      </c>
      <c r="V4915" s="17">
        <f>ROUNDUP((T4915+U4915+2*'Read Me'!$B$13)*(1+'Read Me'!$B$12),-1)</f>
        <v/>
      </c>
      <c r="W4915" s="17">
        <f>V4915*N4915*O4915</f>
        <v/>
      </c>
      <c r="X4915" s="12">
        <f>IF(LEFT(I4915,2)="MV",2*N4915*IF(L4915="1/C",O4915,1),0)</f>
        <v/>
      </c>
      <c r="Y4915" s="12">
        <f>IF(OR(LEFT(K4915,4)="LVAX",LEFT(K4915,6)="MV15AX",LEFT(K4915,4)="CTAX",LEFT(K4915,2)="W|"),2*N4915*O4915,0)</f>
        <v/>
      </c>
      <c r="Z4915" s="12" t="inlineStr">
        <is>
          <t>VD 2.5 %</t>
        </is>
      </c>
      <c r="AA4915" s="12">
        <f>N4915*O4915</f>
        <v/>
      </c>
    </row>
    <row r="4916">
      <c r="A4916" s="12" t="inlineStr">
        <is>
          <t>I-P-0036</t>
        </is>
      </c>
      <c r="B4916" s="12" t="inlineStr">
        <is>
          <t>I</t>
        </is>
      </c>
      <c r="C4916" s="12" t="inlineStr">
        <is>
          <t>Modular / portable power</t>
        </is>
      </c>
      <c r="D4916" s="12" t="inlineStr">
        <is>
          <t>Motor 4 of 5, 30 kW (VFD output)</t>
        </is>
      </c>
      <c r="E4916" s="12" t="inlineStr"/>
      <c r="F4916" s="12" t="inlineStr">
        <is>
          <t>PCM: power control module</t>
        </is>
      </c>
      <c r="G4916" s="12" t="inlineStr"/>
      <c r="H4916" s="12" t="inlineStr">
        <is>
          <t>RICE 1 radiators (5)</t>
        </is>
      </c>
      <c r="I4916" s="12" t="inlineStr">
        <is>
          <t>LV 600 V</t>
        </is>
      </c>
      <c r="J4916" s="12" t="inlineStr">
        <is>
          <t>VFD cable 600 V 3/C Cu XHHW-2, 3 symmetrical grounds, overall Cu tape shield, TC-ER</t>
        </is>
      </c>
      <c r="K4916" s="12" t="inlineStr">
        <is>
          <t>VFD|3/C+3G|1</t>
        </is>
      </c>
      <c r="L4916" s="12" t="inlineStr">
        <is>
          <t>3/C+3G</t>
        </is>
      </c>
      <c r="M4916" s="12" t="inlineStr">
        <is>
          <t>1</t>
        </is>
      </c>
      <c r="N4916" s="12" t="n">
        <v>1</v>
      </c>
      <c r="O4916" s="12" t="n">
        <v>1</v>
      </c>
      <c r="P4916" s="12" t="n">
        <v>480</v>
      </c>
      <c r="Q4916" s="12" t="n">
        <v>30</v>
      </c>
      <c r="R4916" s="12" t="n">
        <v>42</v>
      </c>
      <c r="S4916" s="12" t="inlineStr">
        <is>
          <t>Duct bank</t>
        </is>
      </c>
      <c r="T4916" s="17" t="n">
        <v>825</v>
      </c>
      <c r="U4916" s="17" t="n">
        <v>139</v>
      </c>
      <c r="V4916" s="17">
        <f>ROUNDUP((T4916+U4916+2*'Read Me'!$B$13)*(1+'Read Me'!$B$12),-1)</f>
        <v/>
      </c>
      <c r="W4916" s="17">
        <f>V4916*N4916*O4916</f>
        <v/>
      </c>
      <c r="X4916" s="12">
        <f>IF(LEFT(I4916,2)="MV",2*N4916*IF(L4916="1/C",O4916,1),0)</f>
        <v/>
      </c>
      <c r="Y4916" s="12">
        <f>IF(OR(LEFT(K4916,4)="LVAX",LEFT(K4916,6)="MV15AX",LEFT(K4916,4)="CTAX",LEFT(K4916,2)="W|"),2*N4916*O4916,0)</f>
        <v/>
      </c>
      <c r="Z4916" s="12" t="inlineStr">
        <is>
          <t>VD 2.5 %</t>
        </is>
      </c>
      <c r="AA4916" s="12">
        <f>N4916*O4916</f>
        <v/>
      </c>
    </row>
    <row r="4917">
      <c r="A4917" s="12" t="inlineStr">
        <is>
          <t>I-P-0037</t>
        </is>
      </c>
      <c r="B4917" s="12" t="inlineStr">
        <is>
          <t>I</t>
        </is>
      </c>
      <c r="C4917" s="12" t="inlineStr">
        <is>
          <t>Modular / portable power</t>
        </is>
      </c>
      <c r="D4917" s="12" t="inlineStr">
        <is>
          <t>Motor 5 of 5, 30 kW (VFD output)</t>
        </is>
      </c>
      <c r="E4917" s="12" t="inlineStr"/>
      <c r="F4917" s="12" t="inlineStr">
        <is>
          <t>PCM: power control module</t>
        </is>
      </c>
      <c r="G4917" s="12" t="inlineStr"/>
      <c r="H4917" s="12" t="inlineStr">
        <is>
          <t>RICE 1 radiators (5)</t>
        </is>
      </c>
      <c r="I4917" s="12" t="inlineStr">
        <is>
          <t>LV 600 V</t>
        </is>
      </c>
      <c r="J4917" s="12" t="inlineStr">
        <is>
          <t>VFD cable 600 V 3/C Cu XHHW-2, 3 symmetrical grounds, overall Cu tape shield, TC-ER</t>
        </is>
      </c>
      <c r="K4917" s="12" t="inlineStr">
        <is>
          <t>VFD|3/C+3G|1</t>
        </is>
      </c>
      <c r="L4917" s="12" t="inlineStr">
        <is>
          <t>3/C+3G</t>
        </is>
      </c>
      <c r="M4917" s="12" t="inlineStr">
        <is>
          <t>1</t>
        </is>
      </c>
      <c r="N4917" s="12" t="n">
        <v>1</v>
      </c>
      <c r="O4917" s="12" t="n">
        <v>1</v>
      </c>
      <c r="P4917" s="12" t="n">
        <v>480</v>
      </c>
      <c r="Q4917" s="12" t="n">
        <v>30</v>
      </c>
      <c r="R4917" s="12" t="n">
        <v>42</v>
      </c>
      <c r="S4917" s="12" t="inlineStr">
        <is>
          <t>Duct bank</t>
        </is>
      </c>
      <c r="T4917" s="17" t="n">
        <v>825</v>
      </c>
      <c r="U4917" s="17" t="n">
        <v>139</v>
      </c>
      <c r="V4917" s="17">
        <f>ROUNDUP((T4917+U4917+2*'Read Me'!$B$13)*(1+'Read Me'!$B$12),-1)</f>
        <v/>
      </c>
      <c r="W4917" s="17">
        <f>V4917*N4917*O4917</f>
        <v/>
      </c>
      <c r="X4917" s="12">
        <f>IF(LEFT(I4917,2)="MV",2*N4917*IF(L4917="1/C",O4917,1),0)</f>
        <v/>
      </c>
      <c r="Y4917" s="12">
        <f>IF(OR(LEFT(K4917,4)="LVAX",LEFT(K4917,6)="MV15AX",LEFT(K4917,4)="CTAX",LEFT(K4917,2)="W|"),2*N4917*O4917,0)</f>
        <v/>
      </c>
      <c r="Z4917" s="12" t="inlineStr">
        <is>
          <t>VD 2.5 %</t>
        </is>
      </c>
      <c r="AA4917" s="12">
        <f>N4917*O4917</f>
        <v/>
      </c>
    </row>
    <row r="4918">
      <c r="A4918" s="12" t="inlineStr">
        <is>
          <t>I-P-0038</t>
        </is>
      </c>
      <c r="B4918" s="12" t="inlineStr">
        <is>
          <t>I</t>
        </is>
      </c>
      <c r="C4918" s="12" t="inlineStr">
        <is>
          <t>Modular / portable power</t>
        </is>
      </c>
      <c r="D4918" s="12" t="inlineStr">
        <is>
          <t>Motor 1 of 1, 15 kW</t>
        </is>
      </c>
      <c r="E4918" s="12" t="inlineStr"/>
      <c r="F4918" s="12" t="inlineStr">
        <is>
          <t>PCM: power control module</t>
        </is>
      </c>
      <c r="G4918" s="12" t="inlineStr"/>
      <c r="H4918" s="12" t="inlineStr">
        <is>
          <t>RICE 2 SCR + oxidation catalyst and stack</t>
        </is>
      </c>
      <c r="I4918" s="12" t="inlineStr">
        <is>
          <t>LV 600 V</t>
        </is>
      </c>
      <c r="J4918" s="12" t="inlineStr">
        <is>
          <t>Type TC-ER 600 V 3/C Cu XHHW-2 + ground, PVC jacket</t>
        </is>
      </c>
      <c r="K4918" s="12" t="inlineStr">
        <is>
          <t>LV|3/C+G|6</t>
        </is>
      </c>
      <c r="L4918" s="12" t="inlineStr">
        <is>
          <t>3/C+G</t>
        </is>
      </c>
      <c r="M4918" s="12" t="inlineStr">
        <is>
          <t>6</t>
        </is>
      </c>
      <c r="N4918" s="12" t="n">
        <v>1</v>
      </c>
      <c r="O4918" s="12" t="n">
        <v>1</v>
      </c>
      <c r="P4918" s="12" t="n">
        <v>480</v>
      </c>
      <c r="Q4918" s="12" t="n">
        <v>15</v>
      </c>
      <c r="R4918" s="12" t="n">
        <v>21.2</v>
      </c>
      <c r="S4918" s="12" t="inlineStr">
        <is>
          <t>Duct bank</t>
        </is>
      </c>
      <c r="T4918" s="17" t="n">
        <v>470</v>
      </c>
      <c r="U4918" s="17" t="n">
        <v>132</v>
      </c>
      <c r="V4918" s="17">
        <f>ROUNDUP((T4918+U4918+2*'Read Me'!$B$13)*(1+'Read Me'!$B$12),-1)</f>
        <v/>
      </c>
      <c r="W4918" s="17">
        <f>V4918*N4918*O4918</f>
        <v/>
      </c>
      <c r="X4918" s="12">
        <f>IF(LEFT(I4918,2)="MV",2*N4918*IF(L4918="1/C",O4918,1),0)</f>
        <v/>
      </c>
      <c r="Y4918" s="12">
        <f>IF(OR(LEFT(K4918,4)="LVAX",LEFT(K4918,6)="MV15AX",LEFT(K4918,4)="CTAX",LEFT(K4918,2)="W|"),2*N4918*O4918,0)</f>
        <v/>
      </c>
      <c r="Z4918" s="12" t="inlineStr">
        <is>
          <t>VD 2.5 %</t>
        </is>
      </c>
      <c r="AA4918" s="12">
        <f>N4918*O4918</f>
        <v/>
      </c>
    </row>
    <row r="4919">
      <c r="A4919" s="12" t="inlineStr">
        <is>
          <t>I-P-0039</t>
        </is>
      </c>
      <c r="B4919" s="12" t="inlineStr">
        <is>
          <t>I</t>
        </is>
      </c>
      <c r="C4919" s="12" t="inlineStr">
        <is>
          <t>Modular / portable power</t>
        </is>
      </c>
      <c r="D4919" s="12" t="inlineStr">
        <is>
          <t>Area / platform lighting circuit 1 (6 fixtures)</t>
        </is>
      </c>
      <c r="E4919" s="12" t="inlineStr"/>
      <c r="F4919" s="12" t="inlineStr">
        <is>
          <t>PCM: power control module</t>
        </is>
      </c>
      <c r="G4919" s="12" t="inlineStr"/>
      <c r="H4919" s="12" t="inlineStr">
        <is>
          <t>RICE 2 SCR + oxidation catalyst and stack</t>
        </is>
      </c>
      <c r="I4919" s="12" t="inlineStr">
        <is>
          <t>LV 600 V</t>
        </is>
      </c>
      <c r="J4919" s="12" t="inlineStr">
        <is>
          <t>Type TC-ER 600 V 3/C Cu XHHW-2 + ground, PVC jacket</t>
        </is>
      </c>
      <c r="K4919" s="12" t="inlineStr">
        <is>
          <t>LV|3/C+G|10</t>
        </is>
      </c>
      <c r="L4919" s="12" t="inlineStr">
        <is>
          <t>3/C+G</t>
        </is>
      </c>
      <c r="M4919" s="12" t="inlineStr">
        <is>
          <t>10</t>
        </is>
      </c>
      <c r="N4919" s="12" t="n">
        <v>1</v>
      </c>
      <c r="O4919" s="12" t="n">
        <v>1</v>
      </c>
      <c r="P4919" s="12" t="n">
        <v>480</v>
      </c>
      <c r="Q4919" s="12" t="n">
        <v>3</v>
      </c>
      <c r="R4919" s="12" t="n">
        <v>5</v>
      </c>
      <c r="S4919" s="12" t="inlineStr">
        <is>
          <t>Duct bank</t>
        </is>
      </c>
      <c r="T4919" s="17" t="n">
        <v>770</v>
      </c>
      <c r="U4919" s="17" t="n">
        <v>132</v>
      </c>
      <c r="V4919" s="17">
        <f>ROUNDUP((T4919+U4919+2*'Read Me'!$B$13)*(1+'Read Me'!$B$12),-1)</f>
        <v/>
      </c>
      <c r="W4919" s="17">
        <f>V4919*N4919*O4919</f>
        <v/>
      </c>
      <c r="X4919" s="12">
        <f>IF(LEFT(I4919,2)="MV",2*N4919*IF(L4919="1/C",O4919,1),0)</f>
        <v/>
      </c>
      <c r="Y4919" s="12">
        <f>IF(OR(LEFT(K4919,4)="LVAX",LEFT(K4919,6)="MV15AX",LEFT(K4919,4)="CTAX",LEFT(K4919,2)="W|"),2*N4919*O4919,0)</f>
        <v/>
      </c>
      <c r="Z4919" s="12" t="inlineStr">
        <is>
          <t>fixture-to-fixture run included</t>
        </is>
      </c>
      <c r="AA4919" s="12">
        <f>N4919*O4919</f>
        <v/>
      </c>
    </row>
    <row r="4920">
      <c r="A4920" s="12" t="inlineStr">
        <is>
          <t>I-P-0040</t>
        </is>
      </c>
      <c r="B4920" s="12" t="inlineStr">
        <is>
          <t>I</t>
        </is>
      </c>
      <c r="C4920" s="12" t="inlineStr">
        <is>
          <t>Modular / portable power</t>
        </is>
      </c>
      <c r="D4920" s="12" t="inlineStr">
        <is>
          <t>Motor 1 of 5, 30 kW (VFD output)</t>
        </is>
      </c>
      <c r="E4920" s="12" t="inlineStr"/>
      <c r="F4920" s="12" t="inlineStr">
        <is>
          <t>PCM: power control module</t>
        </is>
      </c>
      <c r="G4920" s="12" t="inlineStr"/>
      <c r="H4920" s="12" t="inlineStr">
        <is>
          <t>RICE 2 radiators (5)</t>
        </is>
      </c>
      <c r="I4920" s="12" t="inlineStr">
        <is>
          <t>LV 600 V</t>
        </is>
      </c>
      <c r="J4920" s="12" t="inlineStr">
        <is>
          <t>VFD cable 600 V 3/C Cu XHHW-2, 3 symmetrical grounds, overall Cu tape shield, TC-ER</t>
        </is>
      </c>
      <c r="K4920" s="12" t="inlineStr">
        <is>
          <t>VFD|3/C+3G|2</t>
        </is>
      </c>
      <c r="L4920" s="12" t="inlineStr">
        <is>
          <t>3/C+3G</t>
        </is>
      </c>
      <c r="M4920" s="12" t="inlineStr">
        <is>
          <t>2</t>
        </is>
      </c>
      <c r="N4920" s="12" t="n">
        <v>1</v>
      </c>
      <c r="O4920" s="12" t="n">
        <v>1</v>
      </c>
      <c r="P4920" s="12" t="n">
        <v>480</v>
      </c>
      <c r="Q4920" s="12" t="n">
        <v>30</v>
      </c>
      <c r="R4920" s="12" t="n">
        <v>42</v>
      </c>
      <c r="S4920" s="12" t="inlineStr">
        <is>
          <t>Duct bank</t>
        </is>
      </c>
      <c r="T4920" s="17" t="n">
        <v>630</v>
      </c>
      <c r="U4920" s="17" t="n">
        <v>192</v>
      </c>
      <c r="V4920" s="17">
        <f>ROUNDUP((T4920+U4920+2*'Read Me'!$B$13)*(1+'Read Me'!$B$12),-1)</f>
        <v/>
      </c>
      <c r="W4920" s="17">
        <f>V4920*N4920*O4920</f>
        <v/>
      </c>
      <c r="X4920" s="12">
        <f>IF(LEFT(I4920,2)="MV",2*N4920*IF(L4920="1/C",O4920,1),0)</f>
        <v/>
      </c>
      <c r="Y4920" s="12">
        <f>IF(OR(LEFT(K4920,4)="LVAX",LEFT(K4920,6)="MV15AX",LEFT(K4920,4)="CTAX",LEFT(K4920,2)="W|"),2*N4920*O4920,0)</f>
        <v/>
      </c>
      <c r="Z4920" s="12" t="inlineStr">
        <is>
          <t>VD 2.7 %</t>
        </is>
      </c>
      <c r="AA4920" s="12">
        <f>N4920*O4920</f>
        <v/>
      </c>
    </row>
    <row r="4921">
      <c r="A4921" s="12" t="inlineStr">
        <is>
          <t>I-P-0041</t>
        </is>
      </c>
      <c r="B4921" s="12" t="inlineStr">
        <is>
          <t>I</t>
        </is>
      </c>
      <c r="C4921" s="12" t="inlineStr">
        <is>
          <t>Modular / portable power</t>
        </is>
      </c>
      <c r="D4921" s="12" t="inlineStr">
        <is>
          <t>Motor 2 of 5, 30 kW (VFD output)</t>
        </is>
      </c>
      <c r="E4921" s="12" t="inlineStr"/>
      <c r="F4921" s="12" t="inlineStr">
        <is>
          <t>PCM: power control module</t>
        </is>
      </c>
      <c r="G4921" s="12" t="inlineStr"/>
      <c r="H4921" s="12" t="inlineStr">
        <is>
          <t>RICE 2 radiators (5)</t>
        </is>
      </c>
      <c r="I4921" s="12" t="inlineStr">
        <is>
          <t>LV 600 V</t>
        </is>
      </c>
      <c r="J4921" s="12" t="inlineStr">
        <is>
          <t>VFD cable 600 V 3/C Cu XHHW-2, 3 symmetrical grounds, overall Cu tape shield, TC-ER</t>
        </is>
      </c>
      <c r="K4921" s="12" t="inlineStr">
        <is>
          <t>VFD|3/C+3G|2</t>
        </is>
      </c>
      <c r="L4921" s="12" t="inlineStr">
        <is>
          <t>3/C+3G</t>
        </is>
      </c>
      <c r="M4921" s="12" t="inlineStr">
        <is>
          <t>2</t>
        </is>
      </c>
      <c r="N4921" s="12" t="n">
        <v>1</v>
      </c>
      <c r="O4921" s="12" t="n">
        <v>1</v>
      </c>
      <c r="P4921" s="12" t="n">
        <v>480</v>
      </c>
      <c r="Q4921" s="12" t="n">
        <v>30</v>
      </c>
      <c r="R4921" s="12" t="n">
        <v>42</v>
      </c>
      <c r="S4921" s="12" t="inlineStr">
        <is>
          <t>Duct bank</t>
        </is>
      </c>
      <c r="T4921" s="17" t="n">
        <v>630</v>
      </c>
      <c r="U4921" s="17" t="n">
        <v>192</v>
      </c>
      <c r="V4921" s="17">
        <f>ROUNDUP((T4921+U4921+2*'Read Me'!$B$13)*(1+'Read Me'!$B$12),-1)</f>
        <v/>
      </c>
      <c r="W4921" s="17">
        <f>V4921*N4921*O4921</f>
        <v/>
      </c>
      <c r="X4921" s="12">
        <f>IF(LEFT(I4921,2)="MV",2*N4921*IF(L4921="1/C",O4921,1),0)</f>
        <v/>
      </c>
      <c r="Y4921" s="12">
        <f>IF(OR(LEFT(K4921,4)="LVAX",LEFT(K4921,6)="MV15AX",LEFT(K4921,4)="CTAX",LEFT(K4921,2)="W|"),2*N4921*O4921,0)</f>
        <v/>
      </c>
      <c r="Z4921" s="12" t="inlineStr">
        <is>
          <t>VD 2.7 %</t>
        </is>
      </c>
      <c r="AA4921" s="12">
        <f>N4921*O4921</f>
        <v/>
      </c>
    </row>
    <row r="4922">
      <c r="A4922" s="12" t="inlineStr">
        <is>
          <t>I-P-0042</t>
        </is>
      </c>
      <c r="B4922" s="12" t="inlineStr">
        <is>
          <t>I</t>
        </is>
      </c>
      <c r="C4922" s="12" t="inlineStr">
        <is>
          <t>Modular / portable power</t>
        </is>
      </c>
      <c r="D4922" s="12" t="inlineStr">
        <is>
          <t>Motor 3 of 5, 30 kW (VFD output)</t>
        </is>
      </c>
      <c r="E4922" s="12" t="inlineStr"/>
      <c r="F4922" s="12" t="inlineStr">
        <is>
          <t>PCM: power control module</t>
        </is>
      </c>
      <c r="G4922" s="12" t="inlineStr"/>
      <c r="H4922" s="12" t="inlineStr">
        <is>
          <t>RICE 2 radiators (5)</t>
        </is>
      </c>
      <c r="I4922" s="12" t="inlineStr">
        <is>
          <t>LV 600 V</t>
        </is>
      </c>
      <c r="J4922" s="12" t="inlineStr">
        <is>
          <t>VFD cable 600 V 3/C Cu XHHW-2, 3 symmetrical grounds, overall Cu tape shield, TC-ER</t>
        </is>
      </c>
      <c r="K4922" s="12" t="inlineStr">
        <is>
          <t>VFD|3/C+3G|2</t>
        </is>
      </c>
      <c r="L4922" s="12" t="inlineStr">
        <is>
          <t>3/C+3G</t>
        </is>
      </c>
      <c r="M4922" s="12" t="inlineStr">
        <is>
          <t>2</t>
        </is>
      </c>
      <c r="N4922" s="12" t="n">
        <v>1</v>
      </c>
      <c r="O4922" s="12" t="n">
        <v>1</v>
      </c>
      <c r="P4922" s="12" t="n">
        <v>480</v>
      </c>
      <c r="Q4922" s="12" t="n">
        <v>30</v>
      </c>
      <c r="R4922" s="12" t="n">
        <v>42</v>
      </c>
      <c r="S4922" s="12" t="inlineStr">
        <is>
          <t>Duct bank</t>
        </is>
      </c>
      <c r="T4922" s="17" t="n">
        <v>630</v>
      </c>
      <c r="U4922" s="17" t="n">
        <v>192</v>
      </c>
      <c r="V4922" s="17">
        <f>ROUNDUP((T4922+U4922+2*'Read Me'!$B$13)*(1+'Read Me'!$B$12),-1)</f>
        <v/>
      </c>
      <c r="W4922" s="17">
        <f>V4922*N4922*O4922</f>
        <v/>
      </c>
      <c r="X4922" s="12">
        <f>IF(LEFT(I4922,2)="MV",2*N4922*IF(L4922="1/C",O4922,1),0)</f>
        <v/>
      </c>
      <c r="Y4922" s="12">
        <f>IF(OR(LEFT(K4922,4)="LVAX",LEFT(K4922,6)="MV15AX",LEFT(K4922,4)="CTAX",LEFT(K4922,2)="W|"),2*N4922*O4922,0)</f>
        <v/>
      </c>
      <c r="Z4922" s="12" t="inlineStr">
        <is>
          <t>VD 2.7 %</t>
        </is>
      </c>
      <c r="AA4922" s="12">
        <f>N4922*O4922</f>
        <v/>
      </c>
    </row>
    <row r="4923">
      <c r="A4923" s="12" t="inlineStr">
        <is>
          <t>I-P-0043</t>
        </is>
      </c>
      <c r="B4923" s="12" t="inlineStr">
        <is>
          <t>I</t>
        </is>
      </c>
      <c r="C4923" s="12" t="inlineStr">
        <is>
          <t>Modular / portable power</t>
        </is>
      </c>
      <c r="D4923" s="12" t="inlineStr">
        <is>
          <t>Motor 4 of 5, 30 kW (VFD output)</t>
        </is>
      </c>
      <c r="E4923" s="12" t="inlineStr"/>
      <c r="F4923" s="12" t="inlineStr">
        <is>
          <t>PCM: power control module</t>
        </is>
      </c>
      <c r="G4923" s="12" t="inlineStr"/>
      <c r="H4923" s="12" t="inlineStr">
        <is>
          <t>RICE 2 radiators (5)</t>
        </is>
      </c>
      <c r="I4923" s="12" t="inlineStr">
        <is>
          <t>LV 600 V</t>
        </is>
      </c>
      <c r="J4923" s="12" t="inlineStr">
        <is>
          <t>VFD cable 600 V 3/C Cu XHHW-2, 3 symmetrical grounds, overall Cu tape shield, TC-ER</t>
        </is>
      </c>
      <c r="K4923" s="12" t="inlineStr">
        <is>
          <t>VFD|3/C+3G|2</t>
        </is>
      </c>
      <c r="L4923" s="12" t="inlineStr">
        <is>
          <t>3/C+3G</t>
        </is>
      </c>
      <c r="M4923" s="12" t="inlineStr">
        <is>
          <t>2</t>
        </is>
      </c>
      <c r="N4923" s="12" t="n">
        <v>1</v>
      </c>
      <c r="O4923" s="12" t="n">
        <v>1</v>
      </c>
      <c r="P4923" s="12" t="n">
        <v>480</v>
      </c>
      <c r="Q4923" s="12" t="n">
        <v>30</v>
      </c>
      <c r="R4923" s="12" t="n">
        <v>42</v>
      </c>
      <c r="S4923" s="12" t="inlineStr">
        <is>
          <t>Duct bank</t>
        </is>
      </c>
      <c r="T4923" s="17" t="n">
        <v>630</v>
      </c>
      <c r="U4923" s="17" t="n">
        <v>192</v>
      </c>
      <c r="V4923" s="17">
        <f>ROUNDUP((T4923+U4923+2*'Read Me'!$B$13)*(1+'Read Me'!$B$12),-1)</f>
        <v/>
      </c>
      <c r="W4923" s="17">
        <f>V4923*N4923*O4923</f>
        <v/>
      </c>
      <c r="X4923" s="12">
        <f>IF(LEFT(I4923,2)="MV",2*N4923*IF(L4923="1/C",O4923,1),0)</f>
        <v/>
      </c>
      <c r="Y4923" s="12">
        <f>IF(OR(LEFT(K4923,4)="LVAX",LEFT(K4923,6)="MV15AX",LEFT(K4923,4)="CTAX",LEFT(K4923,2)="W|"),2*N4923*O4923,0)</f>
        <v/>
      </c>
      <c r="Z4923" s="12" t="inlineStr">
        <is>
          <t>VD 2.7 %</t>
        </is>
      </c>
      <c r="AA4923" s="12">
        <f>N4923*O4923</f>
        <v/>
      </c>
    </row>
    <row r="4924">
      <c r="A4924" s="12" t="inlineStr">
        <is>
          <t>I-P-0044</t>
        </is>
      </c>
      <c r="B4924" s="12" t="inlineStr">
        <is>
          <t>I</t>
        </is>
      </c>
      <c r="C4924" s="12" t="inlineStr">
        <is>
          <t>Modular / portable power</t>
        </is>
      </c>
      <c r="D4924" s="12" t="inlineStr">
        <is>
          <t>Motor 5 of 5, 30 kW (VFD output)</t>
        </is>
      </c>
      <c r="E4924" s="12" t="inlineStr"/>
      <c r="F4924" s="12" t="inlineStr">
        <is>
          <t>PCM: power control module</t>
        </is>
      </c>
      <c r="G4924" s="12" t="inlineStr"/>
      <c r="H4924" s="12" t="inlineStr">
        <is>
          <t>RICE 2 radiators (5)</t>
        </is>
      </c>
      <c r="I4924" s="12" t="inlineStr">
        <is>
          <t>LV 600 V</t>
        </is>
      </c>
      <c r="J4924" s="12" t="inlineStr">
        <is>
          <t>VFD cable 600 V 3/C Cu XHHW-2, 3 symmetrical grounds, overall Cu tape shield, TC-ER</t>
        </is>
      </c>
      <c r="K4924" s="12" t="inlineStr">
        <is>
          <t>VFD|3/C+3G|2</t>
        </is>
      </c>
      <c r="L4924" s="12" t="inlineStr">
        <is>
          <t>3/C+3G</t>
        </is>
      </c>
      <c r="M4924" s="12" t="inlineStr">
        <is>
          <t>2</t>
        </is>
      </c>
      <c r="N4924" s="12" t="n">
        <v>1</v>
      </c>
      <c r="O4924" s="12" t="n">
        <v>1</v>
      </c>
      <c r="P4924" s="12" t="n">
        <v>480</v>
      </c>
      <c r="Q4924" s="12" t="n">
        <v>30</v>
      </c>
      <c r="R4924" s="12" t="n">
        <v>42</v>
      </c>
      <c r="S4924" s="12" t="inlineStr">
        <is>
          <t>Duct bank</t>
        </is>
      </c>
      <c r="T4924" s="17" t="n">
        <v>630</v>
      </c>
      <c r="U4924" s="17" t="n">
        <v>192</v>
      </c>
      <c r="V4924" s="17">
        <f>ROUNDUP((T4924+U4924+2*'Read Me'!$B$13)*(1+'Read Me'!$B$12),-1)</f>
        <v/>
      </c>
      <c r="W4924" s="17">
        <f>V4924*N4924*O4924</f>
        <v/>
      </c>
      <c r="X4924" s="12">
        <f>IF(LEFT(I4924,2)="MV",2*N4924*IF(L4924="1/C",O4924,1),0)</f>
        <v/>
      </c>
      <c r="Y4924" s="12">
        <f>IF(OR(LEFT(K4924,4)="LVAX",LEFT(K4924,6)="MV15AX",LEFT(K4924,4)="CTAX",LEFT(K4924,2)="W|"),2*N4924*O4924,0)</f>
        <v/>
      </c>
      <c r="Z4924" s="12" t="inlineStr">
        <is>
          <t>VD 2.7 %</t>
        </is>
      </c>
      <c r="AA4924" s="12">
        <f>N4924*O4924</f>
        <v/>
      </c>
    </row>
    <row r="4925">
      <c r="A4925" s="12" t="inlineStr">
        <is>
          <t>I-P-0045</t>
        </is>
      </c>
      <c r="B4925" s="12" t="inlineStr">
        <is>
          <t>I</t>
        </is>
      </c>
      <c r="C4925" s="12" t="inlineStr">
        <is>
          <t>Modular / portable power</t>
        </is>
      </c>
      <c r="D4925" s="12" t="inlineStr">
        <is>
          <t>Motor 1 of 1, 15 kW</t>
        </is>
      </c>
      <c r="E4925" s="12" t="inlineStr"/>
      <c r="F4925" s="12" t="inlineStr">
        <is>
          <t>PCM: power control module</t>
        </is>
      </c>
      <c r="G4925" s="12" t="inlineStr"/>
      <c r="H4925" s="12" t="inlineStr">
        <is>
          <t>RICE 3 SCR + oxidation catalyst and stack</t>
        </is>
      </c>
      <c r="I4925" s="12" t="inlineStr">
        <is>
          <t>LV 600 V</t>
        </is>
      </c>
      <c r="J4925" s="12" t="inlineStr">
        <is>
          <t>Type TC-ER 600 V 3/C Cu XHHW-2 + ground, PVC jacket</t>
        </is>
      </c>
      <c r="K4925" s="12" t="inlineStr">
        <is>
          <t>LV|3/C+G|6</t>
        </is>
      </c>
      <c r="L4925" s="12" t="inlineStr">
        <is>
          <t>3/C+G</t>
        </is>
      </c>
      <c r="M4925" s="12" t="inlineStr">
        <is>
          <t>6</t>
        </is>
      </c>
      <c r="N4925" s="12" t="n">
        <v>1</v>
      </c>
      <c r="O4925" s="12" t="n">
        <v>1</v>
      </c>
      <c r="P4925" s="12" t="n">
        <v>480</v>
      </c>
      <c r="Q4925" s="12" t="n">
        <v>15</v>
      </c>
      <c r="R4925" s="12" t="n">
        <v>21.2</v>
      </c>
      <c r="S4925" s="12" t="inlineStr">
        <is>
          <t>Duct bank</t>
        </is>
      </c>
      <c r="T4925" s="17" t="n">
        <v>470</v>
      </c>
      <c r="U4925" s="17" t="n">
        <v>104</v>
      </c>
      <c r="V4925" s="17">
        <f>ROUNDUP((T4925+U4925+2*'Read Me'!$B$13)*(1+'Read Me'!$B$12),-1)</f>
        <v/>
      </c>
      <c r="W4925" s="17">
        <f>V4925*N4925*O4925</f>
        <v/>
      </c>
      <c r="X4925" s="12">
        <f>IF(LEFT(I4925,2)="MV",2*N4925*IF(L4925="1/C",O4925,1),0)</f>
        <v/>
      </c>
      <c r="Y4925" s="12">
        <f>IF(OR(LEFT(K4925,4)="LVAX",LEFT(K4925,6)="MV15AX",LEFT(K4925,4)="CTAX",LEFT(K4925,2)="W|"),2*N4925*O4925,0)</f>
        <v/>
      </c>
      <c r="Z4925" s="12" t="inlineStr">
        <is>
          <t>VD 2.4 %</t>
        </is>
      </c>
      <c r="AA4925" s="12">
        <f>N4925*O4925</f>
        <v/>
      </c>
    </row>
    <row r="4926">
      <c r="A4926" s="12" t="inlineStr">
        <is>
          <t>I-P-0046</t>
        </is>
      </c>
      <c r="B4926" s="12" t="inlineStr">
        <is>
          <t>I</t>
        </is>
      </c>
      <c r="C4926" s="12" t="inlineStr">
        <is>
          <t>Modular / portable power</t>
        </is>
      </c>
      <c r="D4926" s="12" t="inlineStr">
        <is>
          <t>Area / platform lighting circuit 1 (6 fixtures)</t>
        </is>
      </c>
      <c r="E4926" s="12" t="inlineStr"/>
      <c r="F4926" s="12" t="inlineStr">
        <is>
          <t>PCM: power control module</t>
        </is>
      </c>
      <c r="G4926" s="12" t="inlineStr"/>
      <c r="H4926" s="12" t="inlineStr">
        <is>
          <t>RICE 3 SCR + oxidation catalyst and stack</t>
        </is>
      </c>
      <c r="I4926" s="12" t="inlineStr">
        <is>
          <t>LV 600 V</t>
        </is>
      </c>
      <c r="J4926" s="12" t="inlineStr">
        <is>
          <t>Type TC-ER 600 V 3/C Cu XHHW-2 + ground, PVC jacket</t>
        </is>
      </c>
      <c r="K4926" s="12" t="inlineStr">
        <is>
          <t>LV|3/C+G|10</t>
        </is>
      </c>
      <c r="L4926" s="12" t="inlineStr">
        <is>
          <t>3/C+G</t>
        </is>
      </c>
      <c r="M4926" s="12" t="inlineStr">
        <is>
          <t>10</t>
        </is>
      </c>
      <c r="N4926" s="12" t="n">
        <v>1</v>
      </c>
      <c r="O4926" s="12" t="n">
        <v>1</v>
      </c>
      <c r="P4926" s="12" t="n">
        <v>480</v>
      </c>
      <c r="Q4926" s="12" t="n">
        <v>3</v>
      </c>
      <c r="R4926" s="12" t="n">
        <v>5</v>
      </c>
      <c r="S4926" s="12" t="inlineStr">
        <is>
          <t>Duct bank</t>
        </is>
      </c>
      <c r="T4926" s="17" t="n">
        <v>770</v>
      </c>
      <c r="U4926" s="17" t="n">
        <v>104</v>
      </c>
      <c r="V4926" s="17">
        <f>ROUNDUP((T4926+U4926+2*'Read Me'!$B$13)*(1+'Read Me'!$B$12),-1)</f>
        <v/>
      </c>
      <c r="W4926" s="17">
        <f>V4926*N4926*O4926</f>
        <v/>
      </c>
      <c r="X4926" s="12">
        <f>IF(LEFT(I4926,2)="MV",2*N4926*IF(L4926="1/C",O4926,1),0)</f>
        <v/>
      </c>
      <c r="Y4926" s="12">
        <f>IF(OR(LEFT(K4926,4)="LVAX",LEFT(K4926,6)="MV15AX",LEFT(K4926,4)="CTAX",LEFT(K4926,2)="W|"),2*N4926*O4926,0)</f>
        <v/>
      </c>
      <c r="Z4926" s="12" t="inlineStr">
        <is>
          <t>fixture-to-fixture run included</t>
        </is>
      </c>
      <c r="AA4926" s="12">
        <f>N4926*O4926</f>
        <v/>
      </c>
    </row>
    <row r="4927">
      <c r="A4927" s="12" t="inlineStr">
        <is>
          <t>I-P-0047</t>
        </is>
      </c>
      <c r="B4927" s="12" t="inlineStr">
        <is>
          <t>I</t>
        </is>
      </c>
      <c r="C4927" s="12" t="inlineStr">
        <is>
          <t>Modular / portable power</t>
        </is>
      </c>
      <c r="D4927" s="12" t="inlineStr">
        <is>
          <t>Motor 1 of 5, 30 kW (VFD output)</t>
        </is>
      </c>
      <c r="E4927" s="12" t="inlineStr"/>
      <c r="F4927" s="12" t="inlineStr">
        <is>
          <t>PCM: power control module</t>
        </is>
      </c>
      <c r="G4927" s="12" t="inlineStr"/>
      <c r="H4927" s="12" t="inlineStr">
        <is>
          <t>RICE 3 radiators (5)</t>
        </is>
      </c>
      <c r="I4927" s="12" t="inlineStr">
        <is>
          <t>LV 600 V</t>
        </is>
      </c>
      <c r="J4927" s="12" t="inlineStr">
        <is>
          <t>VFD cable 600 V 3/C Cu XHHW-2, 3 symmetrical grounds, overall Cu tape shield, TC-ER</t>
        </is>
      </c>
      <c r="K4927" s="12" t="inlineStr">
        <is>
          <t>VFD|3/C+3G|6</t>
        </is>
      </c>
      <c r="L4927" s="12" t="inlineStr">
        <is>
          <t>3/C+3G</t>
        </is>
      </c>
      <c r="M4927" s="12" t="inlineStr">
        <is>
          <t>6</t>
        </is>
      </c>
      <c r="N4927" s="12" t="n">
        <v>1</v>
      </c>
      <c r="O4927" s="12" t="n">
        <v>1</v>
      </c>
      <c r="P4927" s="12" t="n">
        <v>480</v>
      </c>
      <c r="Q4927" s="12" t="n">
        <v>30</v>
      </c>
      <c r="R4927" s="12" t="n">
        <v>42</v>
      </c>
      <c r="S4927" s="12" t="inlineStr">
        <is>
          <t>Tray</t>
        </is>
      </c>
      <c r="T4927" s="17" t="n">
        <v>120</v>
      </c>
      <c r="U4927" s="17" t="n">
        <v>240</v>
      </c>
      <c r="V4927" s="17">
        <f>ROUNDUP((T4927+U4927+2*'Read Me'!$B$13)*(1+'Read Me'!$B$12),-1)</f>
        <v/>
      </c>
      <c r="W4927" s="17">
        <f>V4927*N4927*O4927</f>
        <v/>
      </c>
      <c r="X4927" s="12">
        <f>IF(LEFT(I4927,2)="MV",2*N4927*IF(L4927="1/C",O4927,1),0)</f>
        <v/>
      </c>
      <c r="Y4927" s="12">
        <f>IF(OR(LEFT(K4927,4)="LVAX",LEFT(K4927,6)="MV15AX",LEFT(K4927,4)="CTAX",LEFT(K4927,2)="W|"),2*N4927*O4927,0)</f>
        <v/>
      </c>
      <c r="Z4927" s="12" t="inlineStr">
        <is>
          <t>VD 3.0 %</t>
        </is>
      </c>
      <c r="AA4927" s="12">
        <f>N4927*O4927</f>
        <v/>
      </c>
    </row>
    <row r="4928">
      <c r="A4928" s="12" t="inlineStr">
        <is>
          <t>I-P-0048</t>
        </is>
      </c>
      <c r="B4928" s="12" t="inlineStr">
        <is>
          <t>I</t>
        </is>
      </c>
      <c r="C4928" s="12" t="inlineStr">
        <is>
          <t>Modular / portable power</t>
        </is>
      </c>
      <c r="D4928" s="12" t="inlineStr">
        <is>
          <t>Motor 2 of 5, 30 kW (VFD output)</t>
        </is>
      </c>
      <c r="E4928" s="12" t="inlineStr"/>
      <c r="F4928" s="12" t="inlineStr">
        <is>
          <t>PCM: power control module</t>
        </is>
      </c>
      <c r="G4928" s="12" t="inlineStr"/>
      <c r="H4928" s="12" t="inlineStr">
        <is>
          <t>RICE 3 radiators (5)</t>
        </is>
      </c>
      <c r="I4928" s="12" t="inlineStr">
        <is>
          <t>LV 600 V</t>
        </is>
      </c>
      <c r="J4928" s="12" t="inlineStr">
        <is>
          <t>VFD cable 600 V 3/C Cu XHHW-2, 3 symmetrical grounds, overall Cu tape shield, TC-ER</t>
        </is>
      </c>
      <c r="K4928" s="12" t="inlineStr">
        <is>
          <t>VFD|3/C+3G|6</t>
        </is>
      </c>
      <c r="L4928" s="12" t="inlineStr">
        <is>
          <t>3/C+3G</t>
        </is>
      </c>
      <c r="M4928" s="12" t="inlineStr">
        <is>
          <t>6</t>
        </is>
      </c>
      <c r="N4928" s="12" t="n">
        <v>1</v>
      </c>
      <c r="O4928" s="12" t="n">
        <v>1</v>
      </c>
      <c r="P4928" s="12" t="n">
        <v>480</v>
      </c>
      <c r="Q4928" s="12" t="n">
        <v>30</v>
      </c>
      <c r="R4928" s="12" t="n">
        <v>42</v>
      </c>
      <c r="S4928" s="12" t="inlineStr">
        <is>
          <t>Tray</t>
        </is>
      </c>
      <c r="T4928" s="17" t="n">
        <v>120</v>
      </c>
      <c r="U4928" s="17" t="n">
        <v>240</v>
      </c>
      <c r="V4928" s="17">
        <f>ROUNDUP((T4928+U4928+2*'Read Me'!$B$13)*(1+'Read Me'!$B$12),-1)</f>
        <v/>
      </c>
      <c r="W4928" s="17">
        <f>V4928*N4928*O4928</f>
        <v/>
      </c>
      <c r="X4928" s="12">
        <f>IF(LEFT(I4928,2)="MV",2*N4928*IF(L4928="1/C",O4928,1),0)</f>
        <v/>
      </c>
      <c r="Y4928" s="12">
        <f>IF(OR(LEFT(K4928,4)="LVAX",LEFT(K4928,6)="MV15AX",LEFT(K4928,4)="CTAX",LEFT(K4928,2)="W|"),2*N4928*O4928,0)</f>
        <v/>
      </c>
      <c r="Z4928" s="12" t="inlineStr">
        <is>
          <t>VD 3.0 %</t>
        </is>
      </c>
      <c r="AA4928" s="12">
        <f>N4928*O4928</f>
        <v/>
      </c>
    </row>
    <row r="4929">
      <c r="A4929" s="12" t="inlineStr">
        <is>
          <t>I-P-0049</t>
        </is>
      </c>
      <c r="B4929" s="12" t="inlineStr">
        <is>
          <t>I</t>
        </is>
      </c>
      <c r="C4929" s="12" t="inlineStr">
        <is>
          <t>Modular / portable power</t>
        </is>
      </c>
      <c r="D4929" s="12" t="inlineStr">
        <is>
          <t>Motor 3 of 5, 30 kW (VFD output)</t>
        </is>
      </c>
      <c r="E4929" s="12" t="inlineStr"/>
      <c r="F4929" s="12" t="inlineStr">
        <is>
          <t>PCM: power control module</t>
        </is>
      </c>
      <c r="G4929" s="12" t="inlineStr"/>
      <c r="H4929" s="12" t="inlineStr">
        <is>
          <t>RICE 3 radiators (5)</t>
        </is>
      </c>
      <c r="I4929" s="12" t="inlineStr">
        <is>
          <t>LV 600 V</t>
        </is>
      </c>
      <c r="J4929" s="12" t="inlineStr">
        <is>
          <t>VFD cable 600 V 3/C Cu XHHW-2, 3 symmetrical grounds, overall Cu tape shield, TC-ER</t>
        </is>
      </c>
      <c r="K4929" s="12" t="inlineStr">
        <is>
          <t>VFD|3/C+3G|6</t>
        </is>
      </c>
      <c r="L4929" s="12" t="inlineStr">
        <is>
          <t>3/C+3G</t>
        </is>
      </c>
      <c r="M4929" s="12" t="inlineStr">
        <is>
          <t>6</t>
        </is>
      </c>
      <c r="N4929" s="12" t="n">
        <v>1</v>
      </c>
      <c r="O4929" s="12" t="n">
        <v>1</v>
      </c>
      <c r="P4929" s="12" t="n">
        <v>480</v>
      </c>
      <c r="Q4929" s="12" t="n">
        <v>30</v>
      </c>
      <c r="R4929" s="12" t="n">
        <v>42</v>
      </c>
      <c r="S4929" s="12" t="inlineStr">
        <is>
          <t>Tray</t>
        </is>
      </c>
      <c r="T4929" s="17" t="n">
        <v>120</v>
      </c>
      <c r="U4929" s="17" t="n">
        <v>240</v>
      </c>
      <c r="V4929" s="17">
        <f>ROUNDUP((T4929+U4929+2*'Read Me'!$B$13)*(1+'Read Me'!$B$12),-1)</f>
        <v/>
      </c>
      <c r="W4929" s="17">
        <f>V4929*N4929*O4929</f>
        <v/>
      </c>
      <c r="X4929" s="12">
        <f>IF(LEFT(I4929,2)="MV",2*N4929*IF(L4929="1/C",O4929,1),0)</f>
        <v/>
      </c>
      <c r="Y4929" s="12">
        <f>IF(OR(LEFT(K4929,4)="LVAX",LEFT(K4929,6)="MV15AX",LEFT(K4929,4)="CTAX",LEFT(K4929,2)="W|"),2*N4929*O4929,0)</f>
        <v/>
      </c>
      <c r="Z4929" s="12" t="inlineStr">
        <is>
          <t>VD 3.0 %</t>
        </is>
      </c>
      <c r="AA4929" s="12">
        <f>N4929*O4929</f>
        <v/>
      </c>
    </row>
    <row r="4930">
      <c r="A4930" s="12" t="inlineStr">
        <is>
          <t>I-P-0050</t>
        </is>
      </c>
      <c r="B4930" s="12" t="inlineStr">
        <is>
          <t>I</t>
        </is>
      </c>
      <c r="C4930" s="12" t="inlineStr">
        <is>
          <t>Modular / portable power</t>
        </is>
      </c>
      <c r="D4930" s="12" t="inlineStr">
        <is>
          <t>Motor 4 of 5, 30 kW (VFD output)</t>
        </is>
      </c>
      <c r="E4930" s="12" t="inlineStr"/>
      <c r="F4930" s="12" t="inlineStr">
        <is>
          <t>PCM: power control module</t>
        </is>
      </c>
      <c r="G4930" s="12" t="inlineStr"/>
      <c r="H4930" s="12" t="inlineStr">
        <is>
          <t>RICE 3 radiators (5)</t>
        </is>
      </c>
      <c r="I4930" s="12" t="inlineStr">
        <is>
          <t>LV 600 V</t>
        </is>
      </c>
      <c r="J4930" s="12" t="inlineStr">
        <is>
          <t>VFD cable 600 V 3/C Cu XHHW-2, 3 symmetrical grounds, overall Cu tape shield, TC-ER</t>
        </is>
      </c>
      <c r="K4930" s="12" t="inlineStr">
        <is>
          <t>VFD|3/C+3G|6</t>
        </is>
      </c>
      <c r="L4930" s="12" t="inlineStr">
        <is>
          <t>3/C+3G</t>
        </is>
      </c>
      <c r="M4930" s="12" t="inlineStr">
        <is>
          <t>6</t>
        </is>
      </c>
      <c r="N4930" s="12" t="n">
        <v>1</v>
      </c>
      <c r="O4930" s="12" t="n">
        <v>1</v>
      </c>
      <c r="P4930" s="12" t="n">
        <v>480</v>
      </c>
      <c r="Q4930" s="12" t="n">
        <v>30</v>
      </c>
      <c r="R4930" s="12" t="n">
        <v>42</v>
      </c>
      <c r="S4930" s="12" t="inlineStr">
        <is>
          <t>Tray</t>
        </is>
      </c>
      <c r="T4930" s="17" t="n">
        <v>120</v>
      </c>
      <c r="U4930" s="17" t="n">
        <v>240</v>
      </c>
      <c r="V4930" s="17">
        <f>ROUNDUP((T4930+U4930+2*'Read Me'!$B$13)*(1+'Read Me'!$B$12),-1)</f>
        <v/>
      </c>
      <c r="W4930" s="17">
        <f>V4930*N4930*O4930</f>
        <v/>
      </c>
      <c r="X4930" s="12">
        <f>IF(LEFT(I4930,2)="MV",2*N4930*IF(L4930="1/C",O4930,1),0)</f>
        <v/>
      </c>
      <c r="Y4930" s="12">
        <f>IF(OR(LEFT(K4930,4)="LVAX",LEFT(K4930,6)="MV15AX",LEFT(K4930,4)="CTAX",LEFT(K4930,2)="W|"),2*N4930*O4930,0)</f>
        <v/>
      </c>
      <c r="Z4930" s="12" t="inlineStr">
        <is>
          <t>VD 3.0 %</t>
        </is>
      </c>
      <c r="AA4930" s="12">
        <f>N4930*O4930</f>
        <v/>
      </c>
    </row>
    <row r="4931">
      <c r="A4931" s="12" t="inlineStr">
        <is>
          <t>I-P-0051</t>
        </is>
      </c>
      <c r="B4931" s="12" t="inlineStr">
        <is>
          <t>I</t>
        </is>
      </c>
      <c r="C4931" s="12" t="inlineStr">
        <is>
          <t>Modular / portable power</t>
        </is>
      </c>
      <c r="D4931" s="12" t="inlineStr">
        <is>
          <t>Motor 5 of 5, 30 kW (VFD output)</t>
        </is>
      </c>
      <c r="E4931" s="12" t="inlineStr"/>
      <c r="F4931" s="12" t="inlineStr">
        <is>
          <t>PCM: power control module</t>
        </is>
      </c>
      <c r="G4931" s="12" t="inlineStr"/>
      <c r="H4931" s="12" t="inlineStr">
        <is>
          <t>RICE 3 radiators (5)</t>
        </is>
      </c>
      <c r="I4931" s="12" t="inlineStr">
        <is>
          <t>LV 600 V</t>
        </is>
      </c>
      <c r="J4931" s="12" t="inlineStr">
        <is>
          <t>VFD cable 600 V 3/C Cu XHHW-2, 3 symmetrical grounds, overall Cu tape shield, TC-ER</t>
        </is>
      </c>
      <c r="K4931" s="12" t="inlineStr">
        <is>
          <t>VFD|3/C+3G|6</t>
        </is>
      </c>
      <c r="L4931" s="12" t="inlineStr">
        <is>
          <t>3/C+3G</t>
        </is>
      </c>
      <c r="M4931" s="12" t="inlineStr">
        <is>
          <t>6</t>
        </is>
      </c>
      <c r="N4931" s="12" t="n">
        <v>1</v>
      </c>
      <c r="O4931" s="12" t="n">
        <v>1</v>
      </c>
      <c r="P4931" s="12" t="n">
        <v>480</v>
      </c>
      <c r="Q4931" s="12" t="n">
        <v>30</v>
      </c>
      <c r="R4931" s="12" t="n">
        <v>42</v>
      </c>
      <c r="S4931" s="12" t="inlineStr">
        <is>
          <t>Tray</t>
        </is>
      </c>
      <c r="T4931" s="17" t="n">
        <v>120</v>
      </c>
      <c r="U4931" s="17" t="n">
        <v>240</v>
      </c>
      <c r="V4931" s="17">
        <f>ROUNDUP((T4931+U4931+2*'Read Me'!$B$13)*(1+'Read Me'!$B$12),-1)</f>
        <v/>
      </c>
      <c r="W4931" s="17">
        <f>V4931*N4931*O4931</f>
        <v/>
      </c>
      <c r="X4931" s="12">
        <f>IF(LEFT(I4931,2)="MV",2*N4931*IF(L4931="1/C",O4931,1),0)</f>
        <v/>
      </c>
      <c r="Y4931" s="12">
        <f>IF(OR(LEFT(K4931,4)="LVAX",LEFT(K4931,6)="MV15AX",LEFT(K4931,4)="CTAX",LEFT(K4931,2)="W|"),2*N4931*O4931,0)</f>
        <v/>
      </c>
      <c r="Z4931" s="12" t="inlineStr">
        <is>
          <t>VD 3.0 %</t>
        </is>
      </c>
      <c r="AA4931" s="12">
        <f>N4931*O4931</f>
        <v/>
      </c>
    </row>
    <row r="4932">
      <c r="A4932" s="12" t="inlineStr">
        <is>
          <t>I-P-0052</t>
        </is>
      </c>
      <c r="B4932" s="12" t="inlineStr">
        <is>
          <t>I</t>
        </is>
      </c>
      <c r="C4932" s="12" t="inlineStr">
        <is>
          <t>Modular / portable power</t>
        </is>
      </c>
      <c r="D4932" s="12" t="inlineStr">
        <is>
          <t>Motor 1 of 1, 15 kW</t>
        </is>
      </c>
      <c r="E4932" s="12" t="inlineStr"/>
      <c r="F4932" s="12" t="inlineStr">
        <is>
          <t>PCM: power control module</t>
        </is>
      </c>
      <c r="G4932" s="12" t="inlineStr"/>
      <c r="H4932" s="12" t="inlineStr">
        <is>
          <t>RICE 4 SCR + oxidation catalyst and stack</t>
        </is>
      </c>
      <c r="I4932" s="12" t="inlineStr">
        <is>
          <t>LV 600 V</t>
        </is>
      </c>
      <c r="J4932" s="12" t="inlineStr">
        <is>
          <t>Type TC-ER 600 V 3/C Cu XHHW-2 + ground, PVC jacket</t>
        </is>
      </c>
      <c r="K4932" s="12" t="inlineStr">
        <is>
          <t>LV|3/C+G|6</t>
        </is>
      </c>
      <c r="L4932" s="12" t="inlineStr">
        <is>
          <t>3/C+G</t>
        </is>
      </c>
      <c r="M4932" s="12" t="inlineStr">
        <is>
          <t>6</t>
        </is>
      </c>
      <c r="N4932" s="12" t="n">
        <v>1</v>
      </c>
      <c r="O4932" s="12" t="n">
        <v>1</v>
      </c>
      <c r="P4932" s="12" t="n">
        <v>480</v>
      </c>
      <c r="Q4932" s="12" t="n">
        <v>15</v>
      </c>
      <c r="R4932" s="12" t="n">
        <v>21.2</v>
      </c>
      <c r="S4932" s="12" t="inlineStr">
        <is>
          <t>Duct bank</t>
        </is>
      </c>
      <c r="T4932" s="17" t="n">
        <v>470</v>
      </c>
      <c r="U4932" s="17" t="n">
        <v>76</v>
      </c>
      <c r="V4932" s="17">
        <f>ROUNDUP((T4932+U4932+2*'Read Me'!$B$13)*(1+'Read Me'!$B$12),-1)</f>
        <v/>
      </c>
      <c r="W4932" s="17">
        <f>V4932*N4932*O4932</f>
        <v/>
      </c>
      <c r="X4932" s="12">
        <f>IF(LEFT(I4932,2)="MV",2*N4932*IF(L4932="1/C",O4932,1),0)</f>
        <v/>
      </c>
      <c r="Y4932" s="12">
        <f>IF(OR(LEFT(K4932,4)="LVAX",LEFT(K4932,6)="MV15AX",LEFT(K4932,4)="CTAX",LEFT(K4932,2)="W|"),2*N4932*O4932,0)</f>
        <v/>
      </c>
      <c r="Z4932" s="12" t="inlineStr">
        <is>
          <t>VD 2.3 %</t>
        </is>
      </c>
      <c r="AA4932" s="12">
        <f>N4932*O4932</f>
        <v/>
      </c>
    </row>
    <row r="4933">
      <c r="A4933" s="12" t="inlineStr">
        <is>
          <t>I-P-0053</t>
        </is>
      </c>
      <c r="B4933" s="12" t="inlineStr">
        <is>
          <t>I</t>
        </is>
      </c>
      <c r="C4933" s="12" t="inlineStr">
        <is>
          <t>Modular / portable power</t>
        </is>
      </c>
      <c r="D4933" s="12" t="inlineStr">
        <is>
          <t>Area / platform lighting circuit 1 (6 fixtures)</t>
        </is>
      </c>
      <c r="E4933" s="12" t="inlineStr"/>
      <c r="F4933" s="12" t="inlineStr">
        <is>
          <t>PCM: power control module</t>
        </is>
      </c>
      <c r="G4933" s="12" t="inlineStr"/>
      <c r="H4933" s="12" t="inlineStr">
        <is>
          <t>RICE 4 SCR + oxidation catalyst and stack</t>
        </is>
      </c>
      <c r="I4933" s="12" t="inlineStr">
        <is>
          <t>LV 600 V</t>
        </is>
      </c>
      <c r="J4933" s="12" t="inlineStr">
        <is>
          <t>Type TC-ER 600 V 3/C Cu XHHW-2 + ground, PVC jacket</t>
        </is>
      </c>
      <c r="K4933" s="12" t="inlineStr">
        <is>
          <t>LV|3/C+G|10</t>
        </is>
      </c>
      <c r="L4933" s="12" t="inlineStr">
        <is>
          <t>3/C+G</t>
        </is>
      </c>
      <c r="M4933" s="12" t="inlineStr">
        <is>
          <t>10</t>
        </is>
      </c>
      <c r="N4933" s="12" t="n">
        <v>1</v>
      </c>
      <c r="O4933" s="12" t="n">
        <v>1</v>
      </c>
      <c r="P4933" s="12" t="n">
        <v>480</v>
      </c>
      <c r="Q4933" s="12" t="n">
        <v>3</v>
      </c>
      <c r="R4933" s="12" t="n">
        <v>5</v>
      </c>
      <c r="S4933" s="12" t="inlineStr">
        <is>
          <t>Duct bank</t>
        </is>
      </c>
      <c r="T4933" s="17" t="n">
        <v>770</v>
      </c>
      <c r="U4933" s="17" t="n">
        <v>76</v>
      </c>
      <c r="V4933" s="17">
        <f>ROUNDUP((T4933+U4933+2*'Read Me'!$B$13)*(1+'Read Me'!$B$12),-1)</f>
        <v/>
      </c>
      <c r="W4933" s="17">
        <f>V4933*N4933*O4933</f>
        <v/>
      </c>
      <c r="X4933" s="12">
        <f>IF(LEFT(I4933,2)="MV",2*N4933*IF(L4933="1/C",O4933,1),0)</f>
        <v/>
      </c>
      <c r="Y4933" s="12">
        <f>IF(OR(LEFT(K4933,4)="LVAX",LEFT(K4933,6)="MV15AX",LEFT(K4933,4)="CTAX",LEFT(K4933,2)="W|"),2*N4933*O4933,0)</f>
        <v/>
      </c>
      <c r="Z4933" s="12" t="inlineStr">
        <is>
          <t>fixture-to-fixture run included</t>
        </is>
      </c>
      <c r="AA4933" s="12">
        <f>N4933*O4933</f>
        <v/>
      </c>
    </row>
    <row r="4934">
      <c r="A4934" s="12" t="inlineStr">
        <is>
          <t>I-P-0054</t>
        </is>
      </c>
      <c r="B4934" s="12" t="inlineStr">
        <is>
          <t>I</t>
        </is>
      </c>
      <c r="C4934" s="12" t="inlineStr">
        <is>
          <t>Modular / portable power</t>
        </is>
      </c>
      <c r="D4934" s="12" t="inlineStr">
        <is>
          <t>Motor 1 of 5, 30 kW (VFD output)</t>
        </is>
      </c>
      <c r="E4934" s="12" t="inlineStr"/>
      <c r="F4934" s="12" t="inlineStr">
        <is>
          <t>PCM: power control module</t>
        </is>
      </c>
      <c r="G4934" s="12" t="inlineStr"/>
      <c r="H4934" s="12" t="inlineStr">
        <is>
          <t>RICE 4 radiators (5)</t>
        </is>
      </c>
      <c r="I4934" s="12" t="inlineStr">
        <is>
          <t>LV 600 V</t>
        </is>
      </c>
      <c r="J4934" s="12" t="inlineStr">
        <is>
          <t>VFD cable 600 V 3/C Cu XHHW-2, 3 symmetrical grounds, overall Cu tape shield, TC-ER</t>
        </is>
      </c>
      <c r="K4934" s="12" t="inlineStr">
        <is>
          <t>VFD|3/C+3G|6</t>
        </is>
      </c>
      <c r="L4934" s="12" t="inlineStr">
        <is>
          <t>3/C+3G</t>
        </is>
      </c>
      <c r="M4934" s="12" t="inlineStr">
        <is>
          <t>6</t>
        </is>
      </c>
      <c r="N4934" s="12" t="n">
        <v>1</v>
      </c>
      <c r="O4934" s="12" t="n">
        <v>1</v>
      </c>
      <c r="P4934" s="12" t="n">
        <v>480</v>
      </c>
      <c r="Q4934" s="12" t="n">
        <v>30</v>
      </c>
      <c r="R4934" s="12" t="n">
        <v>42</v>
      </c>
      <c r="S4934" s="12" t="inlineStr">
        <is>
          <t>Tray</t>
        </is>
      </c>
      <c r="T4934" s="17" t="n">
        <v>80</v>
      </c>
      <c r="U4934" s="17" t="n">
        <v>206</v>
      </c>
      <c r="V4934" s="17">
        <f>ROUNDUP((T4934+U4934+2*'Read Me'!$B$13)*(1+'Read Me'!$B$12),-1)</f>
        <v/>
      </c>
      <c r="W4934" s="17">
        <f>V4934*N4934*O4934</f>
        <v/>
      </c>
      <c r="X4934" s="12">
        <f>IF(LEFT(I4934,2)="MV",2*N4934*IF(L4934="1/C",O4934,1),0)</f>
        <v/>
      </c>
      <c r="Y4934" s="12">
        <f>IF(OR(LEFT(K4934,4)="LVAX",LEFT(K4934,6)="MV15AX",LEFT(K4934,4)="CTAX",LEFT(K4934,2)="W|"),2*N4934*O4934,0)</f>
        <v/>
      </c>
      <c r="Z4934" s="12" t="inlineStr">
        <is>
          <t>VD 2.4 %</t>
        </is>
      </c>
      <c r="AA4934" s="12">
        <f>N4934*O4934</f>
        <v/>
      </c>
    </row>
    <row r="4935">
      <c r="A4935" s="12" t="inlineStr">
        <is>
          <t>I-P-0055</t>
        </is>
      </c>
      <c r="B4935" s="12" t="inlineStr">
        <is>
          <t>I</t>
        </is>
      </c>
      <c r="C4935" s="12" t="inlineStr">
        <is>
          <t>Modular / portable power</t>
        </is>
      </c>
      <c r="D4935" s="12" t="inlineStr">
        <is>
          <t>Motor 2 of 5, 30 kW (VFD output)</t>
        </is>
      </c>
      <c r="E4935" s="12" t="inlineStr"/>
      <c r="F4935" s="12" t="inlineStr">
        <is>
          <t>PCM: power control module</t>
        </is>
      </c>
      <c r="G4935" s="12" t="inlineStr"/>
      <c r="H4935" s="12" t="inlineStr">
        <is>
          <t>RICE 4 radiators (5)</t>
        </is>
      </c>
      <c r="I4935" s="12" t="inlineStr">
        <is>
          <t>LV 600 V</t>
        </is>
      </c>
      <c r="J4935" s="12" t="inlineStr">
        <is>
          <t>VFD cable 600 V 3/C Cu XHHW-2, 3 symmetrical grounds, overall Cu tape shield, TC-ER</t>
        </is>
      </c>
      <c r="K4935" s="12" t="inlineStr">
        <is>
          <t>VFD|3/C+3G|6</t>
        </is>
      </c>
      <c r="L4935" s="12" t="inlineStr">
        <is>
          <t>3/C+3G</t>
        </is>
      </c>
      <c r="M4935" s="12" t="inlineStr">
        <is>
          <t>6</t>
        </is>
      </c>
      <c r="N4935" s="12" t="n">
        <v>1</v>
      </c>
      <c r="O4935" s="12" t="n">
        <v>1</v>
      </c>
      <c r="P4935" s="12" t="n">
        <v>480</v>
      </c>
      <c r="Q4935" s="12" t="n">
        <v>30</v>
      </c>
      <c r="R4935" s="12" t="n">
        <v>42</v>
      </c>
      <c r="S4935" s="12" t="inlineStr">
        <is>
          <t>Tray</t>
        </is>
      </c>
      <c r="T4935" s="17" t="n">
        <v>80</v>
      </c>
      <c r="U4935" s="17" t="n">
        <v>206</v>
      </c>
      <c r="V4935" s="17">
        <f>ROUNDUP((T4935+U4935+2*'Read Me'!$B$13)*(1+'Read Me'!$B$12),-1)</f>
        <v/>
      </c>
      <c r="W4935" s="17">
        <f>V4935*N4935*O4935</f>
        <v/>
      </c>
      <c r="X4935" s="12">
        <f>IF(LEFT(I4935,2)="MV",2*N4935*IF(L4935="1/C",O4935,1),0)</f>
        <v/>
      </c>
      <c r="Y4935" s="12">
        <f>IF(OR(LEFT(K4935,4)="LVAX",LEFT(K4935,6)="MV15AX",LEFT(K4935,4)="CTAX",LEFT(K4935,2)="W|"),2*N4935*O4935,0)</f>
        <v/>
      </c>
      <c r="Z4935" s="12" t="inlineStr">
        <is>
          <t>VD 2.4 %</t>
        </is>
      </c>
      <c r="AA4935" s="12">
        <f>N4935*O4935</f>
        <v/>
      </c>
    </row>
    <row r="4936">
      <c r="A4936" s="12" t="inlineStr">
        <is>
          <t>I-P-0056</t>
        </is>
      </c>
      <c r="B4936" s="12" t="inlineStr">
        <is>
          <t>I</t>
        </is>
      </c>
      <c r="C4936" s="12" t="inlineStr">
        <is>
          <t>Modular / portable power</t>
        </is>
      </c>
      <c r="D4936" s="12" t="inlineStr">
        <is>
          <t>Motor 3 of 5, 30 kW (VFD output)</t>
        </is>
      </c>
      <c r="E4936" s="12" t="inlineStr"/>
      <c r="F4936" s="12" t="inlineStr">
        <is>
          <t>PCM: power control module</t>
        </is>
      </c>
      <c r="G4936" s="12" t="inlineStr"/>
      <c r="H4936" s="12" t="inlineStr">
        <is>
          <t>RICE 4 radiators (5)</t>
        </is>
      </c>
      <c r="I4936" s="12" t="inlineStr">
        <is>
          <t>LV 600 V</t>
        </is>
      </c>
      <c r="J4936" s="12" t="inlineStr">
        <is>
          <t>VFD cable 600 V 3/C Cu XHHW-2, 3 symmetrical grounds, overall Cu tape shield, TC-ER</t>
        </is>
      </c>
      <c r="K4936" s="12" t="inlineStr">
        <is>
          <t>VFD|3/C+3G|6</t>
        </is>
      </c>
      <c r="L4936" s="12" t="inlineStr">
        <is>
          <t>3/C+3G</t>
        </is>
      </c>
      <c r="M4936" s="12" t="inlineStr">
        <is>
          <t>6</t>
        </is>
      </c>
      <c r="N4936" s="12" t="n">
        <v>1</v>
      </c>
      <c r="O4936" s="12" t="n">
        <v>1</v>
      </c>
      <c r="P4936" s="12" t="n">
        <v>480</v>
      </c>
      <c r="Q4936" s="12" t="n">
        <v>30</v>
      </c>
      <c r="R4936" s="12" t="n">
        <v>42</v>
      </c>
      <c r="S4936" s="12" t="inlineStr">
        <is>
          <t>Tray</t>
        </is>
      </c>
      <c r="T4936" s="17" t="n">
        <v>80</v>
      </c>
      <c r="U4936" s="17" t="n">
        <v>206</v>
      </c>
      <c r="V4936" s="17">
        <f>ROUNDUP((T4936+U4936+2*'Read Me'!$B$13)*(1+'Read Me'!$B$12),-1)</f>
        <v/>
      </c>
      <c r="W4936" s="17">
        <f>V4936*N4936*O4936</f>
        <v/>
      </c>
      <c r="X4936" s="12">
        <f>IF(LEFT(I4936,2)="MV",2*N4936*IF(L4936="1/C",O4936,1),0)</f>
        <v/>
      </c>
      <c r="Y4936" s="12">
        <f>IF(OR(LEFT(K4936,4)="LVAX",LEFT(K4936,6)="MV15AX",LEFT(K4936,4)="CTAX",LEFT(K4936,2)="W|"),2*N4936*O4936,0)</f>
        <v/>
      </c>
      <c r="Z4936" s="12" t="inlineStr">
        <is>
          <t>VD 2.4 %</t>
        </is>
      </c>
      <c r="AA4936" s="12">
        <f>N4936*O4936</f>
        <v/>
      </c>
    </row>
    <row r="4937">
      <c r="A4937" s="12" t="inlineStr">
        <is>
          <t>I-P-0057</t>
        </is>
      </c>
      <c r="B4937" s="12" t="inlineStr">
        <is>
          <t>I</t>
        </is>
      </c>
      <c r="C4937" s="12" t="inlineStr">
        <is>
          <t>Modular / portable power</t>
        </is>
      </c>
      <c r="D4937" s="12" t="inlineStr">
        <is>
          <t>Motor 4 of 5, 30 kW (VFD output)</t>
        </is>
      </c>
      <c r="E4937" s="12" t="inlineStr"/>
      <c r="F4937" s="12" t="inlineStr">
        <is>
          <t>PCM: power control module</t>
        </is>
      </c>
      <c r="G4937" s="12" t="inlineStr"/>
      <c r="H4937" s="12" t="inlineStr">
        <is>
          <t>RICE 4 radiators (5)</t>
        </is>
      </c>
      <c r="I4937" s="12" t="inlineStr">
        <is>
          <t>LV 600 V</t>
        </is>
      </c>
      <c r="J4937" s="12" t="inlineStr">
        <is>
          <t>VFD cable 600 V 3/C Cu XHHW-2, 3 symmetrical grounds, overall Cu tape shield, TC-ER</t>
        </is>
      </c>
      <c r="K4937" s="12" t="inlineStr">
        <is>
          <t>VFD|3/C+3G|6</t>
        </is>
      </c>
      <c r="L4937" s="12" t="inlineStr">
        <is>
          <t>3/C+3G</t>
        </is>
      </c>
      <c r="M4937" s="12" t="inlineStr">
        <is>
          <t>6</t>
        </is>
      </c>
      <c r="N4937" s="12" t="n">
        <v>1</v>
      </c>
      <c r="O4937" s="12" t="n">
        <v>1</v>
      </c>
      <c r="P4937" s="12" t="n">
        <v>480</v>
      </c>
      <c r="Q4937" s="12" t="n">
        <v>30</v>
      </c>
      <c r="R4937" s="12" t="n">
        <v>42</v>
      </c>
      <c r="S4937" s="12" t="inlineStr">
        <is>
          <t>Tray</t>
        </is>
      </c>
      <c r="T4937" s="17" t="n">
        <v>80</v>
      </c>
      <c r="U4937" s="17" t="n">
        <v>206</v>
      </c>
      <c r="V4937" s="17">
        <f>ROUNDUP((T4937+U4937+2*'Read Me'!$B$13)*(1+'Read Me'!$B$12),-1)</f>
        <v/>
      </c>
      <c r="W4937" s="17">
        <f>V4937*N4937*O4937</f>
        <v/>
      </c>
      <c r="X4937" s="12">
        <f>IF(LEFT(I4937,2)="MV",2*N4937*IF(L4937="1/C",O4937,1),0)</f>
        <v/>
      </c>
      <c r="Y4937" s="12">
        <f>IF(OR(LEFT(K4937,4)="LVAX",LEFT(K4937,6)="MV15AX",LEFT(K4937,4)="CTAX",LEFT(K4937,2)="W|"),2*N4937*O4937,0)</f>
        <v/>
      </c>
      <c r="Z4937" s="12" t="inlineStr">
        <is>
          <t>VD 2.4 %</t>
        </is>
      </c>
      <c r="AA4937" s="12">
        <f>N4937*O4937</f>
        <v/>
      </c>
    </row>
    <row r="4938">
      <c r="A4938" s="12" t="inlineStr">
        <is>
          <t>I-P-0058</t>
        </is>
      </c>
      <c r="B4938" s="12" t="inlineStr">
        <is>
          <t>I</t>
        </is>
      </c>
      <c r="C4938" s="12" t="inlineStr">
        <is>
          <t>Modular / portable power</t>
        </is>
      </c>
      <c r="D4938" s="12" t="inlineStr">
        <is>
          <t>Motor 5 of 5, 30 kW (VFD output)</t>
        </is>
      </c>
      <c r="E4938" s="12" t="inlineStr"/>
      <c r="F4938" s="12" t="inlineStr">
        <is>
          <t>PCM: power control module</t>
        </is>
      </c>
      <c r="G4938" s="12" t="inlineStr"/>
      <c r="H4938" s="12" t="inlineStr">
        <is>
          <t>RICE 4 radiators (5)</t>
        </is>
      </c>
      <c r="I4938" s="12" t="inlineStr">
        <is>
          <t>LV 600 V</t>
        </is>
      </c>
      <c r="J4938" s="12" t="inlineStr">
        <is>
          <t>VFD cable 600 V 3/C Cu XHHW-2, 3 symmetrical grounds, overall Cu tape shield, TC-ER</t>
        </is>
      </c>
      <c r="K4938" s="12" t="inlineStr">
        <is>
          <t>VFD|3/C+3G|6</t>
        </is>
      </c>
      <c r="L4938" s="12" t="inlineStr">
        <is>
          <t>3/C+3G</t>
        </is>
      </c>
      <c r="M4938" s="12" t="inlineStr">
        <is>
          <t>6</t>
        </is>
      </c>
      <c r="N4938" s="12" t="n">
        <v>1</v>
      </c>
      <c r="O4938" s="12" t="n">
        <v>1</v>
      </c>
      <c r="P4938" s="12" t="n">
        <v>480</v>
      </c>
      <c r="Q4938" s="12" t="n">
        <v>30</v>
      </c>
      <c r="R4938" s="12" t="n">
        <v>42</v>
      </c>
      <c r="S4938" s="12" t="inlineStr">
        <is>
          <t>Tray</t>
        </is>
      </c>
      <c r="T4938" s="17" t="n">
        <v>80</v>
      </c>
      <c r="U4938" s="17" t="n">
        <v>206</v>
      </c>
      <c r="V4938" s="17">
        <f>ROUNDUP((T4938+U4938+2*'Read Me'!$B$13)*(1+'Read Me'!$B$12),-1)</f>
        <v/>
      </c>
      <c r="W4938" s="17">
        <f>V4938*N4938*O4938</f>
        <v/>
      </c>
      <c r="X4938" s="12">
        <f>IF(LEFT(I4938,2)="MV",2*N4938*IF(L4938="1/C",O4938,1),0)</f>
        <v/>
      </c>
      <c r="Y4938" s="12">
        <f>IF(OR(LEFT(K4938,4)="LVAX",LEFT(K4938,6)="MV15AX",LEFT(K4938,4)="CTAX",LEFT(K4938,2)="W|"),2*N4938*O4938,0)</f>
        <v/>
      </c>
      <c r="Z4938" s="12" t="inlineStr">
        <is>
          <t>VD 2.4 %</t>
        </is>
      </c>
      <c r="AA4938" s="12">
        <f>N4938*O4938</f>
        <v/>
      </c>
    </row>
    <row r="4939">
      <c r="A4939" s="12" t="inlineStr">
        <is>
          <t>I-P-0059</t>
        </is>
      </c>
      <c r="B4939" s="12" t="inlineStr">
        <is>
          <t>I</t>
        </is>
      </c>
      <c r="C4939" s="12" t="inlineStr">
        <is>
          <t>Modular / portable power</t>
        </is>
      </c>
      <c r="D4939" s="12" t="inlineStr">
        <is>
          <t>Motor 1 of 1, 15 kW</t>
        </is>
      </c>
      <c r="E4939" s="12" t="inlineStr"/>
      <c r="F4939" s="12" t="inlineStr">
        <is>
          <t>PCM: power control module</t>
        </is>
      </c>
      <c r="G4939" s="12" t="inlineStr"/>
      <c r="H4939" s="12" t="inlineStr">
        <is>
          <t>RICE 5 SCR + oxidation catalyst and stack</t>
        </is>
      </c>
      <c r="I4939" s="12" t="inlineStr">
        <is>
          <t>LV 600 V</t>
        </is>
      </c>
      <c r="J4939" s="12" t="inlineStr">
        <is>
          <t>Type TC-ER 600 V 3/C Cu XHHW-2 + ground, PVC jacket</t>
        </is>
      </c>
      <c r="K4939" s="12" t="inlineStr">
        <is>
          <t>LV|3/C+G|6</t>
        </is>
      </c>
      <c r="L4939" s="12" t="inlineStr">
        <is>
          <t>3/C+G</t>
        </is>
      </c>
      <c r="M4939" s="12" t="inlineStr">
        <is>
          <t>6</t>
        </is>
      </c>
      <c r="N4939" s="12" t="n">
        <v>1</v>
      </c>
      <c r="O4939" s="12" t="n">
        <v>1</v>
      </c>
      <c r="P4939" s="12" t="n">
        <v>480</v>
      </c>
      <c r="Q4939" s="12" t="n">
        <v>15</v>
      </c>
      <c r="R4939" s="12" t="n">
        <v>21.2</v>
      </c>
      <c r="S4939" s="12" t="inlineStr">
        <is>
          <t>Duct bank</t>
        </is>
      </c>
      <c r="T4939" s="17" t="n">
        <v>322</v>
      </c>
      <c r="U4939" s="17" t="n">
        <v>196</v>
      </c>
      <c r="V4939" s="17">
        <f>ROUNDUP((T4939+U4939+2*'Read Me'!$B$13)*(1+'Read Me'!$B$12),-1)</f>
        <v/>
      </c>
      <c r="W4939" s="17">
        <f>V4939*N4939*O4939</f>
        <v/>
      </c>
      <c r="X4939" s="12">
        <f>IF(LEFT(I4939,2)="MV",2*N4939*IF(L4939="1/C",O4939,1),0)</f>
        <v/>
      </c>
      <c r="Y4939" s="12">
        <f>IF(OR(LEFT(K4939,4)="LVAX",LEFT(K4939,6)="MV15AX",LEFT(K4939,4)="CTAX",LEFT(K4939,2)="W|"),2*N4939*O4939,0)</f>
        <v/>
      </c>
      <c r="Z4939" s="12" t="inlineStr">
        <is>
          <t>VD 2.1 %</t>
        </is>
      </c>
      <c r="AA4939" s="12">
        <f>N4939*O4939</f>
        <v/>
      </c>
    </row>
    <row r="4940">
      <c r="A4940" s="12" t="inlineStr">
        <is>
          <t>I-P-0060</t>
        </is>
      </c>
      <c r="B4940" s="12" t="inlineStr">
        <is>
          <t>I</t>
        </is>
      </c>
      <c r="C4940" s="12" t="inlineStr">
        <is>
          <t>Modular / portable power</t>
        </is>
      </c>
      <c r="D4940" s="12" t="inlineStr">
        <is>
          <t>Area / platform lighting circuit 1 (6 fixtures)</t>
        </is>
      </c>
      <c r="E4940" s="12" t="inlineStr"/>
      <c r="F4940" s="12" t="inlineStr">
        <is>
          <t>PCM: power control module</t>
        </is>
      </c>
      <c r="G4940" s="12" t="inlineStr"/>
      <c r="H4940" s="12" t="inlineStr">
        <is>
          <t>RICE 5 SCR + oxidation catalyst and stack</t>
        </is>
      </c>
      <c r="I4940" s="12" t="inlineStr">
        <is>
          <t>LV 600 V</t>
        </is>
      </c>
      <c r="J4940" s="12" t="inlineStr">
        <is>
          <t>Type TC-ER 600 V 3/C Cu XHHW-2 + ground, PVC jacket</t>
        </is>
      </c>
      <c r="K4940" s="12" t="inlineStr">
        <is>
          <t>LV|3/C+G|10</t>
        </is>
      </c>
      <c r="L4940" s="12" t="inlineStr">
        <is>
          <t>3/C+G</t>
        </is>
      </c>
      <c r="M4940" s="12" t="inlineStr">
        <is>
          <t>10</t>
        </is>
      </c>
      <c r="N4940" s="12" t="n">
        <v>1</v>
      </c>
      <c r="O4940" s="12" t="n">
        <v>1</v>
      </c>
      <c r="P4940" s="12" t="n">
        <v>480</v>
      </c>
      <c r="Q4940" s="12" t="n">
        <v>3</v>
      </c>
      <c r="R4940" s="12" t="n">
        <v>5</v>
      </c>
      <c r="S4940" s="12" t="inlineStr">
        <is>
          <t>Duct bank</t>
        </is>
      </c>
      <c r="T4940" s="17" t="n">
        <v>622</v>
      </c>
      <c r="U4940" s="17" t="n">
        <v>196</v>
      </c>
      <c r="V4940" s="17">
        <f>ROUNDUP((T4940+U4940+2*'Read Me'!$B$13)*(1+'Read Me'!$B$12),-1)</f>
        <v/>
      </c>
      <c r="W4940" s="17">
        <f>V4940*N4940*O4940</f>
        <v/>
      </c>
      <c r="X4940" s="12">
        <f>IF(LEFT(I4940,2)="MV",2*N4940*IF(L4940="1/C",O4940,1),0)</f>
        <v/>
      </c>
      <c r="Y4940" s="12">
        <f>IF(OR(LEFT(K4940,4)="LVAX",LEFT(K4940,6)="MV15AX",LEFT(K4940,4)="CTAX",LEFT(K4940,2)="W|"),2*N4940*O4940,0)</f>
        <v/>
      </c>
      <c r="Z4940" s="12" t="inlineStr">
        <is>
          <t>fixture-to-fixture run included</t>
        </is>
      </c>
      <c r="AA4940" s="12">
        <f>N4940*O4940</f>
        <v/>
      </c>
    </row>
    <row r="4941">
      <c r="A4941" s="12" t="inlineStr">
        <is>
          <t>I-P-0061</t>
        </is>
      </c>
      <c r="B4941" s="12" t="inlineStr">
        <is>
          <t>I</t>
        </is>
      </c>
      <c r="C4941" s="12" t="inlineStr">
        <is>
          <t>Modular / portable power</t>
        </is>
      </c>
      <c r="D4941" s="12" t="inlineStr">
        <is>
          <t>Motor 1 of 5, 30 kW (VFD output)</t>
        </is>
      </c>
      <c r="E4941" s="12" t="inlineStr"/>
      <c r="F4941" s="12" t="inlineStr">
        <is>
          <t>PCM: power control module</t>
        </is>
      </c>
      <c r="G4941" s="12" t="inlineStr"/>
      <c r="H4941" s="12" t="inlineStr">
        <is>
          <t>RICE 5 radiators (5)</t>
        </is>
      </c>
      <c r="I4941" s="12" t="inlineStr">
        <is>
          <t>LV 600 V</t>
        </is>
      </c>
      <c r="J4941" s="12" t="inlineStr">
        <is>
          <t>VFD cable 600 V 3/C Cu XHHW-2, 3 symmetrical grounds, overall Cu tape shield, TC-ER</t>
        </is>
      </c>
      <c r="K4941" s="12" t="inlineStr">
        <is>
          <t>VFD|3/C+3G|6</t>
        </is>
      </c>
      <c r="L4941" s="12" t="inlineStr">
        <is>
          <t>3/C+3G</t>
        </is>
      </c>
      <c r="M4941" s="12" t="inlineStr">
        <is>
          <t>6</t>
        </is>
      </c>
      <c r="N4941" s="12" t="n">
        <v>1</v>
      </c>
      <c r="O4941" s="12" t="n">
        <v>1</v>
      </c>
      <c r="P4941" s="12" t="n">
        <v>480</v>
      </c>
      <c r="Q4941" s="12" t="n">
        <v>30</v>
      </c>
      <c r="R4941" s="12" t="n">
        <v>42</v>
      </c>
      <c r="S4941" s="12" t="inlineStr">
        <is>
          <t>Tray</t>
        </is>
      </c>
      <c r="T4941" s="17" t="n">
        <v>80</v>
      </c>
      <c r="U4941" s="17" t="n">
        <v>178</v>
      </c>
      <c r="V4941" s="17">
        <f>ROUNDUP((T4941+U4941+2*'Read Me'!$B$13)*(1+'Read Me'!$B$12),-1)</f>
        <v/>
      </c>
      <c r="W4941" s="17">
        <f>V4941*N4941*O4941</f>
        <v/>
      </c>
      <c r="X4941" s="12">
        <f>IF(LEFT(I4941,2)="MV",2*N4941*IF(L4941="1/C",O4941,1),0)</f>
        <v/>
      </c>
      <c r="Y4941" s="12">
        <f>IF(OR(LEFT(K4941,4)="LVAX",LEFT(K4941,6)="MV15AX",LEFT(K4941,4)="CTAX",LEFT(K4941,2)="W|"),2*N4941*O4941,0)</f>
        <v/>
      </c>
      <c r="Z4941" s="12" t="inlineStr">
        <is>
          <t>VD 2.1 %</t>
        </is>
      </c>
      <c r="AA4941" s="12">
        <f>N4941*O4941</f>
        <v/>
      </c>
    </row>
    <row r="4942">
      <c r="A4942" s="12" t="inlineStr">
        <is>
          <t>I-P-0062</t>
        </is>
      </c>
      <c r="B4942" s="12" t="inlineStr">
        <is>
          <t>I</t>
        </is>
      </c>
      <c r="C4942" s="12" t="inlineStr">
        <is>
          <t>Modular / portable power</t>
        </is>
      </c>
      <c r="D4942" s="12" t="inlineStr">
        <is>
          <t>Motor 2 of 5, 30 kW (VFD output)</t>
        </is>
      </c>
      <c r="E4942" s="12" t="inlineStr"/>
      <c r="F4942" s="12" t="inlineStr">
        <is>
          <t>PCM: power control module</t>
        </is>
      </c>
      <c r="G4942" s="12" t="inlineStr"/>
      <c r="H4942" s="12" t="inlineStr">
        <is>
          <t>RICE 5 radiators (5)</t>
        </is>
      </c>
      <c r="I4942" s="12" t="inlineStr">
        <is>
          <t>LV 600 V</t>
        </is>
      </c>
      <c r="J4942" s="12" t="inlineStr">
        <is>
          <t>VFD cable 600 V 3/C Cu XHHW-2, 3 symmetrical grounds, overall Cu tape shield, TC-ER</t>
        </is>
      </c>
      <c r="K4942" s="12" t="inlineStr">
        <is>
          <t>VFD|3/C+3G|6</t>
        </is>
      </c>
      <c r="L4942" s="12" t="inlineStr">
        <is>
          <t>3/C+3G</t>
        </is>
      </c>
      <c r="M4942" s="12" t="inlineStr">
        <is>
          <t>6</t>
        </is>
      </c>
      <c r="N4942" s="12" t="n">
        <v>1</v>
      </c>
      <c r="O4942" s="12" t="n">
        <v>1</v>
      </c>
      <c r="P4942" s="12" t="n">
        <v>480</v>
      </c>
      <c r="Q4942" s="12" t="n">
        <v>30</v>
      </c>
      <c r="R4942" s="12" t="n">
        <v>42</v>
      </c>
      <c r="S4942" s="12" t="inlineStr">
        <is>
          <t>Tray</t>
        </is>
      </c>
      <c r="T4942" s="17" t="n">
        <v>80</v>
      </c>
      <c r="U4942" s="17" t="n">
        <v>178</v>
      </c>
      <c r="V4942" s="17">
        <f>ROUNDUP((T4942+U4942+2*'Read Me'!$B$13)*(1+'Read Me'!$B$12),-1)</f>
        <v/>
      </c>
      <c r="W4942" s="17">
        <f>V4942*N4942*O4942</f>
        <v/>
      </c>
      <c r="X4942" s="12">
        <f>IF(LEFT(I4942,2)="MV",2*N4942*IF(L4942="1/C",O4942,1),0)</f>
        <v/>
      </c>
      <c r="Y4942" s="12">
        <f>IF(OR(LEFT(K4942,4)="LVAX",LEFT(K4942,6)="MV15AX",LEFT(K4942,4)="CTAX",LEFT(K4942,2)="W|"),2*N4942*O4942,0)</f>
        <v/>
      </c>
      <c r="Z4942" s="12" t="inlineStr">
        <is>
          <t>VD 2.1 %</t>
        </is>
      </c>
      <c r="AA4942" s="12">
        <f>N4942*O4942</f>
        <v/>
      </c>
    </row>
    <row r="4943">
      <c r="A4943" s="12" t="inlineStr">
        <is>
          <t>I-P-0063</t>
        </is>
      </c>
      <c r="B4943" s="12" t="inlineStr">
        <is>
          <t>I</t>
        </is>
      </c>
      <c r="C4943" s="12" t="inlineStr">
        <is>
          <t>Modular / portable power</t>
        </is>
      </c>
      <c r="D4943" s="12" t="inlineStr">
        <is>
          <t>Motor 3 of 5, 30 kW (VFD output)</t>
        </is>
      </c>
      <c r="E4943" s="12" t="inlineStr"/>
      <c r="F4943" s="12" t="inlineStr">
        <is>
          <t>PCM: power control module</t>
        </is>
      </c>
      <c r="G4943" s="12" t="inlineStr"/>
      <c r="H4943" s="12" t="inlineStr">
        <is>
          <t>RICE 5 radiators (5)</t>
        </is>
      </c>
      <c r="I4943" s="12" t="inlineStr">
        <is>
          <t>LV 600 V</t>
        </is>
      </c>
      <c r="J4943" s="12" t="inlineStr">
        <is>
          <t>VFD cable 600 V 3/C Cu XHHW-2, 3 symmetrical grounds, overall Cu tape shield, TC-ER</t>
        </is>
      </c>
      <c r="K4943" s="12" t="inlineStr">
        <is>
          <t>VFD|3/C+3G|6</t>
        </is>
      </c>
      <c r="L4943" s="12" t="inlineStr">
        <is>
          <t>3/C+3G</t>
        </is>
      </c>
      <c r="M4943" s="12" t="inlineStr">
        <is>
          <t>6</t>
        </is>
      </c>
      <c r="N4943" s="12" t="n">
        <v>1</v>
      </c>
      <c r="O4943" s="12" t="n">
        <v>1</v>
      </c>
      <c r="P4943" s="12" t="n">
        <v>480</v>
      </c>
      <c r="Q4943" s="12" t="n">
        <v>30</v>
      </c>
      <c r="R4943" s="12" t="n">
        <v>42</v>
      </c>
      <c r="S4943" s="12" t="inlineStr">
        <is>
          <t>Tray</t>
        </is>
      </c>
      <c r="T4943" s="17" t="n">
        <v>80</v>
      </c>
      <c r="U4943" s="17" t="n">
        <v>178</v>
      </c>
      <c r="V4943" s="17">
        <f>ROUNDUP((T4943+U4943+2*'Read Me'!$B$13)*(1+'Read Me'!$B$12),-1)</f>
        <v/>
      </c>
      <c r="W4943" s="17">
        <f>V4943*N4943*O4943</f>
        <v/>
      </c>
      <c r="X4943" s="12">
        <f>IF(LEFT(I4943,2)="MV",2*N4943*IF(L4943="1/C",O4943,1),0)</f>
        <v/>
      </c>
      <c r="Y4943" s="12">
        <f>IF(OR(LEFT(K4943,4)="LVAX",LEFT(K4943,6)="MV15AX",LEFT(K4943,4)="CTAX",LEFT(K4943,2)="W|"),2*N4943*O4943,0)</f>
        <v/>
      </c>
      <c r="Z4943" s="12" t="inlineStr">
        <is>
          <t>VD 2.1 %</t>
        </is>
      </c>
      <c r="AA4943" s="12">
        <f>N4943*O4943</f>
        <v/>
      </c>
    </row>
    <row r="4944">
      <c r="A4944" s="12" t="inlineStr">
        <is>
          <t>I-P-0064</t>
        </is>
      </c>
      <c r="B4944" s="12" t="inlineStr">
        <is>
          <t>I</t>
        </is>
      </c>
      <c r="C4944" s="12" t="inlineStr">
        <is>
          <t>Modular / portable power</t>
        </is>
      </c>
      <c r="D4944" s="12" t="inlineStr">
        <is>
          <t>Motor 4 of 5, 30 kW (VFD output)</t>
        </is>
      </c>
      <c r="E4944" s="12" t="inlineStr"/>
      <c r="F4944" s="12" t="inlineStr">
        <is>
          <t>PCM: power control module</t>
        </is>
      </c>
      <c r="G4944" s="12" t="inlineStr"/>
      <c r="H4944" s="12" t="inlineStr">
        <is>
          <t>RICE 5 radiators (5)</t>
        </is>
      </c>
      <c r="I4944" s="12" t="inlineStr">
        <is>
          <t>LV 600 V</t>
        </is>
      </c>
      <c r="J4944" s="12" t="inlineStr">
        <is>
          <t>VFD cable 600 V 3/C Cu XHHW-2, 3 symmetrical grounds, overall Cu tape shield, TC-ER</t>
        </is>
      </c>
      <c r="K4944" s="12" t="inlineStr">
        <is>
          <t>VFD|3/C+3G|6</t>
        </is>
      </c>
      <c r="L4944" s="12" t="inlineStr">
        <is>
          <t>3/C+3G</t>
        </is>
      </c>
      <c r="M4944" s="12" t="inlineStr">
        <is>
          <t>6</t>
        </is>
      </c>
      <c r="N4944" s="12" t="n">
        <v>1</v>
      </c>
      <c r="O4944" s="12" t="n">
        <v>1</v>
      </c>
      <c r="P4944" s="12" t="n">
        <v>480</v>
      </c>
      <c r="Q4944" s="12" t="n">
        <v>30</v>
      </c>
      <c r="R4944" s="12" t="n">
        <v>42</v>
      </c>
      <c r="S4944" s="12" t="inlineStr">
        <is>
          <t>Tray</t>
        </is>
      </c>
      <c r="T4944" s="17" t="n">
        <v>80</v>
      </c>
      <c r="U4944" s="17" t="n">
        <v>178</v>
      </c>
      <c r="V4944" s="17">
        <f>ROUNDUP((T4944+U4944+2*'Read Me'!$B$13)*(1+'Read Me'!$B$12),-1)</f>
        <v/>
      </c>
      <c r="W4944" s="17">
        <f>V4944*N4944*O4944</f>
        <v/>
      </c>
      <c r="X4944" s="12">
        <f>IF(LEFT(I4944,2)="MV",2*N4944*IF(L4944="1/C",O4944,1),0)</f>
        <v/>
      </c>
      <c r="Y4944" s="12">
        <f>IF(OR(LEFT(K4944,4)="LVAX",LEFT(K4944,6)="MV15AX",LEFT(K4944,4)="CTAX",LEFT(K4944,2)="W|"),2*N4944*O4944,0)</f>
        <v/>
      </c>
      <c r="Z4944" s="12" t="inlineStr">
        <is>
          <t>VD 2.1 %</t>
        </is>
      </c>
      <c r="AA4944" s="12">
        <f>N4944*O4944</f>
        <v/>
      </c>
    </row>
    <row r="4945">
      <c r="A4945" s="12" t="inlineStr">
        <is>
          <t>I-P-0065</t>
        </is>
      </c>
      <c r="B4945" s="12" t="inlineStr">
        <is>
          <t>I</t>
        </is>
      </c>
      <c r="C4945" s="12" t="inlineStr">
        <is>
          <t>Modular / portable power</t>
        </is>
      </c>
      <c r="D4945" s="12" t="inlineStr">
        <is>
          <t>Motor 5 of 5, 30 kW (VFD output)</t>
        </is>
      </c>
      <c r="E4945" s="12" t="inlineStr"/>
      <c r="F4945" s="12" t="inlineStr">
        <is>
          <t>PCM: power control module</t>
        </is>
      </c>
      <c r="G4945" s="12" t="inlineStr"/>
      <c r="H4945" s="12" t="inlineStr">
        <is>
          <t>RICE 5 radiators (5)</t>
        </is>
      </c>
      <c r="I4945" s="12" t="inlineStr">
        <is>
          <t>LV 600 V</t>
        </is>
      </c>
      <c r="J4945" s="12" t="inlineStr">
        <is>
          <t>VFD cable 600 V 3/C Cu XHHW-2, 3 symmetrical grounds, overall Cu tape shield, TC-ER</t>
        </is>
      </c>
      <c r="K4945" s="12" t="inlineStr">
        <is>
          <t>VFD|3/C+3G|6</t>
        </is>
      </c>
      <c r="L4945" s="12" t="inlineStr">
        <is>
          <t>3/C+3G</t>
        </is>
      </c>
      <c r="M4945" s="12" t="inlineStr">
        <is>
          <t>6</t>
        </is>
      </c>
      <c r="N4945" s="12" t="n">
        <v>1</v>
      </c>
      <c r="O4945" s="12" t="n">
        <v>1</v>
      </c>
      <c r="P4945" s="12" t="n">
        <v>480</v>
      </c>
      <c r="Q4945" s="12" t="n">
        <v>30</v>
      </c>
      <c r="R4945" s="12" t="n">
        <v>42</v>
      </c>
      <c r="S4945" s="12" t="inlineStr">
        <is>
          <t>Tray</t>
        </is>
      </c>
      <c r="T4945" s="17" t="n">
        <v>80</v>
      </c>
      <c r="U4945" s="17" t="n">
        <v>178</v>
      </c>
      <c r="V4945" s="17">
        <f>ROUNDUP((T4945+U4945+2*'Read Me'!$B$13)*(1+'Read Me'!$B$12),-1)</f>
        <v/>
      </c>
      <c r="W4945" s="17">
        <f>V4945*N4945*O4945</f>
        <v/>
      </c>
      <c r="X4945" s="12">
        <f>IF(LEFT(I4945,2)="MV",2*N4945*IF(L4945="1/C",O4945,1),0)</f>
        <v/>
      </c>
      <c r="Y4945" s="12">
        <f>IF(OR(LEFT(K4945,4)="LVAX",LEFT(K4945,6)="MV15AX",LEFT(K4945,4)="CTAX",LEFT(K4945,2)="W|"),2*N4945*O4945,0)</f>
        <v/>
      </c>
      <c r="Z4945" s="12" t="inlineStr">
        <is>
          <t>VD 2.1 %</t>
        </is>
      </c>
      <c r="AA4945" s="12">
        <f>N4945*O4945</f>
        <v/>
      </c>
    </row>
    <row r="4946">
      <c r="A4946" s="12" t="inlineStr">
        <is>
          <t>I-P-0066</t>
        </is>
      </c>
      <c r="B4946" s="12" t="inlineStr">
        <is>
          <t>I</t>
        </is>
      </c>
      <c r="C4946" s="12" t="inlineStr">
        <is>
          <t>Modular / portable power</t>
        </is>
      </c>
      <c r="D4946" s="12" t="inlineStr">
        <is>
          <t>Motor 1 of 1, 15 kW</t>
        </is>
      </c>
      <c r="E4946" s="12" t="inlineStr"/>
      <c r="F4946" s="12" t="inlineStr">
        <is>
          <t>PCM: power control module</t>
        </is>
      </c>
      <c r="G4946" s="12" t="inlineStr"/>
      <c r="H4946" s="12" t="inlineStr">
        <is>
          <t>RICE 6 SCR + oxidation catalyst and stack</t>
        </is>
      </c>
      <c r="I4946" s="12" t="inlineStr">
        <is>
          <t>LV 600 V</t>
        </is>
      </c>
      <c r="J4946" s="12" t="inlineStr">
        <is>
          <t>Type TC-ER 600 V 3/C Cu XHHW-2 + ground, PVC jacket</t>
        </is>
      </c>
      <c r="K4946" s="12" t="inlineStr">
        <is>
          <t>LV|3/C+G|6</t>
        </is>
      </c>
      <c r="L4946" s="12" t="inlineStr">
        <is>
          <t>3/C+G</t>
        </is>
      </c>
      <c r="M4946" s="12" t="inlineStr">
        <is>
          <t>6</t>
        </is>
      </c>
      <c r="N4946" s="12" t="n">
        <v>1</v>
      </c>
      <c r="O4946" s="12" t="n">
        <v>1</v>
      </c>
      <c r="P4946" s="12" t="n">
        <v>480</v>
      </c>
      <c r="Q4946" s="12" t="n">
        <v>15</v>
      </c>
      <c r="R4946" s="12" t="n">
        <v>21.2</v>
      </c>
      <c r="S4946" s="12" t="inlineStr">
        <is>
          <t>Duct bank</t>
        </is>
      </c>
      <c r="T4946" s="17" t="n">
        <v>322</v>
      </c>
      <c r="U4946" s="17" t="n">
        <v>168</v>
      </c>
      <c r="V4946" s="17">
        <f>ROUNDUP((T4946+U4946+2*'Read Me'!$B$13)*(1+'Read Me'!$B$12),-1)</f>
        <v/>
      </c>
      <c r="W4946" s="17">
        <f>V4946*N4946*O4946</f>
        <v/>
      </c>
      <c r="X4946" s="12">
        <f>IF(LEFT(I4946,2)="MV",2*N4946*IF(L4946="1/C",O4946,1),0)</f>
        <v/>
      </c>
      <c r="Y4946" s="12">
        <f>IF(OR(LEFT(K4946,4)="LVAX",LEFT(K4946,6)="MV15AX",LEFT(K4946,4)="CTAX",LEFT(K4946,2)="W|"),2*N4946*O4946,0)</f>
        <v/>
      </c>
      <c r="Z4946" s="12" t="inlineStr">
        <is>
          <t>VD 2.0 %</t>
        </is>
      </c>
      <c r="AA4946" s="12">
        <f>N4946*O4946</f>
        <v/>
      </c>
    </row>
    <row r="4947">
      <c r="A4947" s="12" t="inlineStr">
        <is>
          <t>I-P-0067</t>
        </is>
      </c>
      <c r="B4947" s="12" t="inlineStr">
        <is>
          <t>I</t>
        </is>
      </c>
      <c r="C4947" s="12" t="inlineStr">
        <is>
          <t>Modular / portable power</t>
        </is>
      </c>
      <c r="D4947" s="12" t="inlineStr">
        <is>
          <t>Area / platform lighting circuit 1 (6 fixtures)</t>
        </is>
      </c>
      <c r="E4947" s="12" t="inlineStr"/>
      <c r="F4947" s="12" t="inlineStr">
        <is>
          <t>PCM: power control module</t>
        </is>
      </c>
      <c r="G4947" s="12" t="inlineStr"/>
      <c r="H4947" s="12" t="inlineStr">
        <is>
          <t>RICE 6 SCR + oxidation catalyst and stack</t>
        </is>
      </c>
      <c r="I4947" s="12" t="inlineStr">
        <is>
          <t>LV 600 V</t>
        </is>
      </c>
      <c r="J4947" s="12" t="inlineStr">
        <is>
          <t>Type TC-ER 600 V 3/C Cu XHHW-2 + ground, PVC jacket</t>
        </is>
      </c>
      <c r="K4947" s="12" t="inlineStr">
        <is>
          <t>LV|3/C+G|10</t>
        </is>
      </c>
      <c r="L4947" s="12" t="inlineStr">
        <is>
          <t>3/C+G</t>
        </is>
      </c>
      <c r="M4947" s="12" t="inlineStr">
        <is>
          <t>10</t>
        </is>
      </c>
      <c r="N4947" s="12" t="n">
        <v>1</v>
      </c>
      <c r="O4947" s="12" t="n">
        <v>1</v>
      </c>
      <c r="P4947" s="12" t="n">
        <v>480</v>
      </c>
      <c r="Q4947" s="12" t="n">
        <v>3</v>
      </c>
      <c r="R4947" s="12" t="n">
        <v>5</v>
      </c>
      <c r="S4947" s="12" t="inlineStr">
        <is>
          <t>Duct bank</t>
        </is>
      </c>
      <c r="T4947" s="17" t="n">
        <v>622</v>
      </c>
      <c r="U4947" s="17" t="n">
        <v>168</v>
      </c>
      <c r="V4947" s="17">
        <f>ROUNDUP((T4947+U4947+2*'Read Me'!$B$13)*(1+'Read Me'!$B$12),-1)</f>
        <v/>
      </c>
      <c r="W4947" s="17">
        <f>V4947*N4947*O4947</f>
        <v/>
      </c>
      <c r="X4947" s="12">
        <f>IF(LEFT(I4947,2)="MV",2*N4947*IF(L4947="1/C",O4947,1),0)</f>
        <v/>
      </c>
      <c r="Y4947" s="12">
        <f>IF(OR(LEFT(K4947,4)="LVAX",LEFT(K4947,6)="MV15AX",LEFT(K4947,4)="CTAX",LEFT(K4947,2)="W|"),2*N4947*O4947,0)</f>
        <v/>
      </c>
      <c r="Z4947" s="12" t="inlineStr">
        <is>
          <t>fixture-to-fixture run included</t>
        </is>
      </c>
      <c r="AA4947" s="12">
        <f>N4947*O4947</f>
        <v/>
      </c>
    </row>
    <row r="4948">
      <c r="A4948" s="12" t="inlineStr">
        <is>
          <t>I-P-0068</t>
        </is>
      </c>
      <c r="B4948" s="12" t="inlineStr">
        <is>
          <t>I</t>
        </is>
      </c>
      <c r="C4948" s="12" t="inlineStr">
        <is>
          <t>Modular / portable power</t>
        </is>
      </c>
      <c r="D4948" s="12" t="inlineStr">
        <is>
          <t>Motor 1 of 5, 30 kW (VFD output)</t>
        </is>
      </c>
      <c r="E4948" s="12" t="inlineStr"/>
      <c r="F4948" s="12" t="inlineStr">
        <is>
          <t>PCM: power control module</t>
        </is>
      </c>
      <c r="G4948" s="12" t="inlineStr"/>
      <c r="H4948" s="12" t="inlineStr">
        <is>
          <t>RICE 6 radiators (5)</t>
        </is>
      </c>
      <c r="I4948" s="12" t="inlineStr">
        <is>
          <t>LV 600 V</t>
        </is>
      </c>
      <c r="J4948" s="12" t="inlineStr">
        <is>
          <t>VFD cable 600 V 3/C Cu XHHW-2, 3 symmetrical grounds, overall Cu tape shield, TC-ER</t>
        </is>
      </c>
      <c r="K4948" s="12" t="inlineStr">
        <is>
          <t>VFD|3/C+3G|6</t>
        </is>
      </c>
      <c r="L4948" s="12" t="inlineStr">
        <is>
          <t>3/C+3G</t>
        </is>
      </c>
      <c r="M4948" s="12" t="inlineStr">
        <is>
          <t>6</t>
        </is>
      </c>
      <c r="N4948" s="12" t="n">
        <v>1</v>
      </c>
      <c r="O4948" s="12" t="n">
        <v>1</v>
      </c>
      <c r="P4948" s="12" t="n">
        <v>480</v>
      </c>
      <c r="Q4948" s="12" t="n">
        <v>30</v>
      </c>
      <c r="R4948" s="12" t="n">
        <v>42</v>
      </c>
      <c r="S4948" s="12" t="inlineStr">
        <is>
          <t>Tray</t>
        </is>
      </c>
      <c r="T4948" s="17" t="n">
        <v>80</v>
      </c>
      <c r="U4948" s="17" t="n">
        <v>150</v>
      </c>
      <c r="V4948" s="17">
        <f>ROUNDUP((T4948+U4948+2*'Read Me'!$B$13)*(1+'Read Me'!$B$12),-1)</f>
        <v/>
      </c>
      <c r="W4948" s="17">
        <f>V4948*N4948*O4948</f>
        <v/>
      </c>
      <c r="X4948" s="12">
        <f>IF(LEFT(I4948,2)="MV",2*N4948*IF(L4948="1/C",O4948,1),0)</f>
        <v/>
      </c>
      <c r="Y4948" s="12">
        <f>IF(OR(LEFT(K4948,4)="LVAX",LEFT(K4948,6)="MV15AX",LEFT(K4948,4)="CTAX",LEFT(K4948,2)="W|"),2*N4948*O4948,0)</f>
        <v/>
      </c>
      <c r="Z4948" s="12" t="inlineStr">
        <is>
          <t>VD 1.9 %</t>
        </is>
      </c>
      <c r="AA4948" s="12">
        <f>N4948*O4948</f>
        <v/>
      </c>
    </row>
    <row r="4949">
      <c r="A4949" s="12" t="inlineStr">
        <is>
          <t>I-P-0069</t>
        </is>
      </c>
      <c r="B4949" s="12" t="inlineStr">
        <is>
          <t>I</t>
        </is>
      </c>
      <c r="C4949" s="12" t="inlineStr">
        <is>
          <t>Modular / portable power</t>
        </is>
      </c>
      <c r="D4949" s="12" t="inlineStr">
        <is>
          <t>Motor 2 of 5, 30 kW (VFD output)</t>
        </is>
      </c>
      <c r="E4949" s="12" t="inlineStr"/>
      <c r="F4949" s="12" t="inlineStr">
        <is>
          <t>PCM: power control module</t>
        </is>
      </c>
      <c r="G4949" s="12" t="inlineStr"/>
      <c r="H4949" s="12" t="inlineStr">
        <is>
          <t>RICE 6 radiators (5)</t>
        </is>
      </c>
      <c r="I4949" s="12" t="inlineStr">
        <is>
          <t>LV 600 V</t>
        </is>
      </c>
      <c r="J4949" s="12" t="inlineStr">
        <is>
          <t>VFD cable 600 V 3/C Cu XHHW-2, 3 symmetrical grounds, overall Cu tape shield, TC-ER</t>
        </is>
      </c>
      <c r="K4949" s="12" t="inlineStr">
        <is>
          <t>VFD|3/C+3G|6</t>
        </is>
      </c>
      <c r="L4949" s="12" t="inlineStr">
        <is>
          <t>3/C+3G</t>
        </is>
      </c>
      <c r="M4949" s="12" t="inlineStr">
        <is>
          <t>6</t>
        </is>
      </c>
      <c r="N4949" s="12" t="n">
        <v>1</v>
      </c>
      <c r="O4949" s="12" t="n">
        <v>1</v>
      </c>
      <c r="P4949" s="12" t="n">
        <v>480</v>
      </c>
      <c r="Q4949" s="12" t="n">
        <v>30</v>
      </c>
      <c r="R4949" s="12" t="n">
        <v>42</v>
      </c>
      <c r="S4949" s="12" t="inlineStr">
        <is>
          <t>Tray</t>
        </is>
      </c>
      <c r="T4949" s="17" t="n">
        <v>80</v>
      </c>
      <c r="U4949" s="17" t="n">
        <v>150</v>
      </c>
      <c r="V4949" s="17">
        <f>ROUNDUP((T4949+U4949+2*'Read Me'!$B$13)*(1+'Read Me'!$B$12),-1)</f>
        <v/>
      </c>
      <c r="W4949" s="17">
        <f>V4949*N4949*O4949</f>
        <v/>
      </c>
      <c r="X4949" s="12">
        <f>IF(LEFT(I4949,2)="MV",2*N4949*IF(L4949="1/C",O4949,1),0)</f>
        <v/>
      </c>
      <c r="Y4949" s="12">
        <f>IF(OR(LEFT(K4949,4)="LVAX",LEFT(K4949,6)="MV15AX",LEFT(K4949,4)="CTAX",LEFT(K4949,2)="W|"),2*N4949*O4949,0)</f>
        <v/>
      </c>
      <c r="Z4949" s="12" t="inlineStr">
        <is>
          <t>VD 1.9 %</t>
        </is>
      </c>
      <c r="AA4949" s="12">
        <f>N4949*O4949</f>
        <v/>
      </c>
    </row>
    <row r="4950">
      <c r="A4950" s="12" t="inlineStr">
        <is>
          <t>I-P-0070</t>
        </is>
      </c>
      <c r="B4950" s="12" t="inlineStr">
        <is>
          <t>I</t>
        </is>
      </c>
      <c r="C4950" s="12" t="inlineStr">
        <is>
          <t>Modular / portable power</t>
        </is>
      </c>
      <c r="D4950" s="12" t="inlineStr">
        <is>
          <t>Motor 3 of 5, 30 kW (VFD output)</t>
        </is>
      </c>
      <c r="E4950" s="12" t="inlineStr"/>
      <c r="F4950" s="12" t="inlineStr">
        <is>
          <t>PCM: power control module</t>
        </is>
      </c>
      <c r="G4950" s="12" t="inlineStr"/>
      <c r="H4950" s="12" t="inlineStr">
        <is>
          <t>RICE 6 radiators (5)</t>
        </is>
      </c>
      <c r="I4950" s="12" t="inlineStr">
        <is>
          <t>LV 600 V</t>
        </is>
      </c>
      <c r="J4950" s="12" t="inlineStr">
        <is>
          <t>VFD cable 600 V 3/C Cu XHHW-2, 3 symmetrical grounds, overall Cu tape shield, TC-ER</t>
        </is>
      </c>
      <c r="K4950" s="12" t="inlineStr">
        <is>
          <t>VFD|3/C+3G|6</t>
        </is>
      </c>
      <c r="L4950" s="12" t="inlineStr">
        <is>
          <t>3/C+3G</t>
        </is>
      </c>
      <c r="M4950" s="12" t="inlineStr">
        <is>
          <t>6</t>
        </is>
      </c>
      <c r="N4950" s="12" t="n">
        <v>1</v>
      </c>
      <c r="O4950" s="12" t="n">
        <v>1</v>
      </c>
      <c r="P4950" s="12" t="n">
        <v>480</v>
      </c>
      <c r="Q4950" s="12" t="n">
        <v>30</v>
      </c>
      <c r="R4950" s="12" t="n">
        <v>42</v>
      </c>
      <c r="S4950" s="12" t="inlineStr">
        <is>
          <t>Tray</t>
        </is>
      </c>
      <c r="T4950" s="17" t="n">
        <v>80</v>
      </c>
      <c r="U4950" s="17" t="n">
        <v>150</v>
      </c>
      <c r="V4950" s="17">
        <f>ROUNDUP((T4950+U4950+2*'Read Me'!$B$13)*(1+'Read Me'!$B$12),-1)</f>
        <v/>
      </c>
      <c r="W4950" s="17">
        <f>V4950*N4950*O4950</f>
        <v/>
      </c>
      <c r="X4950" s="12">
        <f>IF(LEFT(I4950,2)="MV",2*N4950*IF(L4950="1/C",O4950,1),0)</f>
        <v/>
      </c>
      <c r="Y4950" s="12">
        <f>IF(OR(LEFT(K4950,4)="LVAX",LEFT(K4950,6)="MV15AX",LEFT(K4950,4)="CTAX",LEFT(K4950,2)="W|"),2*N4950*O4950,0)</f>
        <v/>
      </c>
      <c r="Z4950" s="12" t="inlineStr">
        <is>
          <t>VD 1.9 %</t>
        </is>
      </c>
      <c r="AA4950" s="12">
        <f>N4950*O4950</f>
        <v/>
      </c>
    </row>
    <row r="4951">
      <c r="A4951" s="12" t="inlineStr">
        <is>
          <t>I-P-0071</t>
        </is>
      </c>
      <c r="B4951" s="12" t="inlineStr">
        <is>
          <t>I</t>
        </is>
      </c>
      <c r="C4951" s="12" t="inlineStr">
        <is>
          <t>Modular / portable power</t>
        </is>
      </c>
      <c r="D4951" s="12" t="inlineStr">
        <is>
          <t>Motor 4 of 5, 30 kW (VFD output)</t>
        </is>
      </c>
      <c r="E4951" s="12" t="inlineStr"/>
      <c r="F4951" s="12" t="inlineStr">
        <is>
          <t>PCM: power control module</t>
        </is>
      </c>
      <c r="G4951" s="12" t="inlineStr"/>
      <c r="H4951" s="12" t="inlineStr">
        <is>
          <t>RICE 6 radiators (5)</t>
        </is>
      </c>
      <c r="I4951" s="12" t="inlineStr">
        <is>
          <t>LV 600 V</t>
        </is>
      </c>
      <c r="J4951" s="12" t="inlineStr">
        <is>
          <t>VFD cable 600 V 3/C Cu XHHW-2, 3 symmetrical grounds, overall Cu tape shield, TC-ER</t>
        </is>
      </c>
      <c r="K4951" s="12" t="inlineStr">
        <is>
          <t>VFD|3/C+3G|6</t>
        </is>
      </c>
      <c r="L4951" s="12" t="inlineStr">
        <is>
          <t>3/C+3G</t>
        </is>
      </c>
      <c r="M4951" s="12" t="inlineStr">
        <is>
          <t>6</t>
        </is>
      </c>
      <c r="N4951" s="12" t="n">
        <v>1</v>
      </c>
      <c r="O4951" s="12" t="n">
        <v>1</v>
      </c>
      <c r="P4951" s="12" t="n">
        <v>480</v>
      </c>
      <c r="Q4951" s="12" t="n">
        <v>30</v>
      </c>
      <c r="R4951" s="12" t="n">
        <v>42</v>
      </c>
      <c r="S4951" s="12" t="inlineStr">
        <is>
          <t>Tray</t>
        </is>
      </c>
      <c r="T4951" s="17" t="n">
        <v>80</v>
      </c>
      <c r="U4951" s="17" t="n">
        <v>150</v>
      </c>
      <c r="V4951" s="17">
        <f>ROUNDUP((T4951+U4951+2*'Read Me'!$B$13)*(1+'Read Me'!$B$12),-1)</f>
        <v/>
      </c>
      <c r="W4951" s="17">
        <f>V4951*N4951*O4951</f>
        <v/>
      </c>
      <c r="X4951" s="12">
        <f>IF(LEFT(I4951,2)="MV",2*N4951*IF(L4951="1/C",O4951,1),0)</f>
        <v/>
      </c>
      <c r="Y4951" s="12">
        <f>IF(OR(LEFT(K4951,4)="LVAX",LEFT(K4951,6)="MV15AX",LEFT(K4951,4)="CTAX",LEFT(K4951,2)="W|"),2*N4951*O4951,0)</f>
        <v/>
      </c>
      <c r="Z4951" s="12" t="inlineStr">
        <is>
          <t>VD 1.9 %</t>
        </is>
      </c>
      <c r="AA4951" s="12">
        <f>N4951*O4951</f>
        <v/>
      </c>
    </row>
    <row r="4952">
      <c r="A4952" s="12" t="inlineStr">
        <is>
          <t>I-P-0072</t>
        </is>
      </c>
      <c r="B4952" s="12" t="inlineStr">
        <is>
          <t>I</t>
        </is>
      </c>
      <c r="C4952" s="12" t="inlineStr">
        <is>
          <t>Modular / portable power</t>
        </is>
      </c>
      <c r="D4952" s="12" t="inlineStr">
        <is>
          <t>Motor 5 of 5, 30 kW (VFD output)</t>
        </is>
      </c>
      <c r="E4952" s="12" t="inlineStr"/>
      <c r="F4952" s="12" t="inlineStr">
        <is>
          <t>PCM: power control module</t>
        </is>
      </c>
      <c r="G4952" s="12" t="inlineStr"/>
      <c r="H4952" s="12" t="inlineStr">
        <is>
          <t>RICE 6 radiators (5)</t>
        </is>
      </c>
      <c r="I4952" s="12" t="inlineStr">
        <is>
          <t>LV 600 V</t>
        </is>
      </c>
      <c r="J4952" s="12" t="inlineStr">
        <is>
          <t>VFD cable 600 V 3/C Cu XHHW-2, 3 symmetrical grounds, overall Cu tape shield, TC-ER</t>
        </is>
      </c>
      <c r="K4952" s="12" t="inlineStr">
        <is>
          <t>VFD|3/C+3G|6</t>
        </is>
      </c>
      <c r="L4952" s="12" t="inlineStr">
        <is>
          <t>3/C+3G</t>
        </is>
      </c>
      <c r="M4952" s="12" t="inlineStr">
        <is>
          <t>6</t>
        </is>
      </c>
      <c r="N4952" s="12" t="n">
        <v>1</v>
      </c>
      <c r="O4952" s="12" t="n">
        <v>1</v>
      </c>
      <c r="P4952" s="12" t="n">
        <v>480</v>
      </c>
      <c r="Q4952" s="12" t="n">
        <v>30</v>
      </c>
      <c r="R4952" s="12" t="n">
        <v>42</v>
      </c>
      <c r="S4952" s="12" t="inlineStr">
        <is>
          <t>Tray</t>
        </is>
      </c>
      <c r="T4952" s="17" t="n">
        <v>80</v>
      </c>
      <c r="U4952" s="17" t="n">
        <v>150</v>
      </c>
      <c r="V4952" s="17">
        <f>ROUNDUP((T4952+U4952+2*'Read Me'!$B$13)*(1+'Read Me'!$B$12),-1)</f>
        <v/>
      </c>
      <c r="W4952" s="17">
        <f>V4952*N4952*O4952</f>
        <v/>
      </c>
      <c r="X4952" s="12">
        <f>IF(LEFT(I4952,2)="MV",2*N4952*IF(L4952="1/C",O4952,1),0)</f>
        <v/>
      </c>
      <c r="Y4952" s="12">
        <f>IF(OR(LEFT(K4952,4)="LVAX",LEFT(K4952,6)="MV15AX",LEFT(K4952,4)="CTAX",LEFT(K4952,2)="W|"),2*N4952*O4952,0)</f>
        <v/>
      </c>
      <c r="Z4952" s="12" t="inlineStr">
        <is>
          <t>VD 1.9 %</t>
        </is>
      </c>
      <c r="AA4952" s="12">
        <f>N4952*O4952</f>
        <v/>
      </c>
    </row>
    <row r="4953">
      <c r="A4953" s="12" t="inlineStr">
        <is>
          <t>I-P-0073</t>
        </is>
      </c>
      <c r="B4953" s="12" t="inlineStr">
        <is>
          <t>I</t>
        </is>
      </c>
      <c r="C4953" s="12" t="inlineStr">
        <is>
          <t>Modular / portable power</t>
        </is>
      </c>
      <c r="D4953" s="12" t="inlineStr">
        <is>
          <t>Motor 1 of 1, 15 kW</t>
        </is>
      </c>
      <c r="E4953" s="12" t="inlineStr"/>
      <c r="F4953" s="12" t="inlineStr">
        <is>
          <t>PCM: power control module</t>
        </is>
      </c>
      <c r="G4953" s="12" t="inlineStr"/>
      <c r="H4953" s="12" t="inlineStr">
        <is>
          <t>RICE 7 SCR + oxidation catalyst and stack</t>
        </is>
      </c>
      <c r="I4953" s="12" t="inlineStr">
        <is>
          <t>LV 600 V</t>
        </is>
      </c>
      <c r="J4953" s="12" t="inlineStr">
        <is>
          <t>Type TC-ER 600 V 3/C Cu XHHW-2 + ground, PVC jacket</t>
        </is>
      </c>
      <c r="K4953" s="12" t="inlineStr">
        <is>
          <t>LV|3/C+G|8</t>
        </is>
      </c>
      <c r="L4953" s="12" t="inlineStr">
        <is>
          <t>3/C+G</t>
        </is>
      </c>
      <c r="M4953" s="12" t="inlineStr">
        <is>
          <t>8</t>
        </is>
      </c>
      <c r="N4953" s="12" t="n">
        <v>1</v>
      </c>
      <c r="O4953" s="12" t="n">
        <v>1</v>
      </c>
      <c r="P4953" s="12" t="n">
        <v>480</v>
      </c>
      <c r="Q4953" s="12" t="n">
        <v>15</v>
      </c>
      <c r="R4953" s="12" t="n">
        <v>21.2</v>
      </c>
      <c r="S4953" s="12" t="inlineStr">
        <is>
          <t>Duct bank</t>
        </is>
      </c>
      <c r="T4953" s="17" t="n">
        <v>322</v>
      </c>
      <c r="U4953" s="17" t="n">
        <v>140</v>
      </c>
      <c r="V4953" s="17">
        <f>ROUNDUP((T4953+U4953+2*'Read Me'!$B$13)*(1+'Read Me'!$B$12),-1)</f>
        <v/>
      </c>
      <c r="W4953" s="17">
        <f>V4953*N4953*O4953</f>
        <v/>
      </c>
      <c r="X4953" s="12">
        <f>IF(LEFT(I4953,2)="MV",2*N4953*IF(L4953="1/C",O4953,1),0)</f>
        <v/>
      </c>
      <c r="Y4953" s="12">
        <f>IF(OR(LEFT(K4953,4)="LVAX",LEFT(K4953,6)="MV15AX",LEFT(K4953,4)="CTAX",LEFT(K4953,2)="W|"),2*N4953*O4953,0)</f>
        <v/>
      </c>
      <c r="Z4953" s="12" t="inlineStr">
        <is>
          <t>VD 3.0 %</t>
        </is>
      </c>
      <c r="AA4953" s="12">
        <f>N4953*O4953</f>
        <v/>
      </c>
    </row>
    <row r="4954">
      <c r="A4954" s="12" t="inlineStr">
        <is>
          <t>I-P-0074</t>
        </is>
      </c>
      <c r="B4954" s="12" t="inlineStr">
        <is>
          <t>I</t>
        </is>
      </c>
      <c r="C4954" s="12" t="inlineStr">
        <is>
          <t>Modular / portable power</t>
        </is>
      </c>
      <c r="D4954" s="12" t="inlineStr">
        <is>
          <t>Area / platform lighting circuit 1 (6 fixtures)</t>
        </is>
      </c>
      <c r="E4954" s="12" t="inlineStr"/>
      <c r="F4954" s="12" t="inlineStr">
        <is>
          <t>PCM: power control module</t>
        </is>
      </c>
      <c r="G4954" s="12" t="inlineStr"/>
      <c r="H4954" s="12" t="inlineStr">
        <is>
          <t>RICE 7 SCR + oxidation catalyst and stack</t>
        </is>
      </c>
      <c r="I4954" s="12" t="inlineStr">
        <is>
          <t>LV 600 V</t>
        </is>
      </c>
      <c r="J4954" s="12" t="inlineStr">
        <is>
          <t>Type TC-ER 600 V 3/C Cu XHHW-2 + ground, PVC jacket</t>
        </is>
      </c>
      <c r="K4954" s="12" t="inlineStr">
        <is>
          <t>LV|3/C+G|10</t>
        </is>
      </c>
      <c r="L4954" s="12" t="inlineStr">
        <is>
          <t>3/C+G</t>
        </is>
      </c>
      <c r="M4954" s="12" t="inlineStr">
        <is>
          <t>10</t>
        </is>
      </c>
      <c r="N4954" s="12" t="n">
        <v>1</v>
      </c>
      <c r="O4954" s="12" t="n">
        <v>1</v>
      </c>
      <c r="P4954" s="12" t="n">
        <v>480</v>
      </c>
      <c r="Q4954" s="12" t="n">
        <v>3</v>
      </c>
      <c r="R4954" s="12" t="n">
        <v>5</v>
      </c>
      <c r="S4954" s="12" t="inlineStr">
        <is>
          <t>Duct bank</t>
        </is>
      </c>
      <c r="T4954" s="17" t="n">
        <v>622</v>
      </c>
      <c r="U4954" s="17" t="n">
        <v>140</v>
      </c>
      <c r="V4954" s="17">
        <f>ROUNDUP((T4954+U4954+2*'Read Me'!$B$13)*(1+'Read Me'!$B$12),-1)</f>
        <v/>
      </c>
      <c r="W4954" s="17">
        <f>V4954*N4954*O4954</f>
        <v/>
      </c>
      <c r="X4954" s="12">
        <f>IF(LEFT(I4954,2)="MV",2*N4954*IF(L4954="1/C",O4954,1),0)</f>
        <v/>
      </c>
      <c r="Y4954" s="12">
        <f>IF(OR(LEFT(K4954,4)="LVAX",LEFT(K4954,6)="MV15AX",LEFT(K4954,4)="CTAX",LEFT(K4954,2)="W|"),2*N4954*O4954,0)</f>
        <v/>
      </c>
      <c r="Z4954" s="12" t="inlineStr">
        <is>
          <t>fixture-to-fixture run included</t>
        </is>
      </c>
      <c r="AA4954" s="12">
        <f>N4954*O4954</f>
        <v/>
      </c>
    </row>
    <row r="4955">
      <c r="A4955" s="12" t="inlineStr">
        <is>
          <t>I-P-0075</t>
        </is>
      </c>
      <c r="B4955" s="12" t="inlineStr">
        <is>
          <t>I</t>
        </is>
      </c>
      <c r="C4955" s="12" t="inlineStr">
        <is>
          <t>Modular / portable power</t>
        </is>
      </c>
      <c r="D4955" s="12" t="inlineStr">
        <is>
          <t>Motor 1 of 5, 30 kW (VFD output)</t>
        </is>
      </c>
      <c r="E4955" s="12" t="inlineStr"/>
      <c r="F4955" s="12" t="inlineStr">
        <is>
          <t>PCM: power control module</t>
        </is>
      </c>
      <c r="G4955" s="12" t="inlineStr"/>
      <c r="H4955" s="12" t="inlineStr">
        <is>
          <t>RICE 7 radiators (5)</t>
        </is>
      </c>
      <c r="I4955" s="12" t="inlineStr">
        <is>
          <t>LV 600 V</t>
        </is>
      </c>
      <c r="J4955" s="12" t="inlineStr">
        <is>
          <t>VFD cable 600 V 3/C Cu XHHW-2, 3 symmetrical grounds, overall Cu tape shield, TC-ER</t>
        </is>
      </c>
      <c r="K4955" s="12" t="inlineStr">
        <is>
          <t>VFD|3/C+3G|6</t>
        </is>
      </c>
      <c r="L4955" s="12" t="inlineStr">
        <is>
          <t>3/C+3G</t>
        </is>
      </c>
      <c r="M4955" s="12" t="inlineStr">
        <is>
          <t>6</t>
        </is>
      </c>
      <c r="N4955" s="12" t="n">
        <v>1</v>
      </c>
      <c r="O4955" s="12" t="n">
        <v>1</v>
      </c>
      <c r="P4955" s="12" t="n">
        <v>480</v>
      </c>
      <c r="Q4955" s="12" t="n">
        <v>30</v>
      </c>
      <c r="R4955" s="12" t="n">
        <v>42</v>
      </c>
      <c r="S4955" s="12" t="inlineStr">
        <is>
          <t>Tray</t>
        </is>
      </c>
      <c r="T4955" s="17" t="n">
        <v>80</v>
      </c>
      <c r="U4955" s="17" t="n">
        <v>122</v>
      </c>
      <c r="V4955" s="17">
        <f>ROUNDUP((T4955+U4955+2*'Read Me'!$B$13)*(1+'Read Me'!$B$12),-1)</f>
        <v/>
      </c>
      <c r="W4955" s="17">
        <f>V4955*N4955*O4955</f>
        <v/>
      </c>
      <c r="X4955" s="12">
        <f>IF(LEFT(I4955,2)="MV",2*N4955*IF(L4955="1/C",O4955,1),0)</f>
        <v/>
      </c>
      <c r="Y4955" s="12">
        <f>IF(OR(LEFT(K4955,4)="LVAX",LEFT(K4955,6)="MV15AX",LEFT(K4955,4)="CTAX",LEFT(K4955,2)="W|"),2*N4955*O4955,0)</f>
        <v/>
      </c>
      <c r="Z4955" s="12" t="inlineStr">
        <is>
          <t>VD 1.7 %</t>
        </is>
      </c>
      <c r="AA4955" s="12">
        <f>N4955*O4955</f>
        <v/>
      </c>
    </row>
    <row r="4956">
      <c r="A4956" s="12" t="inlineStr">
        <is>
          <t>I-P-0076</t>
        </is>
      </c>
      <c r="B4956" s="12" t="inlineStr">
        <is>
          <t>I</t>
        </is>
      </c>
      <c r="C4956" s="12" t="inlineStr">
        <is>
          <t>Modular / portable power</t>
        </is>
      </c>
      <c r="D4956" s="12" t="inlineStr">
        <is>
          <t>Motor 2 of 5, 30 kW (VFD output)</t>
        </is>
      </c>
      <c r="E4956" s="12" t="inlineStr"/>
      <c r="F4956" s="12" t="inlineStr">
        <is>
          <t>PCM: power control module</t>
        </is>
      </c>
      <c r="G4956" s="12" t="inlineStr"/>
      <c r="H4956" s="12" t="inlineStr">
        <is>
          <t>RICE 7 radiators (5)</t>
        </is>
      </c>
      <c r="I4956" s="12" t="inlineStr">
        <is>
          <t>LV 600 V</t>
        </is>
      </c>
      <c r="J4956" s="12" t="inlineStr">
        <is>
          <t>VFD cable 600 V 3/C Cu XHHW-2, 3 symmetrical grounds, overall Cu tape shield, TC-ER</t>
        </is>
      </c>
      <c r="K4956" s="12" t="inlineStr">
        <is>
          <t>VFD|3/C+3G|6</t>
        </is>
      </c>
      <c r="L4956" s="12" t="inlineStr">
        <is>
          <t>3/C+3G</t>
        </is>
      </c>
      <c r="M4956" s="12" t="inlineStr">
        <is>
          <t>6</t>
        </is>
      </c>
      <c r="N4956" s="12" t="n">
        <v>1</v>
      </c>
      <c r="O4956" s="12" t="n">
        <v>1</v>
      </c>
      <c r="P4956" s="12" t="n">
        <v>480</v>
      </c>
      <c r="Q4956" s="12" t="n">
        <v>30</v>
      </c>
      <c r="R4956" s="12" t="n">
        <v>42</v>
      </c>
      <c r="S4956" s="12" t="inlineStr">
        <is>
          <t>Tray</t>
        </is>
      </c>
      <c r="T4956" s="17" t="n">
        <v>80</v>
      </c>
      <c r="U4956" s="17" t="n">
        <v>122</v>
      </c>
      <c r="V4956" s="17">
        <f>ROUNDUP((T4956+U4956+2*'Read Me'!$B$13)*(1+'Read Me'!$B$12),-1)</f>
        <v/>
      </c>
      <c r="W4956" s="17">
        <f>V4956*N4956*O4956</f>
        <v/>
      </c>
      <c r="X4956" s="12">
        <f>IF(LEFT(I4956,2)="MV",2*N4956*IF(L4956="1/C",O4956,1),0)</f>
        <v/>
      </c>
      <c r="Y4956" s="12">
        <f>IF(OR(LEFT(K4956,4)="LVAX",LEFT(K4956,6)="MV15AX",LEFT(K4956,4)="CTAX",LEFT(K4956,2)="W|"),2*N4956*O4956,0)</f>
        <v/>
      </c>
      <c r="Z4956" s="12" t="inlineStr">
        <is>
          <t>VD 1.7 %</t>
        </is>
      </c>
      <c r="AA4956" s="12">
        <f>N4956*O4956</f>
        <v/>
      </c>
    </row>
    <row r="4957">
      <c r="A4957" s="12" t="inlineStr">
        <is>
          <t>I-P-0077</t>
        </is>
      </c>
      <c r="B4957" s="12" t="inlineStr">
        <is>
          <t>I</t>
        </is>
      </c>
      <c r="C4957" s="12" t="inlineStr">
        <is>
          <t>Modular / portable power</t>
        </is>
      </c>
      <c r="D4957" s="12" t="inlineStr">
        <is>
          <t>Motor 3 of 5, 30 kW (VFD output)</t>
        </is>
      </c>
      <c r="E4957" s="12" t="inlineStr"/>
      <c r="F4957" s="12" t="inlineStr">
        <is>
          <t>PCM: power control module</t>
        </is>
      </c>
      <c r="G4957" s="12" t="inlineStr"/>
      <c r="H4957" s="12" t="inlineStr">
        <is>
          <t>RICE 7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7" t="n">
        <v>80</v>
      </c>
      <c r="U4957" s="17" t="n">
        <v>122</v>
      </c>
      <c r="V4957" s="17">
        <f>ROUNDUP((T4957+U4957+2*'Read Me'!$B$13)*(1+'Read Me'!$B$12),-1)</f>
        <v/>
      </c>
      <c r="W4957" s="17">
        <f>V4957*N4957*O4957</f>
        <v/>
      </c>
      <c r="X4957" s="12">
        <f>IF(LEFT(I4957,2)="MV",2*N4957*IF(L4957="1/C",O4957,1),0)</f>
        <v/>
      </c>
      <c r="Y4957" s="12">
        <f>IF(OR(LEFT(K4957,4)="LVAX",LEFT(K4957,6)="MV15AX",LEFT(K4957,4)="CTAX",LEFT(K4957,2)="W|"),2*N4957*O4957,0)</f>
        <v/>
      </c>
      <c r="Z4957" s="12" t="inlineStr">
        <is>
          <t>VD 1.7 %</t>
        </is>
      </c>
      <c r="AA4957" s="12">
        <f>N4957*O4957</f>
        <v/>
      </c>
    </row>
    <row r="4958">
      <c r="A4958" s="12" t="inlineStr">
        <is>
          <t>I-P-0078</t>
        </is>
      </c>
      <c r="B4958" s="12" t="inlineStr">
        <is>
          <t>I</t>
        </is>
      </c>
      <c r="C4958" s="12" t="inlineStr">
        <is>
          <t>Modular / portable power</t>
        </is>
      </c>
      <c r="D4958" s="12" t="inlineStr">
        <is>
          <t>Motor 4 of 5, 30 kW (VFD output)</t>
        </is>
      </c>
      <c r="E4958" s="12" t="inlineStr"/>
      <c r="F4958" s="12" t="inlineStr">
        <is>
          <t>PCM: power control module</t>
        </is>
      </c>
      <c r="G4958" s="12" t="inlineStr"/>
      <c r="H4958" s="12" t="inlineStr">
        <is>
          <t>RICE 7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7" t="n">
        <v>80</v>
      </c>
      <c r="U4958" s="17" t="n">
        <v>122</v>
      </c>
      <c r="V4958" s="17">
        <f>ROUNDUP((T4958+U4958+2*'Read Me'!$B$13)*(1+'Read Me'!$B$12),-1)</f>
        <v/>
      </c>
      <c r="W4958" s="17">
        <f>V4958*N4958*O4958</f>
        <v/>
      </c>
      <c r="X4958" s="12">
        <f>IF(LEFT(I4958,2)="MV",2*N4958*IF(L4958="1/C",O4958,1),0)</f>
        <v/>
      </c>
      <c r="Y4958" s="12">
        <f>IF(OR(LEFT(K4958,4)="LVAX",LEFT(K4958,6)="MV15AX",LEFT(K4958,4)="CTAX",LEFT(K4958,2)="W|"),2*N4958*O4958,0)</f>
        <v/>
      </c>
      <c r="Z4958" s="12" t="inlineStr">
        <is>
          <t>VD 1.7 %</t>
        </is>
      </c>
      <c r="AA4958" s="12">
        <f>N4958*O4958</f>
        <v/>
      </c>
    </row>
    <row r="4959">
      <c r="A4959" s="12" t="inlineStr">
        <is>
          <t>I-P-0079</t>
        </is>
      </c>
      <c r="B4959" s="12" t="inlineStr">
        <is>
          <t>I</t>
        </is>
      </c>
      <c r="C4959" s="12" t="inlineStr">
        <is>
          <t>Modular / portable power</t>
        </is>
      </c>
      <c r="D4959" s="12" t="inlineStr">
        <is>
          <t>Motor 5 of 5, 30 kW (VFD output)</t>
        </is>
      </c>
      <c r="E4959" s="12" t="inlineStr"/>
      <c r="F4959" s="12" t="inlineStr">
        <is>
          <t>PCM: power control module</t>
        </is>
      </c>
      <c r="G4959" s="12" t="inlineStr"/>
      <c r="H4959" s="12" t="inlineStr">
        <is>
          <t>RICE 7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7" t="n">
        <v>80</v>
      </c>
      <c r="U4959" s="17" t="n">
        <v>122</v>
      </c>
      <c r="V4959" s="17">
        <f>ROUNDUP((T4959+U4959+2*'Read Me'!$B$13)*(1+'Read Me'!$B$12),-1)</f>
        <v/>
      </c>
      <c r="W4959" s="17">
        <f>V4959*N4959*O4959</f>
        <v/>
      </c>
      <c r="X4959" s="12">
        <f>IF(LEFT(I4959,2)="MV",2*N4959*IF(L4959="1/C",O4959,1),0)</f>
        <v/>
      </c>
      <c r="Y4959" s="12">
        <f>IF(OR(LEFT(K4959,4)="LVAX",LEFT(K4959,6)="MV15AX",LEFT(K4959,4)="CTAX",LEFT(K4959,2)="W|"),2*N4959*O4959,0)</f>
        <v/>
      </c>
      <c r="Z4959" s="12" t="inlineStr">
        <is>
          <t>VD 1.7 %</t>
        </is>
      </c>
      <c r="AA4959" s="12">
        <f>N4959*O4959</f>
        <v/>
      </c>
    </row>
    <row r="4960">
      <c r="A4960" s="12" t="inlineStr">
        <is>
          <t>I-P-0080</t>
        </is>
      </c>
      <c r="B4960" s="12" t="inlineStr">
        <is>
          <t>I</t>
        </is>
      </c>
      <c r="C4960" s="12" t="inlineStr">
        <is>
          <t>Modular / portable power</t>
        </is>
      </c>
      <c r="D4960" s="12" t="inlineStr">
        <is>
          <t>Motor 1 of 1, 15 kW</t>
        </is>
      </c>
      <c r="E4960" s="12" t="inlineStr"/>
      <c r="F4960" s="12" t="inlineStr">
        <is>
          <t>PCM: power control module</t>
        </is>
      </c>
      <c r="G4960" s="12" t="inlineStr"/>
      <c r="H4960" s="12" t="inlineStr">
        <is>
          <t>RICE 8 SCR + oxidation catalyst and stack</t>
        </is>
      </c>
      <c r="I4960" s="12" t="inlineStr">
        <is>
          <t>LV 600 V</t>
        </is>
      </c>
      <c r="J4960" s="12" t="inlineStr">
        <is>
          <t>Type TC-ER 600 V 3/C Cu XHHW-2 + ground, PVC jacket</t>
        </is>
      </c>
      <c r="K4960" s="12" t="inlineStr">
        <is>
          <t>LV|3/C+G|8</t>
        </is>
      </c>
      <c r="L4960" s="12" t="inlineStr">
        <is>
          <t>3/C+G</t>
        </is>
      </c>
      <c r="M4960" s="12" t="inlineStr">
        <is>
          <t>8</t>
        </is>
      </c>
      <c r="N4960" s="12" t="n">
        <v>1</v>
      </c>
      <c r="O4960" s="12" t="n">
        <v>1</v>
      </c>
      <c r="P4960" s="12" t="n">
        <v>480</v>
      </c>
      <c r="Q4960" s="12" t="n">
        <v>15</v>
      </c>
      <c r="R4960" s="12" t="n">
        <v>21.2</v>
      </c>
      <c r="S4960" s="12" t="inlineStr">
        <is>
          <t>Duct bank</t>
        </is>
      </c>
      <c r="T4960" s="17" t="n">
        <v>322</v>
      </c>
      <c r="U4960" s="17" t="n">
        <v>112</v>
      </c>
      <c r="V4960" s="17">
        <f>ROUNDUP((T4960+U4960+2*'Read Me'!$B$13)*(1+'Read Me'!$B$12),-1)</f>
        <v/>
      </c>
      <c r="W4960" s="17">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I-P-0081</t>
        </is>
      </c>
      <c r="B4961" s="12" t="inlineStr">
        <is>
          <t>I</t>
        </is>
      </c>
      <c r="C4961" s="12" t="inlineStr">
        <is>
          <t>Modular / portable power</t>
        </is>
      </c>
      <c r="D4961" s="12" t="inlineStr">
        <is>
          <t>Area / platform lighting circuit 1 (6 fixtures)</t>
        </is>
      </c>
      <c r="E4961" s="12" t="inlineStr"/>
      <c r="F4961" s="12" t="inlineStr">
        <is>
          <t>PCM: power control module</t>
        </is>
      </c>
      <c r="G4961" s="12" t="inlineStr"/>
      <c r="H4961" s="12" t="inlineStr">
        <is>
          <t>RICE 8 SCR + oxidation catalyst and stack</t>
        </is>
      </c>
      <c r="I4961" s="12" t="inlineStr">
        <is>
          <t>LV 600 V</t>
        </is>
      </c>
      <c r="J4961" s="12" t="inlineStr">
        <is>
          <t>Type TC-ER 600 V 3/C Cu XHHW-2 + ground, PVC jacket</t>
        </is>
      </c>
      <c r="K4961" s="12" t="inlineStr">
        <is>
          <t>LV|3/C+G|10</t>
        </is>
      </c>
      <c r="L4961" s="12" t="inlineStr">
        <is>
          <t>3/C+G</t>
        </is>
      </c>
      <c r="M4961" s="12" t="inlineStr">
        <is>
          <t>10</t>
        </is>
      </c>
      <c r="N4961" s="12" t="n">
        <v>1</v>
      </c>
      <c r="O4961" s="12" t="n">
        <v>1</v>
      </c>
      <c r="P4961" s="12" t="n">
        <v>480</v>
      </c>
      <c r="Q4961" s="12" t="n">
        <v>3</v>
      </c>
      <c r="R4961" s="12" t="n">
        <v>5</v>
      </c>
      <c r="S4961" s="12" t="inlineStr">
        <is>
          <t>Duct bank</t>
        </is>
      </c>
      <c r="T4961" s="17" t="n">
        <v>622</v>
      </c>
      <c r="U4961" s="17" t="n">
        <v>112</v>
      </c>
      <c r="V4961" s="17">
        <f>ROUNDUP((T4961+U4961+2*'Read Me'!$B$13)*(1+'Read Me'!$B$12),-1)</f>
        <v/>
      </c>
      <c r="W4961" s="17">
        <f>V4961*N4961*O4961</f>
        <v/>
      </c>
      <c r="X4961" s="12">
        <f>IF(LEFT(I4961,2)="MV",2*N4961*IF(L4961="1/C",O4961,1),0)</f>
        <v/>
      </c>
      <c r="Y4961" s="12">
        <f>IF(OR(LEFT(K4961,4)="LVAX",LEFT(K4961,6)="MV15AX",LEFT(K4961,4)="CTAX",LEFT(K4961,2)="W|"),2*N4961*O4961,0)</f>
        <v/>
      </c>
      <c r="Z4961" s="12" t="inlineStr">
        <is>
          <t>fixture-to-fixture run included</t>
        </is>
      </c>
      <c r="AA4961" s="12">
        <f>N4961*O4961</f>
        <v/>
      </c>
    </row>
    <row r="4962">
      <c r="A4962" s="12" t="inlineStr">
        <is>
          <t>I-P-0082</t>
        </is>
      </c>
      <c r="B4962" s="12" t="inlineStr">
        <is>
          <t>I</t>
        </is>
      </c>
      <c r="C4962" s="12" t="inlineStr">
        <is>
          <t>Modular / portable power</t>
        </is>
      </c>
      <c r="D4962" s="12" t="inlineStr">
        <is>
          <t>Motor 1 of 5, 30 kW (VFD output)</t>
        </is>
      </c>
      <c r="E4962" s="12" t="inlineStr"/>
      <c r="F4962" s="12" t="inlineStr">
        <is>
          <t>PCM: power control module</t>
        </is>
      </c>
      <c r="G4962" s="12" t="inlineStr"/>
      <c r="H4962" s="12" t="inlineStr">
        <is>
          <t>RICE 8 radiators (5)</t>
        </is>
      </c>
      <c r="I4962" s="12" t="inlineStr">
        <is>
          <t>LV 600 V</t>
        </is>
      </c>
      <c r="J4962" s="12" t="inlineStr">
        <is>
          <t>VFD cable 600 V 3/C Cu XHHW-2, 3 symmetrical grounds, overall Cu tape shield, TC-ER</t>
        </is>
      </c>
      <c r="K4962" s="12" t="inlineStr">
        <is>
          <t>VFD|3/C+3G|6</t>
        </is>
      </c>
      <c r="L4962" s="12" t="inlineStr">
        <is>
          <t>3/C+3G</t>
        </is>
      </c>
      <c r="M4962" s="12" t="inlineStr">
        <is>
          <t>6</t>
        </is>
      </c>
      <c r="N4962" s="12" t="n">
        <v>1</v>
      </c>
      <c r="O4962" s="12" t="n">
        <v>1</v>
      </c>
      <c r="P4962" s="12" t="n">
        <v>480</v>
      </c>
      <c r="Q4962" s="12" t="n">
        <v>30</v>
      </c>
      <c r="R4962" s="12" t="n">
        <v>42</v>
      </c>
      <c r="S4962" s="12" t="inlineStr">
        <is>
          <t>Tray</t>
        </is>
      </c>
      <c r="T4962" s="17" t="n">
        <v>80</v>
      </c>
      <c r="U4962" s="17" t="n">
        <v>94</v>
      </c>
      <c r="V4962" s="17">
        <f>ROUNDUP((T4962+U4962+2*'Read Me'!$B$13)*(1+'Read Me'!$B$12),-1)</f>
        <v/>
      </c>
      <c r="W4962" s="17">
        <f>V4962*N4962*O4962</f>
        <v/>
      </c>
      <c r="X4962" s="12">
        <f>IF(LEFT(I4962,2)="MV",2*N4962*IF(L4962="1/C",O4962,1),0)</f>
        <v/>
      </c>
      <c r="Y4962" s="12">
        <f>IF(OR(LEFT(K4962,4)="LVAX",LEFT(K4962,6)="MV15AX",LEFT(K4962,4)="CTAX",LEFT(K4962,2)="W|"),2*N4962*O4962,0)</f>
        <v/>
      </c>
      <c r="Z4962" s="12" t="inlineStr">
        <is>
          <t>VD 1.4 %</t>
        </is>
      </c>
      <c r="AA4962" s="12">
        <f>N4962*O4962</f>
        <v/>
      </c>
    </row>
    <row r="4963">
      <c r="A4963" s="12" t="inlineStr">
        <is>
          <t>I-P-0083</t>
        </is>
      </c>
      <c r="B4963" s="12" t="inlineStr">
        <is>
          <t>I</t>
        </is>
      </c>
      <c r="C4963" s="12" t="inlineStr">
        <is>
          <t>Modular / portable power</t>
        </is>
      </c>
      <c r="D4963" s="12" t="inlineStr">
        <is>
          <t>Motor 2 of 5, 30 kW (VFD output)</t>
        </is>
      </c>
      <c r="E4963" s="12" t="inlineStr"/>
      <c r="F4963" s="12" t="inlineStr">
        <is>
          <t>PCM: power control module</t>
        </is>
      </c>
      <c r="G4963" s="12" t="inlineStr"/>
      <c r="H4963" s="12" t="inlineStr">
        <is>
          <t>RICE 8 radiators (5)</t>
        </is>
      </c>
      <c r="I4963" s="12" t="inlineStr">
        <is>
          <t>LV 600 V</t>
        </is>
      </c>
      <c r="J4963" s="12" t="inlineStr">
        <is>
          <t>VFD cable 600 V 3/C Cu XHHW-2, 3 symmetrical grounds, overall Cu tape shield, TC-ER</t>
        </is>
      </c>
      <c r="K4963" s="12" t="inlineStr">
        <is>
          <t>VFD|3/C+3G|6</t>
        </is>
      </c>
      <c r="L4963" s="12" t="inlineStr">
        <is>
          <t>3/C+3G</t>
        </is>
      </c>
      <c r="M4963" s="12" t="inlineStr">
        <is>
          <t>6</t>
        </is>
      </c>
      <c r="N4963" s="12" t="n">
        <v>1</v>
      </c>
      <c r="O4963" s="12" t="n">
        <v>1</v>
      </c>
      <c r="P4963" s="12" t="n">
        <v>480</v>
      </c>
      <c r="Q4963" s="12" t="n">
        <v>30</v>
      </c>
      <c r="R4963" s="12" t="n">
        <v>42</v>
      </c>
      <c r="S4963" s="12" t="inlineStr">
        <is>
          <t>Tray</t>
        </is>
      </c>
      <c r="T4963" s="17" t="n">
        <v>80</v>
      </c>
      <c r="U4963" s="17" t="n">
        <v>94</v>
      </c>
      <c r="V4963" s="17">
        <f>ROUNDUP((T4963+U4963+2*'Read Me'!$B$13)*(1+'Read Me'!$B$12),-1)</f>
        <v/>
      </c>
      <c r="W4963" s="17">
        <f>V4963*N4963*O4963</f>
        <v/>
      </c>
      <c r="X4963" s="12">
        <f>IF(LEFT(I4963,2)="MV",2*N4963*IF(L4963="1/C",O4963,1),0)</f>
        <v/>
      </c>
      <c r="Y4963" s="12">
        <f>IF(OR(LEFT(K4963,4)="LVAX",LEFT(K4963,6)="MV15AX",LEFT(K4963,4)="CTAX",LEFT(K4963,2)="W|"),2*N4963*O4963,0)</f>
        <v/>
      </c>
      <c r="Z4963" s="12" t="inlineStr">
        <is>
          <t>VD 1.4 %</t>
        </is>
      </c>
      <c r="AA4963" s="12">
        <f>N4963*O4963</f>
        <v/>
      </c>
    </row>
    <row r="4964">
      <c r="A4964" s="12" t="inlineStr">
        <is>
          <t>I-P-0084</t>
        </is>
      </c>
      <c r="B4964" s="12" t="inlineStr">
        <is>
          <t>I</t>
        </is>
      </c>
      <c r="C4964" s="12" t="inlineStr">
        <is>
          <t>Modular / portable power</t>
        </is>
      </c>
      <c r="D4964" s="12" t="inlineStr">
        <is>
          <t>Motor 3 of 5, 30 kW (VFD output)</t>
        </is>
      </c>
      <c r="E4964" s="12" t="inlineStr"/>
      <c r="F4964" s="12" t="inlineStr">
        <is>
          <t>PCM: power control module</t>
        </is>
      </c>
      <c r="G4964" s="12" t="inlineStr"/>
      <c r="H4964" s="12" t="inlineStr">
        <is>
          <t>RICE 8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7" t="n">
        <v>80</v>
      </c>
      <c r="U4964" s="17" t="n">
        <v>94</v>
      </c>
      <c r="V4964" s="17">
        <f>ROUNDUP((T4964+U4964+2*'Read Me'!$B$13)*(1+'Read Me'!$B$12),-1)</f>
        <v/>
      </c>
      <c r="W4964" s="17">
        <f>V4964*N4964*O4964</f>
        <v/>
      </c>
      <c r="X4964" s="12">
        <f>IF(LEFT(I4964,2)="MV",2*N4964*IF(L4964="1/C",O4964,1),0)</f>
        <v/>
      </c>
      <c r="Y4964" s="12">
        <f>IF(OR(LEFT(K4964,4)="LVAX",LEFT(K4964,6)="MV15AX",LEFT(K4964,4)="CTAX",LEFT(K4964,2)="W|"),2*N4964*O4964,0)</f>
        <v/>
      </c>
      <c r="Z4964" s="12" t="inlineStr">
        <is>
          <t>VD 1.4 %</t>
        </is>
      </c>
      <c r="AA4964" s="12">
        <f>N4964*O4964</f>
        <v/>
      </c>
    </row>
    <row r="4965">
      <c r="A4965" s="12" t="inlineStr">
        <is>
          <t>I-P-0085</t>
        </is>
      </c>
      <c r="B4965" s="12" t="inlineStr">
        <is>
          <t>I</t>
        </is>
      </c>
      <c r="C4965" s="12" t="inlineStr">
        <is>
          <t>Modular / portable power</t>
        </is>
      </c>
      <c r="D4965" s="12" t="inlineStr">
        <is>
          <t>Motor 4 of 5, 30 kW (VFD output)</t>
        </is>
      </c>
      <c r="E4965" s="12" t="inlineStr"/>
      <c r="F4965" s="12" t="inlineStr">
        <is>
          <t>PCM: power control module</t>
        </is>
      </c>
      <c r="G4965" s="12" t="inlineStr"/>
      <c r="H4965" s="12" t="inlineStr">
        <is>
          <t>RICE 8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7" t="n">
        <v>80</v>
      </c>
      <c r="U4965" s="17" t="n">
        <v>94</v>
      </c>
      <c r="V4965" s="17">
        <f>ROUNDUP((T4965+U4965+2*'Read Me'!$B$13)*(1+'Read Me'!$B$12),-1)</f>
        <v/>
      </c>
      <c r="W4965" s="17">
        <f>V4965*N4965*O4965</f>
        <v/>
      </c>
      <c r="X4965" s="12">
        <f>IF(LEFT(I4965,2)="MV",2*N4965*IF(L4965="1/C",O4965,1),0)</f>
        <v/>
      </c>
      <c r="Y4965" s="12">
        <f>IF(OR(LEFT(K4965,4)="LVAX",LEFT(K4965,6)="MV15AX",LEFT(K4965,4)="CTAX",LEFT(K4965,2)="W|"),2*N4965*O4965,0)</f>
        <v/>
      </c>
      <c r="Z4965" s="12" t="inlineStr">
        <is>
          <t>VD 1.4 %</t>
        </is>
      </c>
      <c r="AA4965" s="12">
        <f>N4965*O4965</f>
        <v/>
      </c>
    </row>
    <row r="4966">
      <c r="A4966" s="12" t="inlineStr">
        <is>
          <t>I-P-0086</t>
        </is>
      </c>
      <c r="B4966" s="12" t="inlineStr">
        <is>
          <t>I</t>
        </is>
      </c>
      <c r="C4966" s="12" t="inlineStr">
        <is>
          <t>Modular / portable power</t>
        </is>
      </c>
      <c r="D4966" s="12" t="inlineStr">
        <is>
          <t>Motor 5 of 5, 30 kW (VFD output)</t>
        </is>
      </c>
      <c r="E4966" s="12" t="inlineStr"/>
      <c r="F4966" s="12" t="inlineStr">
        <is>
          <t>PCM: power control module</t>
        </is>
      </c>
      <c r="G4966" s="12" t="inlineStr"/>
      <c r="H4966" s="12" t="inlineStr">
        <is>
          <t>RICE 8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7" t="n">
        <v>80</v>
      </c>
      <c r="U4966" s="17" t="n">
        <v>94</v>
      </c>
      <c r="V4966" s="17">
        <f>ROUNDUP((T4966+U4966+2*'Read Me'!$B$13)*(1+'Read Me'!$B$12),-1)</f>
        <v/>
      </c>
      <c r="W4966" s="17">
        <f>V4966*N4966*O4966</f>
        <v/>
      </c>
      <c r="X4966" s="12">
        <f>IF(LEFT(I4966,2)="MV",2*N4966*IF(L4966="1/C",O4966,1),0)</f>
        <v/>
      </c>
      <c r="Y4966" s="12">
        <f>IF(OR(LEFT(K4966,4)="LVAX",LEFT(K4966,6)="MV15AX",LEFT(K4966,4)="CTAX",LEFT(K4966,2)="W|"),2*N4966*O4966,0)</f>
        <v/>
      </c>
      <c r="Z4966" s="12" t="inlineStr">
        <is>
          <t>VD 1.4 %</t>
        </is>
      </c>
      <c r="AA4966" s="12">
        <f>N4966*O4966</f>
        <v/>
      </c>
    </row>
    <row r="4967">
      <c r="A4967" s="12" t="inlineStr">
        <is>
          <t>I-P-0087</t>
        </is>
      </c>
      <c r="B4967" s="12" t="inlineStr">
        <is>
          <t>I</t>
        </is>
      </c>
      <c r="C4967" s="12" t="inlineStr">
        <is>
          <t>Modular / portable power</t>
        </is>
      </c>
      <c r="D4967" s="12" t="inlineStr">
        <is>
          <t>LV panel / distribution feeder</t>
        </is>
      </c>
      <c r="E4967" s="12" t="inlineStr"/>
      <c r="F4967" s="12" t="inlineStr">
        <is>
          <t>PCM: power control module</t>
        </is>
      </c>
      <c r="G4967" s="12" t="inlineStr"/>
      <c r="H4967" s="12" t="inlineStr">
        <is>
          <t>RICE CEMS</t>
        </is>
      </c>
      <c r="I4967" s="12" t="inlineStr">
        <is>
          <t>LV 600 V</t>
        </is>
      </c>
      <c r="J4967" s="12" t="inlineStr">
        <is>
          <t>Type TC-ER 600 V 3/C Cu XHHW-2 + ground, PVC jacket</t>
        </is>
      </c>
      <c r="K4967" s="12" t="inlineStr">
        <is>
          <t>LV|3/C+G|4</t>
        </is>
      </c>
      <c r="L4967" s="12" t="inlineStr">
        <is>
          <t>3/C+G</t>
        </is>
      </c>
      <c r="M4967" s="12" t="inlineStr">
        <is>
          <t>4</t>
        </is>
      </c>
      <c r="N4967" s="12" t="n">
        <v>1</v>
      </c>
      <c r="O4967" s="12" t="n">
        <v>1</v>
      </c>
      <c r="P4967" s="12" t="n">
        <v>480</v>
      </c>
      <c r="Q4967" s="12" t="n">
        <v>30</v>
      </c>
      <c r="R4967" s="12" t="n">
        <v>42.5</v>
      </c>
      <c r="S4967" s="12" t="inlineStr">
        <is>
          <t>Duct bank</t>
        </is>
      </c>
      <c r="T4967" s="17" t="n">
        <v>260</v>
      </c>
      <c r="U4967" s="17" t="n">
        <v>131</v>
      </c>
      <c r="V4967" s="17">
        <f>ROUNDUP((T4967+U4967+2*'Read Me'!$B$13)*(1+'Read Me'!$B$12),-1)</f>
        <v/>
      </c>
      <c r="W4967" s="17">
        <f>V4967*N4967*O4967</f>
        <v/>
      </c>
      <c r="X4967" s="12">
        <f>IF(LEFT(I4967,2)="MV",2*N4967*IF(L4967="1/C",O4967,1),0)</f>
        <v/>
      </c>
      <c r="Y4967" s="12">
        <f>IF(OR(LEFT(K4967,4)="LVAX",LEFT(K4967,6)="MV15AX",LEFT(K4967,4)="CTAX",LEFT(K4967,2)="W|"),2*N4967*O4967,0)</f>
        <v/>
      </c>
      <c r="Z4967" s="12" t="inlineStr">
        <is>
          <t>VD 2.0 %</t>
        </is>
      </c>
      <c r="AA4967" s="12">
        <f>N4967*O4967</f>
        <v/>
      </c>
    </row>
    <row r="4968">
      <c r="A4968" s="12" t="inlineStr">
        <is>
          <t>I-P-0088</t>
        </is>
      </c>
      <c r="B4968" s="12" t="inlineStr">
        <is>
          <t>I</t>
        </is>
      </c>
      <c r="C4968" s="12" t="inlineStr">
        <is>
          <t>Modular / portable power</t>
        </is>
      </c>
      <c r="D4968" s="12" t="inlineStr">
        <is>
          <t>LV power feeder</t>
        </is>
      </c>
      <c r="E4968" s="12" t="inlineStr"/>
      <c r="F4968" s="12" t="inlineStr">
        <is>
          <t>PCM: power control module</t>
        </is>
      </c>
      <c r="G4968" s="12" t="inlineStr">
        <is>
          <t>RICE</t>
        </is>
      </c>
      <c r="H4968" s="12" t="inlineStr">
        <is>
          <t>RICE engine hall (8 engines)</t>
        </is>
      </c>
      <c r="I4968" s="12" t="inlineStr">
        <is>
          <t>LV 600 V</t>
        </is>
      </c>
      <c r="J4968" s="12" t="inlineStr">
        <is>
          <t>Type TC-ER 600 V 3/C Cu XHHW-2 + ground, PVC jacket</t>
        </is>
      </c>
      <c r="K4968" s="12" t="inlineStr">
        <is>
          <t>LV|3/C+G|8</t>
        </is>
      </c>
      <c r="L4968" s="12" t="inlineStr">
        <is>
          <t>3/C+G</t>
        </is>
      </c>
      <c r="M4968" s="12" t="inlineStr">
        <is>
          <t>8</t>
        </is>
      </c>
      <c r="N4968" s="12" t="n">
        <v>1</v>
      </c>
      <c r="O4968" s="12" t="n">
        <v>1</v>
      </c>
      <c r="P4968" s="12" t="n">
        <v>480</v>
      </c>
      <c r="Q4968" s="12" t="n">
        <v>15</v>
      </c>
      <c r="R4968" s="12" t="n">
        <v>21.2</v>
      </c>
      <c r="S4968" s="12" t="inlineStr">
        <is>
          <t>Duct bank</t>
        </is>
      </c>
      <c r="T4968" s="17" t="n">
        <v>367</v>
      </c>
      <c r="U4968" s="17" t="n">
        <v>95</v>
      </c>
      <c r="V4968" s="17">
        <f>ROUNDUP((T4968+U4968+2*'Read Me'!$B$13)*(1+'Read Me'!$B$12),-1)</f>
        <v/>
      </c>
      <c r="W4968" s="17">
        <f>V4968*N4968*O4968</f>
        <v/>
      </c>
      <c r="X4968" s="12">
        <f>IF(LEFT(I4968,2)="MV",2*N4968*IF(L4968="1/C",O4968,1),0)</f>
        <v/>
      </c>
      <c r="Y4968" s="12">
        <f>IF(OR(LEFT(K4968,4)="LVAX",LEFT(K4968,6)="MV15AX",LEFT(K4968,4)="CTAX",LEFT(K4968,2)="W|"),2*N4968*O4968,0)</f>
        <v/>
      </c>
      <c r="Z4968" s="12" t="inlineStr">
        <is>
          <t>VD 3.0 %</t>
        </is>
      </c>
      <c r="AA4968" s="12">
        <f>N4968*O4968</f>
        <v/>
      </c>
    </row>
    <row r="4969">
      <c r="A4969" s="12" t="inlineStr">
        <is>
          <t>I-P-0089</t>
        </is>
      </c>
      <c r="B4969" s="12" t="inlineStr">
        <is>
          <t>I</t>
        </is>
      </c>
      <c r="C4969" s="12" t="inlineStr">
        <is>
          <t>Modular / portable power</t>
        </is>
      </c>
      <c r="D4969" s="12" t="inlineStr">
        <is>
          <t>Motor 1 of 6, 22 kW</t>
        </is>
      </c>
      <c r="E4969" s="12" t="inlineStr"/>
      <c r="F4969" s="12" t="inlineStr">
        <is>
          <t>PCM: power control module</t>
        </is>
      </c>
      <c r="G4969" s="12" t="inlineStr">
        <is>
          <t>RICE-1</t>
        </is>
      </c>
      <c r="H4969" s="12" t="inlineStr">
        <is>
          <t>RICE engine-generator 1</t>
        </is>
      </c>
      <c r="I4969" s="12" t="inlineStr">
        <is>
          <t>LV 600 V</t>
        </is>
      </c>
      <c r="J4969" s="12" t="inlineStr">
        <is>
          <t>Type TC-ER 600 V 3/C Cu XHHW-2 + ground, PVC jacket</t>
        </is>
      </c>
      <c r="K4969" s="12" t="inlineStr">
        <is>
          <t>LV|3/C+G|4</t>
        </is>
      </c>
      <c r="L4969" s="12" t="inlineStr">
        <is>
          <t>3/C+G</t>
        </is>
      </c>
      <c r="M4969" s="12" t="inlineStr">
        <is>
          <t>4</t>
        </is>
      </c>
      <c r="N4969" s="12" t="n">
        <v>1</v>
      </c>
      <c r="O4969" s="12" t="n">
        <v>1</v>
      </c>
      <c r="P4969" s="12" t="n">
        <v>480</v>
      </c>
      <c r="Q4969" s="12" t="n">
        <v>22</v>
      </c>
      <c r="R4969" s="12" t="n">
        <v>31.1</v>
      </c>
      <c r="S4969" s="12" t="inlineStr">
        <is>
          <t>Duct bank</t>
        </is>
      </c>
      <c r="T4969" s="17" t="n">
        <v>550</v>
      </c>
      <c r="U4969" s="17" t="n">
        <v>137</v>
      </c>
      <c r="V4969" s="17">
        <f>ROUNDUP((T4969+U4969+2*'Read Me'!$B$13)*(1+'Read Me'!$B$12),-1)</f>
        <v/>
      </c>
      <c r="W4969" s="17">
        <f>V4969*N4969*O4969</f>
        <v/>
      </c>
      <c r="X4969" s="12">
        <f>IF(LEFT(I4969,2)="MV",2*N4969*IF(L4969="1/C",O4969,1),0)</f>
        <v/>
      </c>
      <c r="Y4969" s="12">
        <f>IF(OR(LEFT(K4969,4)="LVAX",LEFT(K4969,6)="MV15AX",LEFT(K4969,4)="CTAX",LEFT(K4969,2)="W|"),2*N4969*O4969,0)</f>
        <v/>
      </c>
      <c r="Z4969" s="12" t="inlineStr">
        <is>
          <t>VD 2.6 %</t>
        </is>
      </c>
      <c r="AA4969" s="12">
        <f>N4969*O4969</f>
        <v/>
      </c>
    </row>
    <row r="4970">
      <c r="A4970" s="12" t="inlineStr">
        <is>
          <t>I-P-0090</t>
        </is>
      </c>
      <c r="B4970" s="12" t="inlineStr">
        <is>
          <t>I</t>
        </is>
      </c>
      <c r="C4970" s="12" t="inlineStr">
        <is>
          <t>Modular / portable power</t>
        </is>
      </c>
      <c r="D4970" s="12" t="inlineStr">
        <is>
          <t>Motor 2 of 6, 22 kW</t>
        </is>
      </c>
      <c r="E4970" s="12" t="inlineStr"/>
      <c r="F4970" s="12" t="inlineStr">
        <is>
          <t>PCM: power control module</t>
        </is>
      </c>
      <c r="G4970" s="12" t="inlineStr">
        <is>
          <t>RICE-1</t>
        </is>
      </c>
      <c r="H4970" s="12" t="inlineStr">
        <is>
          <t>RICE engine-generator 1</t>
        </is>
      </c>
      <c r="I4970" s="12" t="inlineStr">
        <is>
          <t>LV 600 V</t>
        </is>
      </c>
      <c r="J4970" s="12" t="inlineStr">
        <is>
          <t>Type TC-ER 600 V 3/C Cu XHHW-2 + ground, PVC jacket</t>
        </is>
      </c>
      <c r="K4970" s="12" t="inlineStr">
        <is>
          <t>LV|3/C+G|4</t>
        </is>
      </c>
      <c r="L4970" s="12" t="inlineStr">
        <is>
          <t>3/C+G</t>
        </is>
      </c>
      <c r="M4970" s="12" t="inlineStr">
        <is>
          <t>4</t>
        </is>
      </c>
      <c r="N4970" s="12" t="n">
        <v>1</v>
      </c>
      <c r="O4970" s="12" t="n">
        <v>1</v>
      </c>
      <c r="P4970" s="12" t="n">
        <v>480</v>
      </c>
      <c r="Q4970" s="12" t="n">
        <v>22</v>
      </c>
      <c r="R4970" s="12" t="n">
        <v>31.1</v>
      </c>
      <c r="S4970" s="12" t="inlineStr">
        <is>
          <t>Duct bank</t>
        </is>
      </c>
      <c r="T4970" s="17" t="n">
        <v>550</v>
      </c>
      <c r="U4970" s="17" t="n">
        <v>137</v>
      </c>
      <c r="V4970" s="17">
        <f>ROUNDUP((T4970+U4970+2*'Read Me'!$B$13)*(1+'Read Me'!$B$12),-1)</f>
        <v/>
      </c>
      <c r="W4970" s="17">
        <f>V4970*N4970*O4970</f>
        <v/>
      </c>
      <c r="X4970" s="12">
        <f>IF(LEFT(I4970,2)="MV",2*N4970*IF(L4970="1/C",O4970,1),0)</f>
        <v/>
      </c>
      <c r="Y4970" s="12">
        <f>IF(OR(LEFT(K4970,4)="LVAX",LEFT(K4970,6)="MV15AX",LEFT(K4970,4)="CTAX",LEFT(K4970,2)="W|"),2*N4970*O4970,0)</f>
        <v/>
      </c>
      <c r="Z4970" s="12" t="inlineStr">
        <is>
          <t>VD 2.6 %</t>
        </is>
      </c>
      <c r="AA4970" s="12">
        <f>N4970*O4970</f>
        <v/>
      </c>
    </row>
    <row r="4971">
      <c r="A4971" s="12" t="inlineStr">
        <is>
          <t>I-P-0091</t>
        </is>
      </c>
      <c r="B4971" s="12" t="inlineStr">
        <is>
          <t>I</t>
        </is>
      </c>
      <c r="C4971" s="12" t="inlineStr">
        <is>
          <t>Modular / portable power</t>
        </is>
      </c>
      <c r="D4971" s="12" t="inlineStr">
        <is>
          <t>Motor 3 of 6, 22 kW</t>
        </is>
      </c>
      <c r="E4971" s="12" t="inlineStr"/>
      <c r="F4971" s="12" t="inlineStr">
        <is>
          <t>PCM: power control module</t>
        </is>
      </c>
      <c r="G4971" s="12" t="inlineStr">
        <is>
          <t>RICE-1</t>
        </is>
      </c>
      <c r="H4971" s="12" t="inlineStr">
        <is>
          <t>RICE engine-generator 1</t>
        </is>
      </c>
      <c r="I4971" s="12" t="inlineStr">
        <is>
          <t>LV 600 V</t>
        </is>
      </c>
      <c r="J4971" s="12" t="inlineStr">
        <is>
          <t>Type TC-ER 600 V 3/C Cu XHHW-2 + ground, PVC jacket</t>
        </is>
      </c>
      <c r="K4971" s="12" t="inlineStr">
        <is>
          <t>LV|3/C+G|4</t>
        </is>
      </c>
      <c r="L4971" s="12" t="inlineStr">
        <is>
          <t>3/C+G</t>
        </is>
      </c>
      <c r="M4971" s="12" t="inlineStr">
        <is>
          <t>4</t>
        </is>
      </c>
      <c r="N4971" s="12" t="n">
        <v>1</v>
      </c>
      <c r="O4971" s="12" t="n">
        <v>1</v>
      </c>
      <c r="P4971" s="12" t="n">
        <v>480</v>
      </c>
      <c r="Q4971" s="12" t="n">
        <v>22</v>
      </c>
      <c r="R4971" s="12" t="n">
        <v>31.1</v>
      </c>
      <c r="S4971" s="12" t="inlineStr">
        <is>
          <t>Duct bank</t>
        </is>
      </c>
      <c r="T4971" s="17" t="n">
        <v>550</v>
      </c>
      <c r="U4971" s="17" t="n">
        <v>137</v>
      </c>
      <c r="V4971" s="17">
        <f>ROUNDUP((T4971+U4971+2*'Read Me'!$B$13)*(1+'Read Me'!$B$12),-1)</f>
        <v/>
      </c>
      <c r="W4971" s="17">
        <f>V4971*N4971*O4971</f>
        <v/>
      </c>
      <c r="X4971" s="12">
        <f>IF(LEFT(I4971,2)="MV",2*N4971*IF(L4971="1/C",O4971,1),0)</f>
        <v/>
      </c>
      <c r="Y4971" s="12">
        <f>IF(OR(LEFT(K4971,4)="LVAX",LEFT(K4971,6)="MV15AX",LEFT(K4971,4)="CTAX",LEFT(K4971,2)="W|"),2*N4971*O4971,0)</f>
        <v/>
      </c>
      <c r="Z4971" s="12" t="inlineStr">
        <is>
          <t>VD 2.6 %</t>
        </is>
      </c>
      <c r="AA4971" s="12">
        <f>N4971*O4971</f>
        <v/>
      </c>
    </row>
    <row r="4972">
      <c r="A4972" s="12" t="inlineStr">
        <is>
          <t>I-P-0092</t>
        </is>
      </c>
      <c r="B4972" s="12" t="inlineStr">
        <is>
          <t>I</t>
        </is>
      </c>
      <c r="C4972" s="12" t="inlineStr">
        <is>
          <t>Modular / portable power</t>
        </is>
      </c>
      <c r="D4972" s="12" t="inlineStr">
        <is>
          <t>Motor 4 of 6, 22 kW</t>
        </is>
      </c>
      <c r="E4972" s="12" t="inlineStr"/>
      <c r="F4972" s="12" t="inlineStr">
        <is>
          <t>PCM: power control module</t>
        </is>
      </c>
      <c r="G4972" s="12" t="inlineStr">
        <is>
          <t>RICE-1</t>
        </is>
      </c>
      <c r="H4972" s="12" t="inlineStr">
        <is>
          <t>RICE engine-generator 1</t>
        </is>
      </c>
      <c r="I4972" s="12" t="inlineStr">
        <is>
          <t>LV 600 V</t>
        </is>
      </c>
      <c r="J4972" s="12" t="inlineStr">
        <is>
          <t>Type TC-ER 600 V 3/C Cu XHHW-2 + ground, PVC jacket</t>
        </is>
      </c>
      <c r="K4972" s="12" t="inlineStr">
        <is>
          <t>LV|3/C+G|4</t>
        </is>
      </c>
      <c r="L4972" s="12" t="inlineStr">
        <is>
          <t>3/C+G</t>
        </is>
      </c>
      <c r="M4972" s="12" t="inlineStr">
        <is>
          <t>4</t>
        </is>
      </c>
      <c r="N4972" s="12" t="n">
        <v>1</v>
      </c>
      <c r="O4972" s="12" t="n">
        <v>1</v>
      </c>
      <c r="P4972" s="12" t="n">
        <v>480</v>
      </c>
      <c r="Q4972" s="12" t="n">
        <v>22</v>
      </c>
      <c r="R4972" s="12" t="n">
        <v>31.1</v>
      </c>
      <c r="S4972" s="12" t="inlineStr">
        <is>
          <t>Duct bank</t>
        </is>
      </c>
      <c r="T4972" s="17" t="n">
        <v>550</v>
      </c>
      <c r="U4972" s="17" t="n">
        <v>137</v>
      </c>
      <c r="V4972" s="17">
        <f>ROUNDUP((T4972+U4972+2*'Read Me'!$B$13)*(1+'Read Me'!$B$12),-1)</f>
        <v/>
      </c>
      <c r="W4972" s="17">
        <f>V4972*N4972*O4972</f>
        <v/>
      </c>
      <c r="X4972" s="12">
        <f>IF(LEFT(I4972,2)="MV",2*N4972*IF(L4972="1/C",O4972,1),0)</f>
        <v/>
      </c>
      <c r="Y4972" s="12">
        <f>IF(OR(LEFT(K4972,4)="LVAX",LEFT(K4972,6)="MV15AX",LEFT(K4972,4)="CTAX",LEFT(K4972,2)="W|"),2*N4972*O4972,0)</f>
        <v/>
      </c>
      <c r="Z4972" s="12" t="inlineStr">
        <is>
          <t>VD 2.6 %</t>
        </is>
      </c>
      <c r="AA4972" s="12">
        <f>N4972*O4972</f>
        <v/>
      </c>
    </row>
    <row r="4973">
      <c r="A4973" s="12" t="inlineStr">
        <is>
          <t>I-P-0093</t>
        </is>
      </c>
      <c r="B4973" s="12" t="inlineStr">
        <is>
          <t>I</t>
        </is>
      </c>
      <c r="C4973" s="12" t="inlineStr">
        <is>
          <t>Modular / portable power</t>
        </is>
      </c>
      <c r="D4973" s="12" t="inlineStr">
        <is>
          <t>Motor 5 of 6, 22 kW</t>
        </is>
      </c>
      <c r="E4973" s="12" t="inlineStr"/>
      <c r="F4973" s="12" t="inlineStr">
        <is>
          <t>PCM: power control module</t>
        </is>
      </c>
      <c r="G4973" s="12" t="inlineStr">
        <is>
          <t>RICE-1</t>
        </is>
      </c>
      <c r="H4973" s="12" t="inlineStr">
        <is>
          <t>RICE engine-generator 1</t>
        </is>
      </c>
      <c r="I4973" s="12" t="inlineStr">
        <is>
          <t>LV 600 V</t>
        </is>
      </c>
      <c r="J4973" s="12" t="inlineStr">
        <is>
          <t>Type TC-ER 600 V 3/C Cu XHHW-2 + ground, PVC jacket</t>
        </is>
      </c>
      <c r="K4973" s="12" t="inlineStr">
        <is>
          <t>LV|3/C+G|4</t>
        </is>
      </c>
      <c r="L4973" s="12" t="inlineStr">
        <is>
          <t>3/C+G</t>
        </is>
      </c>
      <c r="M4973" s="12" t="inlineStr">
        <is>
          <t>4</t>
        </is>
      </c>
      <c r="N4973" s="12" t="n">
        <v>1</v>
      </c>
      <c r="O4973" s="12" t="n">
        <v>1</v>
      </c>
      <c r="P4973" s="12" t="n">
        <v>480</v>
      </c>
      <c r="Q4973" s="12" t="n">
        <v>22</v>
      </c>
      <c r="R4973" s="12" t="n">
        <v>31.1</v>
      </c>
      <c r="S4973" s="12" t="inlineStr">
        <is>
          <t>Duct bank</t>
        </is>
      </c>
      <c r="T4973" s="17" t="n">
        <v>550</v>
      </c>
      <c r="U4973" s="17" t="n">
        <v>137</v>
      </c>
      <c r="V4973" s="17">
        <f>ROUNDUP((T4973+U4973+2*'Read Me'!$B$13)*(1+'Read Me'!$B$12),-1)</f>
        <v/>
      </c>
      <c r="W4973" s="17">
        <f>V4973*N4973*O4973</f>
        <v/>
      </c>
      <c r="X4973" s="12">
        <f>IF(LEFT(I4973,2)="MV",2*N4973*IF(L4973="1/C",O4973,1),0)</f>
        <v/>
      </c>
      <c r="Y4973" s="12">
        <f>IF(OR(LEFT(K4973,4)="LVAX",LEFT(K4973,6)="MV15AX",LEFT(K4973,4)="CTAX",LEFT(K4973,2)="W|"),2*N4973*O4973,0)</f>
        <v/>
      </c>
      <c r="Z4973" s="12" t="inlineStr">
        <is>
          <t>VD 2.6 %</t>
        </is>
      </c>
      <c r="AA4973" s="12">
        <f>N4973*O4973</f>
        <v/>
      </c>
    </row>
    <row r="4974">
      <c r="A4974" s="12" t="inlineStr">
        <is>
          <t>I-P-0094</t>
        </is>
      </c>
      <c r="B4974" s="12" t="inlineStr">
        <is>
          <t>I</t>
        </is>
      </c>
      <c r="C4974" s="12" t="inlineStr">
        <is>
          <t>Modular / portable power</t>
        </is>
      </c>
      <c r="D4974" s="12" t="inlineStr">
        <is>
          <t>Motor 6 of 6, 22 kW</t>
        </is>
      </c>
      <c r="E4974" s="12" t="inlineStr"/>
      <c r="F4974" s="12" t="inlineStr">
        <is>
          <t>PCM: power control module</t>
        </is>
      </c>
      <c r="G4974" s="12" t="inlineStr">
        <is>
          <t>RICE-1</t>
        </is>
      </c>
      <c r="H4974" s="12" t="inlineStr">
        <is>
          <t>RICE engine-generator 1</t>
        </is>
      </c>
      <c r="I4974" s="12" t="inlineStr">
        <is>
          <t>LV 600 V</t>
        </is>
      </c>
      <c r="J4974" s="12" t="inlineStr">
        <is>
          <t>Type TC-ER 600 V 3/C Cu XHHW-2 + ground, PVC jacket</t>
        </is>
      </c>
      <c r="K4974" s="12" t="inlineStr">
        <is>
          <t>LV|3/C+G|4</t>
        </is>
      </c>
      <c r="L4974" s="12" t="inlineStr">
        <is>
          <t>3/C+G</t>
        </is>
      </c>
      <c r="M4974" s="12" t="inlineStr">
        <is>
          <t>4</t>
        </is>
      </c>
      <c r="N4974" s="12" t="n">
        <v>1</v>
      </c>
      <c r="O4974" s="12" t="n">
        <v>1</v>
      </c>
      <c r="P4974" s="12" t="n">
        <v>480</v>
      </c>
      <c r="Q4974" s="12" t="n">
        <v>22</v>
      </c>
      <c r="R4974" s="12" t="n">
        <v>31.1</v>
      </c>
      <c r="S4974" s="12" t="inlineStr">
        <is>
          <t>Duct bank</t>
        </is>
      </c>
      <c r="T4974" s="17" t="n">
        <v>550</v>
      </c>
      <c r="U4974" s="17" t="n">
        <v>137</v>
      </c>
      <c r="V4974" s="17">
        <f>ROUNDUP((T4974+U4974+2*'Read Me'!$B$13)*(1+'Read Me'!$B$12),-1)</f>
        <v/>
      </c>
      <c r="W4974" s="17">
        <f>V4974*N4974*O4974</f>
        <v/>
      </c>
      <c r="X4974" s="12">
        <f>IF(LEFT(I4974,2)="MV",2*N4974*IF(L4974="1/C",O4974,1),0)</f>
        <v/>
      </c>
      <c r="Y4974" s="12">
        <f>IF(OR(LEFT(K4974,4)="LVAX",LEFT(K4974,6)="MV15AX",LEFT(K4974,4)="CTAX",LEFT(K4974,2)="W|"),2*N4974*O4974,0)</f>
        <v/>
      </c>
      <c r="Z4974" s="12" t="inlineStr">
        <is>
          <t>VD 2.6 %</t>
        </is>
      </c>
      <c r="AA4974" s="12">
        <f>N4974*O4974</f>
        <v/>
      </c>
    </row>
    <row r="4975">
      <c r="A4975" s="12" t="inlineStr">
        <is>
          <t>I-P-0095</t>
        </is>
      </c>
      <c r="B4975" s="12" t="inlineStr">
        <is>
          <t>I</t>
        </is>
      </c>
      <c r="C4975" s="12" t="inlineStr">
        <is>
          <t>Modular / portable power</t>
        </is>
      </c>
      <c r="D4975" s="12" t="inlineStr">
        <is>
          <t>480 V welding receptacle 1</t>
        </is>
      </c>
      <c r="E4975" s="12" t="inlineStr"/>
      <c r="F4975" s="12" t="inlineStr">
        <is>
          <t>PCM: power control module</t>
        </is>
      </c>
      <c r="G4975" s="12" t="inlineStr">
        <is>
          <t>RICE-1</t>
        </is>
      </c>
      <c r="H4975" s="12" t="inlineStr">
        <is>
          <t>RICE engine-generator 1</t>
        </is>
      </c>
      <c r="I4975" s="12" t="inlineStr">
        <is>
          <t>LV 600 V</t>
        </is>
      </c>
      <c r="J4975" s="12" t="inlineStr">
        <is>
          <t>Type TC-ER 600 V 3/C Cu XHHW-2 + ground, PVC jacket</t>
        </is>
      </c>
      <c r="K4975" s="12" t="inlineStr">
        <is>
          <t>LV|3/C+G|1/0</t>
        </is>
      </c>
      <c r="L4975" s="12" t="inlineStr">
        <is>
          <t>3/C+G</t>
        </is>
      </c>
      <c r="M4975" s="12" t="inlineStr">
        <is>
          <t>1/0</t>
        </is>
      </c>
      <c r="N4975" s="12" t="n">
        <v>1</v>
      </c>
      <c r="O4975" s="12" t="n">
        <v>1</v>
      </c>
      <c r="P4975" s="12" t="n">
        <v>480</v>
      </c>
      <c r="Q4975" s="12" t="n">
        <v>60</v>
      </c>
      <c r="R4975" s="12" t="n">
        <v>76</v>
      </c>
      <c r="S4975" s="12" t="inlineStr">
        <is>
          <t>Duct bank</t>
        </is>
      </c>
      <c r="T4975" s="17" t="n">
        <v>550</v>
      </c>
      <c r="U4975" s="17" t="n">
        <v>137</v>
      </c>
      <c r="V4975" s="17">
        <f>ROUNDUP((T4975+U4975+2*'Read Me'!$B$13)*(1+'Read Me'!$B$12),-1)</f>
        <v/>
      </c>
      <c r="W4975" s="17">
        <f>V4975*N4975*O4975</f>
        <v/>
      </c>
      <c r="X4975" s="12">
        <f>IF(LEFT(I4975,2)="MV",2*N4975*IF(L4975="1/C",O4975,1),0)</f>
        <v/>
      </c>
      <c r="Y4975" s="12">
        <f>IF(OR(LEFT(K4975,4)="LVAX",LEFT(K4975,6)="MV15AX",LEFT(K4975,4)="CTAX",LEFT(K4975,2)="W|"),2*N4975*O4975,0)</f>
        <v/>
      </c>
      <c r="Z4975" s="12" t="inlineStr">
        <is>
          <t>VD 2.5 %</t>
        </is>
      </c>
      <c r="AA4975" s="12">
        <f>N4975*O4975</f>
        <v/>
      </c>
    </row>
    <row r="4976">
      <c r="A4976" s="12" t="inlineStr">
        <is>
          <t>I-P-0096</t>
        </is>
      </c>
      <c r="B4976" s="12" t="inlineStr">
        <is>
          <t>I</t>
        </is>
      </c>
      <c r="C4976" s="12" t="inlineStr">
        <is>
          <t>Modular / portable power</t>
        </is>
      </c>
      <c r="D4976" s="12" t="inlineStr">
        <is>
          <t>480 V welding receptacle 2</t>
        </is>
      </c>
      <c r="E4976" s="12" t="inlineStr"/>
      <c r="F4976" s="12" t="inlineStr">
        <is>
          <t>PCM: power control module</t>
        </is>
      </c>
      <c r="G4976" s="12" t="inlineStr">
        <is>
          <t>RICE-1</t>
        </is>
      </c>
      <c r="H4976" s="12" t="inlineStr">
        <is>
          <t>RICE engine-generator 1</t>
        </is>
      </c>
      <c r="I4976" s="12" t="inlineStr">
        <is>
          <t>LV 600 V</t>
        </is>
      </c>
      <c r="J4976" s="12" t="inlineStr">
        <is>
          <t>Type TC-ER 600 V 3/C Cu XHHW-2 + ground, PVC jacket</t>
        </is>
      </c>
      <c r="K4976" s="12" t="inlineStr">
        <is>
          <t>LV|3/C+G|1/0</t>
        </is>
      </c>
      <c r="L4976" s="12" t="inlineStr">
        <is>
          <t>3/C+G</t>
        </is>
      </c>
      <c r="M4976" s="12" t="inlineStr">
        <is>
          <t>1/0</t>
        </is>
      </c>
      <c r="N4976" s="12" t="n">
        <v>1</v>
      </c>
      <c r="O4976" s="12" t="n">
        <v>1</v>
      </c>
      <c r="P4976" s="12" t="n">
        <v>480</v>
      </c>
      <c r="Q4976" s="12" t="n">
        <v>60</v>
      </c>
      <c r="R4976" s="12" t="n">
        <v>76</v>
      </c>
      <c r="S4976" s="12" t="inlineStr">
        <is>
          <t>Duct bank</t>
        </is>
      </c>
      <c r="T4976" s="17" t="n">
        <v>550</v>
      </c>
      <c r="U4976" s="17" t="n">
        <v>137</v>
      </c>
      <c r="V4976" s="17">
        <f>ROUNDUP((T4976+U4976+2*'Read Me'!$B$13)*(1+'Read Me'!$B$12),-1)</f>
        <v/>
      </c>
      <c r="W4976" s="17">
        <f>V4976*N4976*O4976</f>
        <v/>
      </c>
      <c r="X4976" s="12">
        <f>IF(LEFT(I4976,2)="MV",2*N4976*IF(L4976="1/C",O4976,1),0)</f>
        <v/>
      </c>
      <c r="Y4976" s="12">
        <f>IF(OR(LEFT(K4976,4)="LVAX",LEFT(K4976,6)="MV15AX",LEFT(K4976,4)="CTAX",LEFT(K4976,2)="W|"),2*N4976*O4976,0)</f>
        <v/>
      </c>
      <c r="Z4976" s="12" t="inlineStr">
        <is>
          <t>VD 2.5 %</t>
        </is>
      </c>
      <c r="AA4976" s="12">
        <f>N4976*O4976</f>
        <v/>
      </c>
    </row>
    <row r="4977">
      <c r="A4977" s="12" t="inlineStr">
        <is>
          <t>I-P-0097</t>
        </is>
      </c>
      <c r="B4977" s="12" t="inlineStr">
        <is>
          <t>I</t>
        </is>
      </c>
      <c r="C4977" s="12" t="inlineStr">
        <is>
          <t>Modular / portable power</t>
        </is>
      </c>
      <c r="D4977" s="12" t="inlineStr">
        <is>
          <t>480 V welding receptacle 3</t>
        </is>
      </c>
      <c r="E4977" s="12" t="inlineStr"/>
      <c r="F4977" s="12" t="inlineStr">
        <is>
          <t>PCM: power control module</t>
        </is>
      </c>
      <c r="G4977" s="12" t="inlineStr">
        <is>
          <t>RICE-1</t>
        </is>
      </c>
      <c r="H4977" s="12" t="inlineStr">
        <is>
          <t>RICE engine-generator 1</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60</v>
      </c>
      <c r="R4977" s="12" t="n">
        <v>76</v>
      </c>
      <c r="S4977" s="12" t="inlineStr">
        <is>
          <t>Duct bank</t>
        </is>
      </c>
      <c r="T4977" s="17" t="n">
        <v>550</v>
      </c>
      <c r="U4977" s="17" t="n">
        <v>137</v>
      </c>
      <c r="V4977" s="17">
        <f>ROUNDUP((T4977+U4977+2*'Read Me'!$B$13)*(1+'Read Me'!$B$12),-1)</f>
        <v/>
      </c>
      <c r="W4977" s="17">
        <f>V4977*N4977*O4977</f>
        <v/>
      </c>
      <c r="X4977" s="12">
        <f>IF(LEFT(I4977,2)="MV",2*N4977*IF(L4977="1/C",O4977,1),0)</f>
        <v/>
      </c>
      <c r="Y4977" s="12">
        <f>IF(OR(LEFT(K4977,4)="LVAX",LEFT(K4977,6)="MV15AX",LEFT(K4977,4)="CTAX",LEFT(K4977,2)="W|"),2*N4977*O4977,0)</f>
        <v/>
      </c>
      <c r="Z4977" s="12" t="inlineStr">
        <is>
          <t>VD 2.5 %</t>
        </is>
      </c>
      <c r="AA4977" s="12">
        <f>N4977*O4977</f>
        <v/>
      </c>
    </row>
    <row r="4978">
      <c r="A4978" s="12" t="inlineStr">
        <is>
          <t>I-P-0098</t>
        </is>
      </c>
      <c r="B4978" s="12" t="inlineStr">
        <is>
          <t>I</t>
        </is>
      </c>
      <c r="C4978" s="12" t="inlineStr">
        <is>
          <t>Modular / portable power</t>
        </is>
      </c>
      <c r="D4978" s="12" t="inlineStr">
        <is>
          <t>480 V welding receptacle 4</t>
        </is>
      </c>
      <c r="E4978" s="12" t="inlineStr"/>
      <c r="F4978" s="12" t="inlineStr">
        <is>
          <t>PCM: power control module</t>
        </is>
      </c>
      <c r="G4978" s="12" t="inlineStr">
        <is>
          <t>RICE-1</t>
        </is>
      </c>
      <c r="H4978" s="12" t="inlineStr">
        <is>
          <t>RICE engine-generator 1</t>
        </is>
      </c>
      <c r="I4978" s="12" t="inlineStr">
        <is>
          <t>LV 600 V</t>
        </is>
      </c>
      <c r="J4978" s="12" t="inlineStr">
        <is>
          <t>Type TC-ER 600 V 3/C Cu XHHW-2 + ground, PVC jacket</t>
        </is>
      </c>
      <c r="K4978" s="12" t="inlineStr">
        <is>
          <t>LV|3/C+G|1/0</t>
        </is>
      </c>
      <c r="L4978" s="12" t="inlineStr">
        <is>
          <t>3/C+G</t>
        </is>
      </c>
      <c r="M4978" s="12" t="inlineStr">
        <is>
          <t>1/0</t>
        </is>
      </c>
      <c r="N4978" s="12" t="n">
        <v>1</v>
      </c>
      <c r="O4978" s="12" t="n">
        <v>1</v>
      </c>
      <c r="P4978" s="12" t="n">
        <v>480</v>
      </c>
      <c r="Q4978" s="12" t="n">
        <v>60</v>
      </c>
      <c r="R4978" s="12" t="n">
        <v>76</v>
      </c>
      <c r="S4978" s="12" t="inlineStr">
        <is>
          <t>Duct bank</t>
        </is>
      </c>
      <c r="T4978" s="17" t="n">
        <v>550</v>
      </c>
      <c r="U4978" s="17" t="n">
        <v>137</v>
      </c>
      <c r="V4978" s="17">
        <f>ROUNDUP((T4978+U4978+2*'Read Me'!$B$13)*(1+'Read Me'!$B$12),-1)</f>
        <v/>
      </c>
      <c r="W4978" s="17">
        <f>V4978*N4978*O4978</f>
        <v/>
      </c>
      <c r="X4978" s="12">
        <f>IF(LEFT(I4978,2)="MV",2*N4978*IF(L4978="1/C",O4978,1),0)</f>
        <v/>
      </c>
      <c r="Y4978" s="12">
        <f>IF(OR(LEFT(K4978,4)="LVAX",LEFT(K4978,6)="MV15AX",LEFT(K4978,4)="CTAX",LEFT(K4978,2)="W|"),2*N4978*O4978,0)</f>
        <v/>
      </c>
      <c r="Z4978" s="12" t="inlineStr">
        <is>
          <t>VD 2.5 %</t>
        </is>
      </c>
      <c r="AA4978" s="12">
        <f>N4978*O4978</f>
        <v/>
      </c>
    </row>
    <row r="4979">
      <c r="A4979" s="12" t="inlineStr">
        <is>
          <t>I-P-0099</t>
        </is>
      </c>
      <c r="B4979" s="12" t="inlineStr">
        <is>
          <t>I</t>
        </is>
      </c>
      <c r="C4979" s="12" t="inlineStr">
        <is>
          <t>Modular / portable power</t>
        </is>
      </c>
      <c r="D4979" s="12" t="inlineStr">
        <is>
          <t>Motor 1 of 6, 22 kW</t>
        </is>
      </c>
      <c r="E4979" s="12" t="inlineStr"/>
      <c r="F4979" s="12" t="inlineStr">
        <is>
          <t>PCM: power control module</t>
        </is>
      </c>
      <c r="G4979" s="12" t="inlineStr">
        <is>
          <t>RICE-2</t>
        </is>
      </c>
      <c r="H4979" s="12" t="inlineStr">
        <is>
          <t>RICE engine-generator 2</t>
        </is>
      </c>
      <c r="I4979" s="12" t="inlineStr">
        <is>
          <t>LV 600 V</t>
        </is>
      </c>
      <c r="J4979" s="12" t="inlineStr">
        <is>
          <t>Type TC-ER 600 V 3/C Cu XHHW-2 + ground, PVC jacket</t>
        </is>
      </c>
      <c r="K4979" s="12" t="inlineStr">
        <is>
          <t>LV|3/C+G|4</t>
        </is>
      </c>
      <c r="L4979" s="12" t="inlineStr">
        <is>
          <t>3/C+G</t>
        </is>
      </c>
      <c r="M4979" s="12" t="inlineStr">
        <is>
          <t>4</t>
        </is>
      </c>
      <c r="N4979" s="12" t="n">
        <v>1</v>
      </c>
      <c r="O4979" s="12" t="n">
        <v>1</v>
      </c>
      <c r="P4979" s="12" t="n">
        <v>480</v>
      </c>
      <c r="Q4979" s="12" t="n">
        <v>22</v>
      </c>
      <c r="R4979" s="12" t="n">
        <v>31.1</v>
      </c>
      <c r="S4979" s="12" t="inlineStr">
        <is>
          <t>Duct bank</t>
        </is>
      </c>
      <c r="T4979" s="17" t="n">
        <v>550</v>
      </c>
      <c r="U4979" s="17" t="n">
        <v>109</v>
      </c>
      <c r="V4979" s="17">
        <f>ROUNDUP((T4979+U4979+2*'Read Me'!$B$13)*(1+'Read Me'!$B$12),-1)</f>
        <v/>
      </c>
      <c r="W4979" s="17">
        <f>V4979*N4979*O4979</f>
        <v/>
      </c>
      <c r="X4979" s="12">
        <f>IF(LEFT(I4979,2)="MV",2*N4979*IF(L4979="1/C",O4979,1),0)</f>
        <v/>
      </c>
      <c r="Y4979" s="12">
        <f>IF(OR(LEFT(K4979,4)="LVAX",LEFT(K4979,6)="MV15AX",LEFT(K4979,4)="CTAX",LEFT(K4979,2)="W|"),2*N4979*O4979,0)</f>
        <v/>
      </c>
      <c r="Z4979" s="12" t="inlineStr">
        <is>
          <t>VD 2.5 %</t>
        </is>
      </c>
      <c r="AA4979" s="12">
        <f>N4979*O4979</f>
        <v/>
      </c>
    </row>
    <row r="4980">
      <c r="A4980" s="12" t="inlineStr">
        <is>
          <t>I-P-0100</t>
        </is>
      </c>
      <c r="B4980" s="12" t="inlineStr">
        <is>
          <t>I</t>
        </is>
      </c>
      <c r="C4980" s="12" t="inlineStr">
        <is>
          <t>Modular / portable power</t>
        </is>
      </c>
      <c r="D4980" s="12" t="inlineStr">
        <is>
          <t>Motor 2 of 6, 22 kW</t>
        </is>
      </c>
      <c r="E4980" s="12" t="inlineStr"/>
      <c r="F4980" s="12" t="inlineStr">
        <is>
          <t>PCM: power control module</t>
        </is>
      </c>
      <c r="G4980" s="12" t="inlineStr">
        <is>
          <t>RICE-2</t>
        </is>
      </c>
      <c r="H4980" s="12" t="inlineStr">
        <is>
          <t>RICE engine-generator 2</t>
        </is>
      </c>
      <c r="I4980" s="12" t="inlineStr">
        <is>
          <t>LV 600 V</t>
        </is>
      </c>
      <c r="J4980" s="12" t="inlineStr">
        <is>
          <t>Type TC-ER 600 V 3/C Cu XHHW-2 + ground, PVC jacket</t>
        </is>
      </c>
      <c r="K4980" s="12" t="inlineStr">
        <is>
          <t>LV|3/C+G|4</t>
        </is>
      </c>
      <c r="L4980" s="12" t="inlineStr">
        <is>
          <t>3/C+G</t>
        </is>
      </c>
      <c r="M4980" s="12" t="inlineStr">
        <is>
          <t>4</t>
        </is>
      </c>
      <c r="N4980" s="12" t="n">
        <v>1</v>
      </c>
      <c r="O4980" s="12" t="n">
        <v>1</v>
      </c>
      <c r="P4980" s="12" t="n">
        <v>480</v>
      </c>
      <c r="Q4980" s="12" t="n">
        <v>22</v>
      </c>
      <c r="R4980" s="12" t="n">
        <v>31.1</v>
      </c>
      <c r="S4980" s="12" t="inlineStr">
        <is>
          <t>Duct bank</t>
        </is>
      </c>
      <c r="T4980" s="17" t="n">
        <v>550</v>
      </c>
      <c r="U4980" s="17" t="n">
        <v>109</v>
      </c>
      <c r="V4980" s="17">
        <f>ROUNDUP((T4980+U4980+2*'Read Me'!$B$13)*(1+'Read Me'!$B$12),-1)</f>
        <v/>
      </c>
      <c r="W4980" s="17">
        <f>V4980*N4980*O4980</f>
        <v/>
      </c>
      <c r="X4980" s="12">
        <f>IF(LEFT(I4980,2)="MV",2*N4980*IF(L4980="1/C",O4980,1),0)</f>
        <v/>
      </c>
      <c r="Y4980" s="12">
        <f>IF(OR(LEFT(K4980,4)="LVAX",LEFT(K4980,6)="MV15AX",LEFT(K4980,4)="CTAX",LEFT(K4980,2)="W|"),2*N4980*O4980,0)</f>
        <v/>
      </c>
      <c r="Z4980" s="12" t="inlineStr">
        <is>
          <t>VD 2.5 %</t>
        </is>
      </c>
      <c r="AA4980" s="12">
        <f>N4980*O4980</f>
        <v/>
      </c>
    </row>
    <row r="4981">
      <c r="A4981" s="12" t="inlineStr">
        <is>
          <t>I-P-0101</t>
        </is>
      </c>
      <c r="B4981" s="12" t="inlineStr">
        <is>
          <t>I</t>
        </is>
      </c>
      <c r="C4981" s="12" t="inlineStr">
        <is>
          <t>Modular / portable power</t>
        </is>
      </c>
      <c r="D4981" s="12" t="inlineStr">
        <is>
          <t>Motor 3 of 6, 22 kW</t>
        </is>
      </c>
      <c r="E4981" s="12" t="inlineStr"/>
      <c r="F4981" s="12" t="inlineStr">
        <is>
          <t>PCM: power control module</t>
        </is>
      </c>
      <c r="G4981" s="12" t="inlineStr">
        <is>
          <t>RICE-2</t>
        </is>
      </c>
      <c r="H4981" s="12" t="inlineStr">
        <is>
          <t>RICE engine-generator 2</t>
        </is>
      </c>
      <c r="I4981" s="12" t="inlineStr">
        <is>
          <t>LV 600 V</t>
        </is>
      </c>
      <c r="J4981" s="12" t="inlineStr">
        <is>
          <t>Type TC-ER 600 V 3/C Cu XHHW-2 + ground, PVC jacket</t>
        </is>
      </c>
      <c r="K4981" s="12" t="inlineStr">
        <is>
          <t>LV|3/C+G|4</t>
        </is>
      </c>
      <c r="L4981" s="12" t="inlineStr">
        <is>
          <t>3/C+G</t>
        </is>
      </c>
      <c r="M4981" s="12" t="inlineStr">
        <is>
          <t>4</t>
        </is>
      </c>
      <c r="N4981" s="12" t="n">
        <v>1</v>
      </c>
      <c r="O4981" s="12" t="n">
        <v>1</v>
      </c>
      <c r="P4981" s="12" t="n">
        <v>480</v>
      </c>
      <c r="Q4981" s="12" t="n">
        <v>22</v>
      </c>
      <c r="R4981" s="12" t="n">
        <v>31.1</v>
      </c>
      <c r="S4981" s="12" t="inlineStr">
        <is>
          <t>Duct bank</t>
        </is>
      </c>
      <c r="T4981" s="17" t="n">
        <v>550</v>
      </c>
      <c r="U4981" s="17" t="n">
        <v>109</v>
      </c>
      <c r="V4981" s="17">
        <f>ROUNDUP((T4981+U4981+2*'Read Me'!$B$13)*(1+'Read Me'!$B$12),-1)</f>
        <v/>
      </c>
      <c r="W4981" s="17">
        <f>V4981*N4981*O4981</f>
        <v/>
      </c>
      <c r="X4981" s="12">
        <f>IF(LEFT(I4981,2)="MV",2*N4981*IF(L4981="1/C",O4981,1),0)</f>
        <v/>
      </c>
      <c r="Y4981" s="12">
        <f>IF(OR(LEFT(K4981,4)="LVAX",LEFT(K4981,6)="MV15AX",LEFT(K4981,4)="CTAX",LEFT(K4981,2)="W|"),2*N4981*O4981,0)</f>
        <v/>
      </c>
      <c r="Z4981" s="12" t="inlineStr">
        <is>
          <t>VD 2.5 %</t>
        </is>
      </c>
      <c r="AA4981" s="12">
        <f>N4981*O4981</f>
        <v/>
      </c>
    </row>
    <row r="4982">
      <c r="A4982" s="12" t="inlineStr">
        <is>
          <t>I-P-0102</t>
        </is>
      </c>
      <c r="B4982" s="12" t="inlineStr">
        <is>
          <t>I</t>
        </is>
      </c>
      <c r="C4982" s="12" t="inlineStr">
        <is>
          <t>Modular / portable power</t>
        </is>
      </c>
      <c r="D4982" s="12" t="inlineStr">
        <is>
          <t>Motor 4 of 6, 22 kW</t>
        </is>
      </c>
      <c r="E4982" s="12" t="inlineStr"/>
      <c r="F4982" s="12" t="inlineStr">
        <is>
          <t>PCM: power control module</t>
        </is>
      </c>
      <c r="G4982" s="12" t="inlineStr">
        <is>
          <t>RICE-2</t>
        </is>
      </c>
      <c r="H4982" s="12" t="inlineStr">
        <is>
          <t>RICE engine-generator 2</t>
        </is>
      </c>
      <c r="I4982" s="12" t="inlineStr">
        <is>
          <t>LV 600 V</t>
        </is>
      </c>
      <c r="J4982" s="12" t="inlineStr">
        <is>
          <t>Type TC-ER 600 V 3/C Cu XHHW-2 + ground, PVC jacket</t>
        </is>
      </c>
      <c r="K4982" s="12" t="inlineStr">
        <is>
          <t>LV|3/C+G|4</t>
        </is>
      </c>
      <c r="L4982" s="12" t="inlineStr">
        <is>
          <t>3/C+G</t>
        </is>
      </c>
      <c r="M4982" s="12" t="inlineStr">
        <is>
          <t>4</t>
        </is>
      </c>
      <c r="N4982" s="12" t="n">
        <v>1</v>
      </c>
      <c r="O4982" s="12" t="n">
        <v>1</v>
      </c>
      <c r="P4982" s="12" t="n">
        <v>480</v>
      </c>
      <c r="Q4982" s="12" t="n">
        <v>22</v>
      </c>
      <c r="R4982" s="12" t="n">
        <v>31.1</v>
      </c>
      <c r="S4982" s="12" t="inlineStr">
        <is>
          <t>Duct bank</t>
        </is>
      </c>
      <c r="T4982" s="17" t="n">
        <v>550</v>
      </c>
      <c r="U4982" s="17" t="n">
        <v>109</v>
      </c>
      <c r="V4982" s="17">
        <f>ROUNDUP((T4982+U4982+2*'Read Me'!$B$13)*(1+'Read Me'!$B$12),-1)</f>
        <v/>
      </c>
      <c r="W4982" s="17">
        <f>V4982*N4982*O4982</f>
        <v/>
      </c>
      <c r="X4982" s="12">
        <f>IF(LEFT(I4982,2)="MV",2*N4982*IF(L4982="1/C",O4982,1),0)</f>
        <v/>
      </c>
      <c r="Y4982" s="12">
        <f>IF(OR(LEFT(K4982,4)="LVAX",LEFT(K4982,6)="MV15AX",LEFT(K4982,4)="CTAX",LEFT(K4982,2)="W|"),2*N4982*O4982,0)</f>
        <v/>
      </c>
      <c r="Z4982" s="12" t="inlineStr">
        <is>
          <t>VD 2.5 %</t>
        </is>
      </c>
      <c r="AA4982" s="12">
        <f>N4982*O4982</f>
        <v/>
      </c>
    </row>
    <row r="4983">
      <c r="A4983" s="12" t="inlineStr">
        <is>
          <t>I-P-0103</t>
        </is>
      </c>
      <c r="B4983" s="12" t="inlineStr">
        <is>
          <t>I</t>
        </is>
      </c>
      <c r="C4983" s="12" t="inlineStr">
        <is>
          <t>Modular / portable power</t>
        </is>
      </c>
      <c r="D4983" s="12" t="inlineStr">
        <is>
          <t>Motor 5 of 6, 22 kW</t>
        </is>
      </c>
      <c r="E4983" s="12" t="inlineStr"/>
      <c r="F4983" s="12" t="inlineStr">
        <is>
          <t>PCM: power control module</t>
        </is>
      </c>
      <c r="G4983" s="12" t="inlineStr">
        <is>
          <t>RICE-2</t>
        </is>
      </c>
      <c r="H4983" s="12" t="inlineStr">
        <is>
          <t>RICE engine-generator 2</t>
        </is>
      </c>
      <c r="I4983" s="12" t="inlineStr">
        <is>
          <t>LV 600 V</t>
        </is>
      </c>
      <c r="J4983" s="12" t="inlineStr">
        <is>
          <t>Type TC-ER 600 V 3/C Cu XHHW-2 + ground, PVC jacket</t>
        </is>
      </c>
      <c r="K4983" s="12" t="inlineStr">
        <is>
          <t>LV|3/C+G|4</t>
        </is>
      </c>
      <c r="L4983" s="12" t="inlineStr">
        <is>
          <t>3/C+G</t>
        </is>
      </c>
      <c r="M4983" s="12" t="inlineStr">
        <is>
          <t>4</t>
        </is>
      </c>
      <c r="N4983" s="12" t="n">
        <v>1</v>
      </c>
      <c r="O4983" s="12" t="n">
        <v>1</v>
      </c>
      <c r="P4983" s="12" t="n">
        <v>480</v>
      </c>
      <c r="Q4983" s="12" t="n">
        <v>22</v>
      </c>
      <c r="R4983" s="12" t="n">
        <v>31.1</v>
      </c>
      <c r="S4983" s="12" t="inlineStr">
        <is>
          <t>Duct bank</t>
        </is>
      </c>
      <c r="T4983" s="17" t="n">
        <v>550</v>
      </c>
      <c r="U4983" s="17" t="n">
        <v>109</v>
      </c>
      <c r="V4983" s="17">
        <f>ROUNDUP((T4983+U4983+2*'Read Me'!$B$13)*(1+'Read Me'!$B$12),-1)</f>
        <v/>
      </c>
      <c r="W4983" s="17">
        <f>V4983*N4983*O4983</f>
        <v/>
      </c>
      <c r="X4983" s="12">
        <f>IF(LEFT(I4983,2)="MV",2*N4983*IF(L4983="1/C",O4983,1),0)</f>
        <v/>
      </c>
      <c r="Y4983" s="12">
        <f>IF(OR(LEFT(K4983,4)="LVAX",LEFT(K4983,6)="MV15AX",LEFT(K4983,4)="CTAX",LEFT(K4983,2)="W|"),2*N4983*O4983,0)</f>
        <v/>
      </c>
      <c r="Z4983" s="12" t="inlineStr">
        <is>
          <t>VD 2.5 %</t>
        </is>
      </c>
      <c r="AA4983" s="12">
        <f>N4983*O4983</f>
        <v/>
      </c>
    </row>
    <row r="4984">
      <c r="A4984" s="12" t="inlineStr">
        <is>
          <t>I-P-0104</t>
        </is>
      </c>
      <c r="B4984" s="12" t="inlineStr">
        <is>
          <t>I</t>
        </is>
      </c>
      <c r="C4984" s="12" t="inlineStr">
        <is>
          <t>Modular / portable power</t>
        </is>
      </c>
      <c r="D4984" s="12" t="inlineStr">
        <is>
          <t>Motor 6 of 6, 22 kW</t>
        </is>
      </c>
      <c r="E4984" s="12" t="inlineStr"/>
      <c r="F4984" s="12" t="inlineStr">
        <is>
          <t>PCM: power control module</t>
        </is>
      </c>
      <c r="G4984" s="12" t="inlineStr">
        <is>
          <t>RICE-2</t>
        </is>
      </c>
      <c r="H4984" s="12" t="inlineStr">
        <is>
          <t>RICE engine-generator 2</t>
        </is>
      </c>
      <c r="I4984" s="12" t="inlineStr">
        <is>
          <t>LV 600 V</t>
        </is>
      </c>
      <c r="J4984" s="12" t="inlineStr">
        <is>
          <t>Type TC-ER 600 V 3/C Cu XHHW-2 + ground, PVC jacket</t>
        </is>
      </c>
      <c r="K4984" s="12" t="inlineStr">
        <is>
          <t>LV|3/C+G|4</t>
        </is>
      </c>
      <c r="L4984" s="12" t="inlineStr">
        <is>
          <t>3/C+G</t>
        </is>
      </c>
      <c r="M4984" s="12" t="inlineStr">
        <is>
          <t>4</t>
        </is>
      </c>
      <c r="N4984" s="12" t="n">
        <v>1</v>
      </c>
      <c r="O4984" s="12" t="n">
        <v>1</v>
      </c>
      <c r="P4984" s="12" t="n">
        <v>480</v>
      </c>
      <c r="Q4984" s="12" t="n">
        <v>22</v>
      </c>
      <c r="R4984" s="12" t="n">
        <v>31.1</v>
      </c>
      <c r="S4984" s="12" t="inlineStr">
        <is>
          <t>Duct bank</t>
        </is>
      </c>
      <c r="T4984" s="17" t="n">
        <v>550</v>
      </c>
      <c r="U4984" s="17" t="n">
        <v>109</v>
      </c>
      <c r="V4984" s="17">
        <f>ROUNDUP((T4984+U4984+2*'Read Me'!$B$13)*(1+'Read Me'!$B$12),-1)</f>
        <v/>
      </c>
      <c r="W4984" s="17">
        <f>V4984*N4984*O4984</f>
        <v/>
      </c>
      <c r="X4984" s="12">
        <f>IF(LEFT(I4984,2)="MV",2*N4984*IF(L4984="1/C",O4984,1),0)</f>
        <v/>
      </c>
      <c r="Y4984" s="12">
        <f>IF(OR(LEFT(K4984,4)="LVAX",LEFT(K4984,6)="MV15AX",LEFT(K4984,4)="CTAX",LEFT(K4984,2)="W|"),2*N4984*O4984,0)</f>
        <v/>
      </c>
      <c r="Z4984" s="12" t="inlineStr">
        <is>
          <t>VD 2.5 %</t>
        </is>
      </c>
      <c r="AA4984" s="12">
        <f>N4984*O4984</f>
        <v/>
      </c>
    </row>
    <row r="4985">
      <c r="A4985" s="12" t="inlineStr">
        <is>
          <t>I-P-0105</t>
        </is>
      </c>
      <c r="B4985" s="12" t="inlineStr">
        <is>
          <t>I</t>
        </is>
      </c>
      <c r="C4985" s="12" t="inlineStr">
        <is>
          <t>Modular / portable power</t>
        </is>
      </c>
      <c r="D4985" s="12" t="inlineStr">
        <is>
          <t>480 V welding receptacle 1</t>
        </is>
      </c>
      <c r="E4985" s="12" t="inlineStr"/>
      <c r="F4985" s="12" t="inlineStr">
        <is>
          <t>PCM: power control module</t>
        </is>
      </c>
      <c r="G4985" s="12" t="inlineStr">
        <is>
          <t>RICE-2</t>
        </is>
      </c>
      <c r="H4985" s="12" t="inlineStr">
        <is>
          <t>RICE engine-generator 2</t>
        </is>
      </c>
      <c r="I4985" s="12" t="inlineStr">
        <is>
          <t>LV 600 V</t>
        </is>
      </c>
      <c r="J4985" s="12" t="inlineStr">
        <is>
          <t>Type TC-ER 600 V 3/C Cu XHHW-2 + ground, PVC jacket</t>
        </is>
      </c>
      <c r="K4985" s="12" t="inlineStr">
        <is>
          <t>LV|3/C+G|1/0</t>
        </is>
      </c>
      <c r="L4985" s="12" t="inlineStr">
        <is>
          <t>3/C+G</t>
        </is>
      </c>
      <c r="M4985" s="12" t="inlineStr">
        <is>
          <t>1/0</t>
        </is>
      </c>
      <c r="N4985" s="12" t="n">
        <v>1</v>
      </c>
      <c r="O4985" s="12" t="n">
        <v>1</v>
      </c>
      <c r="P4985" s="12" t="n">
        <v>480</v>
      </c>
      <c r="Q4985" s="12" t="n">
        <v>60</v>
      </c>
      <c r="R4985" s="12" t="n">
        <v>76</v>
      </c>
      <c r="S4985" s="12" t="inlineStr">
        <is>
          <t>Duct bank</t>
        </is>
      </c>
      <c r="T4985" s="17" t="n">
        <v>550</v>
      </c>
      <c r="U4985" s="17" t="n">
        <v>109</v>
      </c>
      <c r="V4985" s="17">
        <f>ROUNDUP((T4985+U4985+2*'Read Me'!$B$13)*(1+'Read Me'!$B$12),-1)</f>
        <v/>
      </c>
      <c r="W4985" s="17">
        <f>V4985*N4985*O4985</f>
        <v/>
      </c>
      <c r="X4985" s="12">
        <f>IF(LEFT(I4985,2)="MV",2*N4985*IF(L4985="1/C",O4985,1),0)</f>
        <v/>
      </c>
      <c r="Y4985" s="12">
        <f>IF(OR(LEFT(K4985,4)="LVAX",LEFT(K4985,6)="MV15AX",LEFT(K4985,4)="CTAX",LEFT(K4985,2)="W|"),2*N4985*O4985,0)</f>
        <v/>
      </c>
      <c r="Z4985" s="12" t="inlineStr">
        <is>
          <t>VD 2.4 %</t>
        </is>
      </c>
      <c r="AA4985" s="12">
        <f>N4985*O4985</f>
        <v/>
      </c>
    </row>
    <row r="4986">
      <c r="A4986" s="12" t="inlineStr">
        <is>
          <t>I-P-0106</t>
        </is>
      </c>
      <c r="B4986" s="12" t="inlineStr">
        <is>
          <t>I</t>
        </is>
      </c>
      <c r="C4986" s="12" t="inlineStr">
        <is>
          <t>Modular / portable power</t>
        </is>
      </c>
      <c r="D4986" s="12" t="inlineStr">
        <is>
          <t>480 V welding receptacle 2</t>
        </is>
      </c>
      <c r="E4986" s="12" t="inlineStr"/>
      <c r="F4986" s="12" t="inlineStr">
        <is>
          <t>PCM: power control module</t>
        </is>
      </c>
      <c r="G4986" s="12" t="inlineStr">
        <is>
          <t>RICE-2</t>
        </is>
      </c>
      <c r="H4986" s="12" t="inlineStr">
        <is>
          <t>RICE engine-generator 2</t>
        </is>
      </c>
      <c r="I4986" s="12" t="inlineStr">
        <is>
          <t>LV 600 V</t>
        </is>
      </c>
      <c r="J4986" s="12" t="inlineStr">
        <is>
          <t>Type TC-ER 600 V 3/C Cu XHHW-2 + ground, PVC jacket</t>
        </is>
      </c>
      <c r="K4986" s="12" t="inlineStr">
        <is>
          <t>LV|3/C+G|1/0</t>
        </is>
      </c>
      <c r="L4986" s="12" t="inlineStr">
        <is>
          <t>3/C+G</t>
        </is>
      </c>
      <c r="M4986" s="12" t="inlineStr">
        <is>
          <t>1/0</t>
        </is>
      </c>
      <c r="N4986" s="12" t="n">
        <v>1</v>
      </c>
      <c r="O4986" s="12" t="n">
        <v>1</v>
      </c>
      <c r="P4986" s="12" t="n">
        <v>480</v>
      </c>
      <c r="Q4986" s="12" t="n">
        <v>60</v>
      </c>
      <c r="R4986" s="12" t="n">
        <v>76</v>
      </c>
      <c r="S4986" s="12" t="inlineStr">
        <is>
          <t>Duct bank</t>
        </is>
      </c>
      <c r="T4986" s="17" t="n">
        <v>550</v>
      </c>
      <c r="U4986" s="17" t="n">
        <v>109</v>
      </c>
      <c r="V4986" s="17">
        <f>ROUNDUP((T4986+U4986+2*'Read Me'!$B$13)*(1+'Read Me'!$B$12),-1)</f>
        <v/>
      </c>
      <c r="W4986" s="17">
        <f>V4986*N4986*O4986</f>
        <v/>
      </c>
      <c r="X4986" s="12">
        <f>IF(LEFT(I4986,2)="MV",2*N4986*IF(L4986="1/C",O4986,1),0)</f>
        <v/>
      </c>
      <c r="Y4986" s="12">
        <f>IF(OR(LEFT(K4986,4)="LVAX",LEFT(K4986,6)="MV15AX",LEFT(K4986,4)="CTAX",LEFT(K4986,2)="W|"),2*N4986*O4986,0)</f>
        <v/>
      </c>
      <c r="Z4986" s="12" t="inlineStr">
        <is>
          <t>VD 2.4 %</t>
        </is>
      </c>
      <c r="AA4986" s="12">
        <f>N4986*O4986</f>
        <v/>
      </c>
    </row>
    <row r="4987">
      <c r="A4987" s="12" t="inlineStr">
        <is>
          <t>I-P-0107</t>
        </is>
      </c>
      <c r="B4987" s="12" t="inlineStr">
        <is>
          <t>I</t>
        </is>
      </c>
      <c r="C4987" s="12" t="inlineStr">
        <is>
          <t>Modular / portable power</t>
        </is>
      </c>
      <c r="D4987" s="12" t="inlineStr">
        <is>
          <t>480 V welding receptacle 3</t>
        </is>
      </c>
      <c r="E4987" s="12" t="inlineStr"/>
      <c r="F4987" s="12" t="inlineStr">
        <is>
          <t>PCM: power control module</t>
        </is>
      </c>
      <c r="G4987" s="12" t="inlineStr">
        <is>
          <t>RICE-2</t>
        </is>
      </c>
      <c r="H4987" s="12" t="inlineStr">
        <is>
          <t>RICE engine-generator 2</t>
        </is>
      </c>
      <c r="I4987" s="12" t="inlineStr">
        <is>
          <t>LV 600 V</t>
        </is>
      </c>
      <c r="J4987" s="12" t="inlineStr">
        <is>
          <t>Type TC-ER 600 V 3/C Cu XHHW-2 + ground, PVC jacket</t>
        </is>
      </c>
      <c r="K4987" s="12" t="inlineStr">
        <is>
          <t>LV|3/C+G|1/0</t>
        </is>
      </c>
      <c r="L4987" s="12" t="inlineStr">
        <is>
          <t>3/C+G</t>
        </is>
      </c>
      <c r="M4987" s="12" t="inlineStr">
        <is>
          <t>1/0</t>
        </is>
      </c>
      <c r="N4987" s="12" t="n">
        <v>1</v>
      </c>
      <c r="O4987" s="12" t="n">
        <v>1</v>
      </c>
      <c r="P4987" s="12" t="n">
        <v>480</v>
      </c>
      <c r="Q4987" s="12" t="n">
        <v>60</v>
      </c>
      <c r="R4987" s="12" t="n">
        <v>76</v>
      </c>
      <c r="S4987" s="12" t="inlineStr">
        <is>
          <t>Duct bank</t>
        </is>
      </c>
      <c r="T4987" s="17" t="n">
        <v>550</v>
      </c>
      <c r="U4987" s="17" t="n">
        <v>109</v>
      </c>
      <c r="V4987" s="17">
        <f>ROUNDUP((T4987+U4987+2*'Read Me'!$B$13)*(1+'Read Me'!$B$12),-1)</f>
        <v/>
      </c>
      <c r="W4987" s="17">
        <f>V4987*N4987*O4987</f>
        <v/>
      </c>
      <c r="X4987" s="12">
        <f>IF(LEFT(I4987,2)="MV",2*N4987*IF(L4987="1/C",O4987,1),0)</f>
        <v/>
      </c>
      <c r="Y4987" s="12">
        <f>IF(OR(LEFT(K4987,4)="LVAX",LEFT(K4987,6)="MV15AX",LEFT(K4987,4)="CTAX",LEFT(K4987,2)="W|"),2*N4987*O4987,0)</f>
        <v/>
      </c>
      <c r="Z4987" s="12" t="inlineStr">
        <is>
          <t>VD 2.4 %</t>
        </is>
      </c>
      <c r="AA4987" s="12">
        <f>N4987*O4987</f>
        <v/>
      </c>
    </row>
    <row r="4988">
      <c r="A4988" s="12" t="inlineStr">
        <is>
          <t>I-P-0108</t>
        </is>
      </c>
      <c r="B4988" s="12" t="inlineStr">
        <is>
          <t>I</t>
        </is>
      </c>
      <c r="C4988" s="12" t="inlineStr">
        <is>
          <t>Modular / portable power</t>
        </is>
      </c>
      <c r="D4988" s="12" t="inlineStr">
        <is>
          <t>480 V welding receptacle 4</t>
        </is>
      </c>
      <c r="E4988" s="12" t="inlineStr"/>
      <c r="F4988" s="12" t="inlineStr">
        <is>
          <t>PCM: power control module</t>
        </is>
      </c>
      <c r="G4988" s="12" t="inlineStr">
        <is>
          <t>RICE-2</t>
        </is>
      </c>
      <c r="H4988" s="12" t="inlineStr">
        <is>
          <t>RICE engine-generator 2</t>
        </is>
      </c>
      <c r="I4988" s="12" t="inlineStr">
        <is>
          <t>LV 600 V</t>
        </is>
      </c>
      <c r="J4988" s="12" t="inlineStr">
        <is>
          <t>Type TC-ER 600 V 3/C Cu XHHW-2 + ground, PVC jacket</t>
        </is>
      </c>
      <c r="K4988" s="12" t="inlineStr">
        <is>
          <t>LV|3/C+G|1/0</t>
        </is>
      </c>
      <c r="L4988" s="12" t="inlineStr">
        <is>
          <t>3/C+G</t>
        </is>
      </c>
      <c r="M4988" s="12" t="inlineStr">
        <is>
          <t>1/0</t>
        </is>
      </c>
      <c r="N4988" s="12" t="n">
        <v>1</v>
      </c>
      <c r="O4988" s="12" t="n">
        <v>1</v>
      </c>
      <c r="P4988" s="12" t="n">
        <v>480</v>
      </c>
      <c r="Q4988" s="12" t="n">
        <v>60</v>
      </c>
      <c r="R4988" s="12" t="n">
        <v>76</v>
      </c>
      <c r="S4988" s="12" t="inlineStr">
        <is>
          <t>Duct bank</t>
        </is>
      </c>
      <c r="T4988" s="17" t="n">
        <v>550</v>
      </c>
      <c r="U4988" s="17" t="n">
        <v>109</v>
      </c>
      <c r="V4988" s="17">
        <f>ROUNDUP((T4988+U4988+2*'Read Me'!$B$13)*(1+'Read Me'!$B$12),-1)</f>
        <v/>
      </c>
      <c r="W4988" s="17">
        <f>V4988*N4988*O4988</f>
        <v/>
      </c>
      <c r="X4988" s="12">
        <f>IF(LEFT(I4988,2)="MV",2*N4988*IF(L4988="1/C",O4988,1),0)</f>
        <v/>
      </c>
      <c r="Y4988" s="12">
        <f>IF(OR(LEFT(K4988,4)="LVAX",LEFT(K4988,6)="MV15AX",LEFT(K4988,4)="CTAX",LEFT(K4988,2)="W|"),2*N4988*O4988,0)</f>
        <v/>
      </c>
      <c r="Z4988" s="12" t="inlineStr">
        <is>
          <t>VD 2.4 %</t>
        </is>
      </c>
      <c r="AA4988" s="12">
        <f>N4988*O4988</f>
        <v/>
      </c>
    </row>
    <row r="4989">
      <c r="A4989" s="12" t="inlineStr">
        <is>
          <t>I-P-0109</t>
        </is>
      </c>
      <c r="B4989" s="12" t="inlineStr">
        <is>
          <t>I</t>
        </is>
      </c>
      <c r="C4989" s="12" t="inlineStr">
        <is>
          <t>Modular / portable power</t>
        </is>
      </c>
      <c r="D4989" s="12" t="inlineStr">
        <is>
          <t>Motor 1 of 6, 22 kW</t>
        </is>
      </c>
      <c r="E4989" s="12" t="inlineStr"/>
      <c r="F4989" s="12" t="inlineStr">
        <is>
          <t>PCM: power control module</t>
        </is>
      </c>
      <c r="G4989" s="12" t="inlineStr">
        <is>
          <t>RICE-3</t>
        </is>
      </c>
      <c r="H4989" s="12" t="inlineStr">
        <is>
          <t>RICE engine-generator 3</t>
        </is>
      </c>
      <c r="I4989" s="12" t="inlineStr">
        <is>
          <t>LV 600 V</t>
        </is>
      </c>
      <c r="J4989" s="12" t="inlineStr">
        <is>
          <t>Type TC-ER 600 V 3/C Cu XHHW-2 + ground, PVC jacket</t>
        </is>
      </c>
      <c r="K4989" s="12" t="inlineStr">
        <is>
          <t>LV|3/C+G|4</t>
        </is>
      </c>
      <c r="L4989" s="12" t="inlineStr">
        <is>
          <t>3/C+G</t>
        </is>
      </c>
      <c r="M4989" s="12" t="inlineStr">
        <is>
          <t>4</t>
        </is>
      </c>
      <c r="N4989" s="12" t="n">
        <v>1</v>
      </c>
      <c r="O4989" s="12" t="n">
        <v>1</v>
      </c>
      <c r="P4989" s="12" t="n">
        <v>480</v>
      </c>
      <c r="Q4989" s="12" t="n">
        <v>22</v>
      </c>
      <c r="R4989" s="12" t="n">
        <v>31.1</v>
      </c>
      <c r="S4989" s="12" t="inlineStr">
        <is>
          <t>Duct bank</t>
        </is>
      </c>
      <c r="T4989" s="17" t="n">
        <v>550</v>
      </c>
      <c r="U4989" s="17" t="n">
        <v>81</v>
      </c>
      <c r="V4989" s="17">
        <f>ROUNDUP((T4989+U4989+2*'Read Me'!$B$13)*(1+'Read Me'!$B$12),-1)</f>
        <v/>
      </c>
      <c r="W4989" s="17">
        <f>V4989*N4989*O4989</f>
        <v/>
      </c>
      <c r="X4989" s="12">
        <f>IF(LEFT(I4989,2)="MV",2*N4989*IF(L4989="1/C",O4989,1),0)</f>
        <v/>
      </c>
      <c r="Y4989" s="12">
        <f>IF(OR(LEFT(K4989,4)="LVAX",LEFT(K4989,6)="MV15AX",LEFT(K4989,4)="CTAX",LEFT(K4989,2)="W|"),2*N4989*O4989,0)</f>
        <v/>
      </c>
      <c r="Z4989" s="12" t="inlineStr">
        <is>
          <t>VD 2.4 %</t>
        </is>
      </c>
      <c r="AA4989" s="12">
        <f>N4989*O4989</f>
        <v/>
      </c>
    </row>
    <row r="4990">
      <c r="A4990" s="12" t="inlineStr">
        <is>
          <t>I-P-0110</t>
        </is>
      </c>
      <c r="B4990" s="12" t="inlineStr">
        <is>
          <t>I</t>
        </is>
      </c>
      <c r="C4990" s="12" t="inlineStr">
        <is>
          <t>Modular / portable power</t>
        </is>
      </c>
      <c r="D4990" s="12" t="inlineStr">
        <is>
          <t>Motor 2 of 6, 22 kW</t>
        </is>
      </c>
      <c r="E4990" s="12" t="inlineStr"/>
      <c r="F4990" s="12" t="inlineStr">
        <is>
          <t>PCM: power control module</t>
        </is>
      </c>
      <c r="G4990" s="12" t="inlineStr">
        <is>
          <t>RICE-3</t>
        </is>
      </c>
      <c r="H4990" s="12" t="inlineStr">
        <is>
          <t>RICE engine-generator 3</t>
        </is>
      </c>
      <c r="I4990" s="12" t="inlineStr">
        <is>
          <t>LV 600 V</t>
        </is>
      </c>
      <c r="J4990" s="12" t="inlineStr">
        <is>
          <t>Type TC-ER 600 V 3/C Cu XHHW-2 + ground, PVC jacket</t>
        </is>
      </c>
      <c r="K4990" s="12" t="inlineStr">
        <is>
          <t>LV|3/C+G|4</t>
        </is>
      </c>
      <c r="L4990" s="12" t="inlineStr">
        <is>
          <t>3/C+G</t>
        </is>
      </c>
      <c r="M4990" s="12" t="inlineStr">
        <is>
          <t>4</t>
        </is>
      </c>
      <c r="N4990" s="12" t="n">
        <v>1</v>
      </c>
      <c r="O4990" s="12" t="n">
        <v>1</v>
      </c>
      <c r="P4990" s="12" t="n">
        <v>480</v>
      </c>
      <c r="Q4990" s="12" t="n">
        <v>22</v>
      </c>
      <c r="R4990" s="12" t="n">
        <v>31.1</v>
      </c>
      <c r="S4990" s="12" t="inlineStr">
        <is>
          <t>Duct bank</t>
        </is>
      </c>
      <c r="T4990" s="17" t="n">
        <v>550</v>
      </c>
      <c r="U4990" s="17" t="n">
        <v>81</v>
      </c>
      <c r="V4990" s="17">
        <f>ROUNDUP((T4990+U4990+2*'Read Me'!$B$13)*(1+'Read Me'!$B$12),-1)</f>
        <v/>
      </c>
      <c r="W4990" s="17">
        <f>V4990*N4990*O4990</f>
        <v/>
      </c>
      <c r="X4990" s="12">
        <f>IF(LEFT(I4990,2)="MV",2*N4990*IF(L4990="1/C",O4990,1),0)</f>
        <v/>
      </c>
      <c r="Y4990" s="12">
        <f>IF(OR(LEFT(K4990,4)="LVAX",LEFT(K4990,6)="MV15AX",LEFT(K4990,4)="CTAX",LEFT(K4990,2)="W|"),2*N4990*O4990,0)</f>
        <v/>
      </c>
      <c r="Z4990" s="12" t="inlineStr">
        <is>
          <t>VD 2.4 %</t>
        </is>
      </c>
      <c r="AA4990" s="12">
        <f>N4990*O4990</f>
        <v/>
      </c>
    </row>
    <row r="4991">
      <c r="A4991" s="12" t="inlineStr">
        <is>
          <t>I-P-0111</t>
        </is>
      </c>
      <c r="B4991" s="12" t="inlineStr">
        <is>
          <t>I</t>
        </is>
      </c>
      <c r="C4991" s="12" t="inlineStr">
        <is>
          <t>Modular / portable power</t>
        </is>
      </c>
      <c r="D4991" s="12" t="inlineStr">
        <is>
          <t>Motor 3 of 6, 22 kW</t>
        </is>
      </c>
      <c r="E4991" s="12" t="inlineStr"/>
      <c r="F4991" s="12" t="inlineStr">
        <is>
          <t>PCM: power control module</t>
        </is>
      </c>
      <c r="G4991" s="12" t="inlineStr">
        <is>
          <t>RICE-3</t>
        </is>
      </c>
      <c r="H4991" s="12" t="inlineStr">
        <is>
          <t>RICE engine-generator 3</t>
        </is>
      </c>
      <c r="I4991" s="12" t="inlineStr">
        <is>
          <t>LV 600 V</t>
        </is>
      </c>
      <c r="J4991" s="12" t="inlineStr">
        <is>
          <t>Type TC-ER 600 V 3/C Cu XHHW-2 + ground, PVC jacket</t>
        </is>
      </c>
      <c r="K4991" s="12" t="inlineStr">
        <is>
          <t>LV|3/C+G|4</t>
        </is>
      </c>
      <c r="L4991" s="12" t="inlineStr">
        <is>
          <t>3/C+G</t>
        </is>
      </c>
      <c r="M4991" s="12" t="inlineStr">
        <is>
          <t>4</t>
        </is>
      </c>
      <c r="N4991" s="12" t="n">
        <v>1</v>
      </c>
      <c r="O4991" s="12" t="n">
        <v>1</v>
      </c>
      <c r="P4991" s="12" t="n">
        <v>480</v>
      </c>
      <c r="Q4991" s="12" t="n">
        <v>22</v>
      </c>
      <c r="R4991" s="12" t="n">
        <v>31.1</v>
      </c>
      <c r="S4991" s="12" t="inlineStr">
        <is>
          <t>Duct bank</t>
        </is>
      </c>
      <c r="T4991" s="17" t="n">
        <v>550</v>
      </c>
      <c r="U4991" s="17" t="n">
        <v>81</v>
      </c>
      <c r="V4991" s="17">
        <f>ROUNDUP((T4991+U4991+2*'Read Me'!$B$13)*(1+'Read Me'!$B$12),-1)</f>
        <v/>
      </c>
      <c r="W4991" s="17">
        <f>V4991*N4991*O4991</f>
        <v/>
      </c>
      <c r="X4991" s="12">
        <f>IF(LEFT(I4991,2)="MV",2*N4991*IF(L4991="1/C",O4991,1),0)</f>
        <v/>
      </c>
      <c r="Y4991" s="12">
        <f>IF(OR(LEFT(K4991,4)="LVAX",LEFT(K4991,6)="MV15AX",LEFT(K4991,4)="CTAX",LEFT(K4991,2)="W|"),2*N4991*O4991,0)</f>
        <v/>
      </c>
      <c r="Z4991" s="12" t="inlineStr">
        <is>
          <t>VD 2.4 %</t>
        </is>
      </c>
      <c r="AA4991" s="12">
        <f>N4991*O4991</f>
        <v/>
      </c>
    </row>
    <row r="4992">
      <c r="A4992" s="12" t="inlineStr">
        <is>
          <t>I-P-0112</t>
        </is>
      </c>
      <c r="B4992" s="12" t="inlineStr">
        <is>
          <t>I</t>
        </is>
      </c>
      <c r="C4992" s="12" t="inlineStr">
        <is>
          <t>Modular / portable power</t>
        </is>
      </c>
      <c r="D4992" s="12" t="inlineStr">
        <is>
          <t>Motor 4 of 6, 22 kW</t>
        </is>
      </c>
      <c r="E4992" s="12" t="inlineStr"/>
      <c r="F4992" s="12" t="inlineStr">
        <is>
          <t>PCM: power control module</t>
        </is>
      </c>
      <c r="G4992" s="12" t="inlineStr">
        <is>
          <t>RICE-3</t>
        </is>
      </c>
      <c r="H4992" s="12" t="inlineStr">
        <is>
          <t>RICE engine-generator 3</t>
        </is>
      </c>
      <c r="I4992" s="12" t="inlineStr">
        <is>
          <t>LV 600 V</t>
        </is>
      </c>
      <c r="J4992" s="12" t="inlineStr">
        <is>
          <t>Type TC-ER 600 V 3/C Cu XHHW-2 + ground, PVC jacket</t>
        </is>
      </c>
      <c r="K4992" s="12" t="inlineStr">
        <is>
          <t>LV|3/C+G|4</t>
        </is>
      </c>
      <c r="L4992" s="12" t="inlineStr">
        <is>
          <t>3/C+G</t>
        </is>
      </c>
      <c r="M4992" s="12" t="inlineStr">
        <is>
          <t>4</t>
        </is>
      </c>
      <c r="N4992" s="12" t="n">
        <v>1</v>
      </c>
      <c r="O4992" s="12" t="n">
        <v>1</v>
      </c>
      <c r="P4992" s="12" t="n">
        <v>480</v>
      </c>
      <c r="Q4992" s="12" t="n">
        <v>22</v>
      </c>
      <c r="R4992" s="12" t="n">
        <v>31.1</v>
      </c>
      <c r="S4992" s="12" t="inlineStr">
        <is>
          <t>Duct bank</t>
        </is>
      </c>
      <c r="T4992" s="17" t="n">
        <v>550</v>
      </c>
      <c r="U4992" s="17" t="n">
        <v>81</v>
      </c>
      <c r="V4992" s="17">
        <f>ROUNDUP((T4992+U4992+2*'Read Me'!$B$13)*(1+'Read Me'!$B$12),-1)</f>
        <v/>
      </c>
      <c r="W4992" s="17">
        <f>V4992*N4992*O4992</f>
        <v/>
      </c>
      <c r="X4992" s="12">
        <f>IF(LEFT(I4992,2)="MV",2*N4992*IF(L4992="1/C",O4992,1),0)</f>
        <v/>
      </c>
      <c r="Y4992" s="12">
        <f>IF(OR(LEFT(K4992,4)="LVAX",LEFT(K4992,6)="MV15AX",LEFT(K4992,4)="CTAX",LEFT(K4992,2)="W|"),2*N4992*O4992,0)</f>
        <v/>
      </c>
      <c r="Z4992" s="12" t="inlineStr">
        <is>
          <t>VD 2.4 %</t>
        </is>
      </c>
      <c r="AA4992" s="12">
        <f>N4992*O4992</f>
        <v/>
      </c>
    </row>
    <row r="4993">
      <c r="A4993" s="12" t="inlineStr">
        <is>
          <t>I-P-0113</t>
        </is>
      </c>
      <c r="B4993" s="12" t="inlineStr">
        <is>
          <t>I</t>
        </is>
      </c>
      <c r="C4993" s="12" t="inlineStr">
        <is>
          <t>Modular / portable power</t>
        </is>
      </c>
      <c r="D4993" s="12" t="inlineStr">
        <is>
          <t>Motor 5 of 6, 22 kW</t>
        </is>
      </c>
      <c r="E4993" s="12" t="inlineStr"/>
      <c r="F4993" s="12" t="inlineStr">
        <is>
          <t>PCM: power control module</t>
        </is>
      </c>
      <c r="G4993" s="12" t="inlineStr">
        <is>
          <t>RICE-3</t>
        </is>
      </c>
      <c r="H4993" s="12" t="inlineStr">
        <is>
          <t>RICE engine-generator 3</t>
        </is>
      </c>
      <c r="I4993" s="12" t="inlineStr">
        <is>
          <t>LV 600 V</t>
        </is>
      </c>
      <c r="J4993" s="12" t="inlineStr">
        <is>
          <t>Type TC-ER 600 V 3/C Cu XHHW-2 + ground, PVC jacket</t>
        </is>
      </c>
      <c r="K4993" s="12" t="inlineStr">
        <is>
          <t>LV|3/C+G|4</t>
        </is>
      </c>
      <c r="L4993" s="12" t="inlineStr">
        <is>
          <t>3/C+G</t>
        </is>
      </c>
      <c r="M4993" s="12" t="inlineStr">
        <is>
          <t>4</t>
        </is>
      </c>
      <c r="N4993" s="12" t="n">
        <v>1</v>
      </c>
      <c r="O4993" s="12" t="n">
        <v>1</v>
      </c>
      <c r="P4993" s="12" t="n">
        <v>480</v>
      </c>
      <c r="Q4993" s="12" t="n">
        <v>22</v>
      </c>
      <c r="R4993" s="12" t="n">
        <v>31.1</v>
      </c>
      <c r="S4993" s="12" t="inlineStr">
        <is>
          <t>Duct bank</t>
        </is>
      </c>
      <c r="T4993" s="17" t="n">
        <v>550</v>
      </c>
      <c r="U4993" s="17" t="n">
        <v>81</v>
      </c>
      <c r="V4993" s="17">
        <f>ROUNDUP((T4993+U4993+2*'Read Me'!$B$13)*(1+'Read Me'!$B$12),-1)</f>
        <v/>
      </c>
      <c r="W4993" s="17">
        <f>V4993*N4993*O4993</f>
        <v/>
      </c>
      <c r="X4993" s="12">
        <f>IF(LEFT(I4993,2)="MV",2*N4993*IF(L4993="1/C",O4993,1),0)</f>
        <v/>
      </c>
      <c r="Y4993" s="12">
        <f>IF(OR(LEFT(K4993,4)="LVAX",LEFT(K4993,6)="MV15AX",LEFT(K4993,4)="CTAX",LEFT(K4993,2)="W|"),2*N4993*O4993,0)</f>
        <v/>
      </c>
      <c r="Z4993" s="12" t="inlineStr">
        <is>
          <t>VD 2.4 %</t>
        </is>
      </c>
      <c r="AA4993" s="12">
        <f>N4993*O4993</f>
        <v/>
      </c>
    </row>
    <row r="4994">
      <c r="A4994" s="12" t="inlineStr">
        <is>
          <t>I-P-0114</t>
        </is>
      </c>
      <c r="B4994" s="12" t="inlineStr">
        <is>
          <t>I</t>
        </is>
      </c>
      <c r="C4994" s="12" t="inlineStr">
        <is>
          <t>Modular / portable power</t>
        </is>
      </c>
      <c r="D4994" s="12" t="inlineStr">
        <is>
          <t>Motor 6 of 6, 22 kW</t>
        </is>
      </c>
      <c r="E4994" s="12" t="inlineStr"/>
      <c r="F4994" s="12" t="inlineStr">
        <is>
          <t>PCM: power control module</t>
        </is>
      </c>
      <c r="G4994" s="12" t="inlineStr">
        <is>
          <t>RICE-3</t>
        </is>
      </c>
      <c r="H4994" s="12" t="inlineStr">
        <is>
          <t>RICE engine-generator 3</t>
        </is>
      </c>
      <c r="I4994" s="12" t="inlineStr">
        <is>
          <t>LV 600 V</t>
        </is>
      </c>
      <c r="J4994" s="12" t="inlineStr">
        <is>
          <t>Type TC-ER 600 V 3/C Cu XHHW-2 + ground, PVC jacket</t>
        </is>
      </c>
      <c r="K4994" s="12" t="inlineStr">
        <is>
          <t>LV|3/C+G|4</t>
        </is>
      </c>
      <c r="L4994" s="12" t="inlineStr">
        <is>
          <t>3/C+G</t>
        </is>
      </c>
      <c r="M4994" s="12" t="inlineStr">
        <is>
          <t>4</t>
        </is>
      </c>
      <c r="N4994" s="12" t="n">
        <v>1</v>
      </c>
      <c r="O4994" s="12" t="n">
        <v>1</v>
      </c>
      <c r="P4994" s="12" t="n">
        <v>480</v>
      </c>
      <c r="Q4994" s="12" t="n">
        <v>22</v>
      </c>
      <c r="R4994" s="12" t="n">
        <v>31.1</v>
      </c>
      <c r="S4994" s="12" t="inlineStr">
        <is>
          <t>Duct bank</t>
        </is>
      </c>
      <c r="T4994" s="17" t="n">
        <v>550</v>
      </c>
      <c r="U4994" s="17" t="n">
        <v>81</v>
      </c>
      <c r="V4994" s="17">
        <f>ROUNDUP((T4994+U4994+2*'Read Me'!$B$13)*(1+'Read Me'!$B$12),-1)</f>
        <v/>
      </c>
      <c r="W4994" s="17">
        <f>V4994*N4994*O4994</f>
        <v/>
      </c>
      <c r="X4994" s="12">
        <f>IF(LEFT(I4994,2)="MV",2*N4994*IF(L4994="1/C",O4994,1),0)</f>
        <v/>
      </c>
      <c r="Y4994" s="12">
        <f>IF(OR(LEFT(K4994,4)="LVAX",LEFT(K4994,6)="MV15AX",LEFT(K4994,4)="CTAX",LEFT(K4994,2)="W|"),2*N4994*O4994,0)</f>
        <v/>
      </c>
      <c r="Z4994" s="12" t="inlineStr">
        <is>
          <t>VD 2.4 %</t>
        </is>
      </c>
      <c r="AA4994" s="12">
        <f>N4994*O4994</f>
        <v/>
      </c>
    </row>
    <row r="4995">
      <c r="A4995" s="12" t="inlineStr">
        <is>
          <t>I-P-0115</t>
        </is>
      </c>
      <c r="B4995" s="12" t="inlineStr">
        <is>
          <t>I</t>
        </is>
      </c>
      <c r="C4995" s="12" t="inlineStr">
        <is>
          <t>Modular / portable power</t>
        </is>
      </c>
      <c r="D4995" s="12" t="inlineStr">
        <is>
          <t>480 V welding receptacle 1</t>
        </is>
      </c>
      <c r="E4995" s="12" t="inlineStr"/>
      <c r="F4995" s="12" t="inlineStr">
        <is>
          <t>PCM: power control module</t>
        </is>
      </c>
      <c r="G4995" s="12" t="inlineStr">
        <is>
          <t>RICE-3</t>
        </is>
      </c>
      <c r="H4995" s="12" t="inlineStr">
        <is>
          <t>RICE engine-generator 3</t>
        </is>
      </c>
      <c r="I4995" s="12" t="inlineStr">
        <is>
          <t>LV 600 V</t>
        </is>
      </c>
      <c r="J4995" s="12" t="inlineStr">
        <is>
          <t>Type TC-ER 600 V 3/C Cu XHHW-2 + ground, PVC jacket</t>
        </is>
      </c>
      <c r="K4995" s="12" t="inlineStr">
        <is>
          <t>LV|3/C+G|1</t>
        </is>
      </c>
      <c r="L4995" s="12" t="inlineStr">
        <is>
          <t>3/C+G</t>
        </is>
      </c>
      <c r="M4995" s="12" t="inlineStr">
        <is>
          <t>1</t>
        </is>
      </c>
      <c r="N4995" s="12" t="n">
        <v>1</v>
      </c>
      <c r="O4995" s="12" t="n">
        <v>1</v>
      </c>
      <c r="P4995" s="12" t="n">
        <v>480</v>
      </c>
      <c r="Q4995" s="12" t="n">
        <v>60</v>
      </c>
      <c r="R4995" s="12" t="n">
        <v>76</v>
      </c>
      <c r="S4995" s="12" t="inlineStr">
        <is>
          <t>Duct bank</t>
        </is>
      </c>
      <c r="T4995" s="17" t="n">
        <v>550</v>
      </c>
      <c r="U4995" s="17" t="n">
        <v>81</v>
      </c>
      <c r="V4995" s="17">
        <f>ROUNDUP((T4995+U4995+2*'Read Me'!$B$13)*(1+'Read Me'!$B$12),-1)</f>
        <v/>
      </c>
      <c r="W4995" s="17">
        <f>V4995*N4995*O4995</f>
        <v/>
      </c>
      <c r="X4995" s="12">
        <f>IF(LEFT(I4995,2)="MV",2*N4995*IF(L4995="1/C",O4995,1),0)</f>
        <v/>
      </c>
      <c r="Y4995" s="12">
        <f>IF(OR(LEFT(K4995,4)="LVAX",LEFT(K4995,6)="MV15AX",LEFT(K4995,4)="CTAX",LEFT(K4995,2)="W|"),2*N4995*O4995,0)</f>
        <v/>
      </c>
      <c r="Z4995" s="12" t="inlineStr">
        <is>
          <t>VD 2.9 %</t>
        </is>
      </c>
      <c r="AA4995" s="12">
        <f>N4995*O4995</f>
        <v/>
      </c>
    </row>
    <row r="4996">
      <c r="A4996" s="12" t="inlineStr">
        <is>
          <t>I-P-0116</t>
        </is>
      </c>
      <c r="B4996" s="12" t="inlineStr">
        <is>
          <t>I</t>
        </is>
      </c>
      <c r="C4996" s="12" t="inlineStr">
        <is>
          <t>Modular / portable power</t>
        </is>
      </c>
      <c r="D4996" s="12" t="inlineStr">
        <is>
          <t>480 V welding receptacle 2</t>
        </is>
      </c>
      <c r="E4996" s="12" t="inlineStr"/>
      <c r="F4996" s="12" t="inlineStr">
        <is>
          <t>PCM: power control module</t>
        </is>
      </c>
      <c r="G4996" s="12" t="inlineStr">
        <is>
          <t>RICE-3</t>
        </is>
      </c>
      <c r="H4996" s="12" t="inlineStr">
        <is>
          <t>RICE engine-generator 3</t>
        </is>
      </c>
      <c r="I4996" s="12" t="inlineStr">
        <is>
          <t>LV 600 V</t>
        </is>
      </c>
      <c r="J4996" s="12" t="inlineStr">
        <is>
          <t>Type TC-ER 600 V 3/C Cu XHHW-2 + ground, PVC jacket</t>
        </is>
      </c>
      <c r="K4996" s="12" t="inlineStr">
        <is>
          <t>LV|3/C+G|1</t>
        </is>
      </c>
      <c r="L4996" s="12" t="inlineStr">
        <is>
          <t>3/C+G</t>
        </is>
      </c>
      <c r="M4996" s="12" t="inlineStr">
        <is>
          <t>1</t>
        </is>
      </c>
      <c r="N4996" s="12" t="n">
        <v>1</v>
      </c>
      <c r="O4996" s="12" t="n">
        <v>1</v>
      </c>
      <c r="P4996" s="12" t="n">
        <v>480</v>
      </c>
      <c r="Q4996" s="12" t="n">
        <v>60</v>
      </c>
      <c r="R4996" s="12" t="n">
        <v>76</v>
      </c>
      <c r="S4996" s="12" t="inlineStr">
        <is>
          <t>Duct bank</t>
        </is>
      </c>
      <c r="T4996" s="17" t="n">
        <v>550</v>
      </c>
      <c r="U4996" s="17" t="n">
        <v>81</v>
      </c>
      <c r="V4996" s="17">
        <f>ROUNDUP((T4996+U4996+2*'Read Me'!$B$13)*(1+'Read Me'!$B$12),-1)</f>
        <v/>
      </c>
      <c r="W4996" s="17">
        <f>V4996*N4996*O4996</f>
        <v/>
      </c>
      <c r="X4996" s="12">
        <f>IF(LEFT(I4996,2)="MV",2*N4996*IF(L4996="1/C",O4996,1),0)</f>
        <v/>
      </c>
      <c r="Y4996" s="12">
        <f>IF(OR(LEFT(K4996,4)="LVAX",LEFT(K4996,6)="MV15AX",LEFT(K4996,4)="CTAX",LEFT(K4996,2)="W|"),2*N4996*O4996,0)</f>
        <v/>
      </c>
      <c r="Z4996" s="12" t="inlineStr">
        <is>
          <t>VD 2.9 %</t>
        </is>
      </c>
      <c r="AA4996" s="12">
        <f>N4996*O4996</f>
        <v/>
      </c>
    </row>
    <row r="4997">
      <c r="A4997" s="12" t="inlineStr">
        <is>
          <t>I-P-0117</t>
        </is>
      </c>
      <c r="B4997" s="12" t="inlineStr">
        <is>
          <t>I</t>
        </is>
      </c>
      <c r="C4997" s="12" t="inlineStr">
        <is>
          <t>Modular / portable power</t>
        </is>
      </c>
      <c r="D4997" s="12" t="inlineStr">
        <is>
          <t>480 V welding receptacle 3</t>
        </is>
      </c>
      <c r="E4997" s="12" t="inlineStr"/>
      <c r="F4997" s="12" t="inlineStr">
        <is>
          <t>PCM: power control module</t>
        </is>
      </c>
      <c r="G4997" s="12" t="inlineStr">
        <is>
          <t>RICE-3</t>
        </is>
      </c>
      <c r="H4997" s="12" t="inlineStr">
        <is>
          <t>RICE engine-generator 3</t>
        </is>
      </c>
      <c r="I4997" s="12" t="inlineStr">
        <is>
          <t>LV 600 V</t>
        </is>
      </c>
      <c r="J4997" s="12" t="inlineStr">
        <is>
          <t>Type TC-ER 600 V 3/C Cu XHHW-2 + ground, PVC jacket</t>
        </is>
      </c>
      <c r="K4997" s="12" t="inlineStr">
        <is>
          <t>LV|3/C+G|1</t>
        </is>
      </c>
      <c r="L4997" s="12" t="inlineStr">
        <is>
          <t>3/C+G</t>
        </is>
      </c>
      <c r="M4997" s="12" t="inlineStr">
        <is>
          <t>1</t>
        </is>
      </c>
      <c r="N4997" s="12" t="n">
        <v>1</v>
      </c>
      <c r="O4997" s="12" t="n">
        <v>1</v>
      </c>
      <c r="P4997" s="12" t="n">
        <v>480</v>
      </c>
      <c r="Q4997" s="12" t="n">
        <v>60</v>
      </c>
      <c r="R4997" s="12" t="n">
        <v>76</v>
      </c>
      <c r="S4997" s="12" t="inlineStr">
        <is>
          <t>Duct bank</t>
        </is>
      </c>
      <c r="T4997" s="17" t="n">
        <v>550</v>
      </c>
      <c r="U4997" s="17" t="n">
        <v>81</v>
      </c>
      <c r="V4997" s="17">
        <f>ROUNDUP((T4997+U4997+2*'Read Me'!$B$13)*(1+'Read Me'!$B$12),-1)</f>
        <v/>
      </c>
      <c r="W4997" s="17">
        <f>V4997*N4997*O4997</f>
        <v/>
      </c>
      <c r="X4997" s="12">
        <f>IF(LEFT(I4997,2)="MV",2*N4997*IF(L4997="1/C",O4997,1),0)</f>
        <v/>
      </c>
      <c r="Y4997" s="12">
        <f>IF(OR(LEFT(K4997,4)="LVAX",LEFT(K4997,6)="MV15AX",LEFT(K4997,4)="CTAX",LEFT(K4997,2)="W|"),2*N4997*O4997,0)</f>
        <v/>
      </c>
      <c r="Z4997" s="12" t="inlineStr">
        <is>
          <t>VD 2.9 %</t>
        </is>
      </c>
      <c r="AA4997" s="12">
        <f>N4997*O4997</f>
        <v/>
      </c>
    </row>
    <row r="4998">
      <c r="A4998" s="12" t="inlineStr">
        <is>
          <t>I-P-0118</t>
        </is>
      </c>
      <c r="B4998" s="12" t="inlineStr">
        <is>
          <t>I</t>
        </is>
      </c>
      <c r="C4998" s="12" t="inlineStr">
        <is>
          <t>Modular / portable power</t>
        </is>
      </c>
      <c r="D4998" s="12" t="inlineStr">
        <is>
          <t>480 V welding receptacle 4</t>
        </is>
      </c>
      <c r="E4998" s="12" t="inlineStr"/>
      <c r="F4998" s="12" t="inlineStr">
        <is>
          <t>PCM: power control module</t>
        </is>
      </c>
      <c r="G4998" s="12" t="inlineStr">
        <is>
          <t>RICE-3</t>
        </is>
      </c>
      <c r="H4998" s="12" t="inlineStr">
        <is>
          <t>RICE engine-generator 3</t>
        </is>
      </c>
      <c r="I4998" s="12" t="inlineStr">
        <is>
          <t>LV 600 V</t>
        </is>
      </c>
      <c r="J4998" s="12" t="inlineStr">
        <is>
          <t>Type TC-ER 600 V 3/C Cu XHHW-2 + ground, PVC jacket</t>
        </is>
      </c>
      <c r="K4998" s="12" t="inlineStr">
        <is>
          <t>LV|3/C+G|1</t>
        </is>
      </c>
      <c r="L4998" s="12" t="inlineStr">
        <is>
          <t>3/C+G</t>
        </is>
      </c>
      <c r="M4998" s="12" t="inlineStr">
        <is>
          <t>1</t>
        </is>
      </c>
      <c r="N4998" s="12" t="n">
        <v>1</v>
      </c>
      <c r="O4998" s="12" t="n">
        <v>1</v>
      </c>
      <c r="P4998" s="12" t="n">
        <v>480</v>
      </c>
      <c r="Q4998" s="12" t="n">
        <v>60</v>
      </c>
      <c r="R4998" s="12" t="n">
        <v>76</v>
      </c>
      <c r="S4998" s="12" t="inlineStr">
        <is>
          <t>Duct bank</t>
        </is>
      </c>
      <c r="T4998" s="17" t="n">
        <v>550</v>
      </c>
      <c r="U4998" s="17" t="n">
        <v>81</v>
      </c>
      <c r="V4998" s="17">
        <f>ROUNDUP((T4998+U4998+2*'Read Me'!$B$13)*(1+'Read Me'!$B$12),-1)</f>
        <v/>
      </c>
      <c r="W4998" s="17">
        <f>V4998*N4998*O4998</f>
        <v/>
      </c>
      <c r="X4998" s="12">
        <f>IF(LEFT(I4998,2)="MV",2*N4998*IF(L4998="1/C",O4998,1),0)</f>
        <v/>
      </c>
      <c r="Y4998" s="12">
        <f>IF(OR(LEFT(K4998,4)="LVAX",LEFT(K4998,6)="MV15AX",LEFT(K4998,4)="CTAX",LEFT(K4998,2)="W|"),2*N4998*O4998,0)</f>
        <v/>
      </c>
      <c r="Z4998" s="12" t="inlineStr">
        <is>
          <t>VD 2.9 %</t>
        </is>
      </c>
      <c r="AA4998" s="12">
        <f>N4998*O4998</f>
        <v/>
      </c>
    </row>
    <row r="4999">
      <c r="A4999" s="12" t="inlineStr">
        <is>
          <t>I-P-0119</t>
        </is>
      </c>
      <c r="B4999" s="12" t="inlineStr">
        <is>
          <t>I</t>
        </is>
      </c>
      <c r="C4999" s="12" t="inlineStr">
        <is>
          <t>Modular / portable power</t>
        </is>
      </c>
      <c r="D4999" s="12" t="inlineStr">
        <is>
          <t>Motor 1 of 6, 22 kW</t>
        </is>
      </c>
      <c r="E4999" s="12" t="inlineStr"/>
      <c r="F4999" s="12" t="inlineStr">
        <is>
          <t>PCM: power control module</t>
        </is>
      </c>
      <c r="G4999" s="12" t="inlineStr">
        <is>
          <t>RICE-4</t>
        </is>
      </c>
      <c r="H4999" s="12" t="inlineStr">
        <is>
          <t>RICE engine-generator 4</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7" t="n">
        <v>550</v>
      </c>
      <c r="U4999" s="17" t="n">
        <v>53</v>
      </c>
      <c r="V4999" s="17">
        <f>ROUNDUP((T4999+U4999+2*'Read Me'!$B$13)*(1+'Read Me'!$B$12),-1)</f>
        <v/>
      </c>
      <c r="W4999" s="17">
        <f>V4999*N4999*O4999</f>
        <v/>
      </c>
      <c r="X4999" s="12">
        <f>IF(LEFT(I4999,2)="MV",2*N4999*IF(L4999="1/C",O4999,1),0)</f>
        <v/>
      </c>
      <c r="Y4999" s="12">
        <f>IF(OR(LEFT(K4999,4)="LVAX",LEFT(K4999,6)="MV15AX",LEFT(K4999,4)="CTAX",LEFT(K4999,2)="W|"),2*N4999*O4999,0)</f>
        <v/>
      </c>
      <c r="Z4999" s="12" t="inlineStr">
        <is>
          <t>VD 2.3 %</t>
        </is>
      </c>
      <c r="AA4999" s="12">
        <f>N4999*O4999</f>
        <v/>
      </c>
    </row>
    <row r="5000">
      <c r="A5000" s="12" t="inlineStr">
        <is>
          <t>I-P-0120</t>
        </is>
      </c>
      <c r="B5000" s="12" t="inlineStr">
        <is>
          <t>I</t>
        </is>
      </c>
      <c r="C5000" s="12" t="inlineStr">
        <is>
          <t>Modular / portable power</t>
        </is>
      </c>
      <c r="D5000" s="12" t="inlineStr">
        <is>
          <t>Motor 2 of 6, 22 kW</t>
        </is>
      </c>
      <c r="E5000" s="12" t="inlineStr"/>
      <c r="F5000" s="12" t="inlineStr">
        <is>
          <t>PCM: power control module</t>
        </is>
      </c>
      <c r="G5000" s="12" t="inlineStr">
        <is>
          <t>RICE-4</t>
        </is>
      </c>
      <c r="H5000" s="12" t="inlineStr">
        <is>
          <t>RICE engine-generator 4</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7" t="n">
        <v>550</v>
      </c>
      <c r="U5000" s="17" t="n">
        <v>53</v>
      </c>
      <c r="V5000" s="17">
        <f>ROUNDUP((T5000+U5000+2*'Read Me'!$B$13)*(1+'Read Me'!$B$12),-1)</f>
        <v/>
      </c>
      <c r="W5000" s="17">
        <f>V5000*N5000*O5000</f>
        <v/>
      </c>
      <c r="X5000" s="12">
        <f>IF(LEFT(I5000,2)="MV",2*N5000*IF(L5000="1/C",O5000,1),0)</f>
        <v/>
      </c>
      <c r="Y5000" s="12">
        <f>IF(OR(LEFT(K5000,4)="LVAX",LEFT(K5000,6)="MV15AX",LEFT(K5000,4)="CTAX",LEFT(K5000,2)="W|"),2*N5000*O5000,0)</f>
        <v/>
      </c>
      <c r="Z5000" s="12" t="inlineStr">
        <is>
          <t>VD 2.3 %</t>
        </is>
      </c>
      <c r="AA5000" s="12">
        <f>N5000*O5000</f>
        <v/>
      </c>
    </row>
    <row r="5001">
      <c r="A5001" s="12" t="inlineStr">
        <is>
          <t>I-P-0121</t>
        </is>
      </c>
      <c r="B5001" s="12" t="inlineStr">
        <is>
          <t>I</t>
        </is>
      </c>
      <c r="C5001" s="12" t="inlineStr">
        <is>
          <t>Modular / portable power</t>
        </is>
      </c>
      <c r="D5001" s="12" t="inlineStr">
        <is>
          <t>Motor 3 of 6, 22 kW</t>
        </is>
      </c>
      <c r="E5001" s="12" t="inlineStr"/>
      <c r="F5001" s="12" t="inlineStr">
        <is>
          <t>PCM: power control module</t>
        </is>
      </c>
      <c r="G5001" s="12" t="inlineStr">
        <is>
          <t>RICE-4</t>
        </is>
      </c>
      <c r="H5001" s="12" t="inlineStr">
        <is>
          <t>RICE engine-generator 4</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7" t="n">
        <v>550</v>
      </c>
      <c r="U5001" s="17" t="n">
        <v>53</v>
      </c>
      <c r="V5001" s="17">
        <f>ROUNDUP((T5001+U5001+2*'Read Me'!$B$13)*(1+'Read Me'!$B$12),-1)</f>
        <v/>
      </c>
      <c r="W5001" s="17">
        <f>V5001*N5001*O5001</f>
        <v/>
      </c>
      <c r="X5001" s="12">
        <f>IF(LEFT(I5001,2)="MV",2*N5001*IF(L5001="1/C",O5001,1),0)</f>
        <v/>
      </c>
      <c r="Y5001" s="12">
        <f>IF(OR(LEFT(K5001,4)="LVAX",LEFT(K5001,6)="MV15AX",LEFT(K5001,4)="CTAX",LEFT(K5001,2)="W|"),2*N5001*O5001,0)</f>
        <v/>
      </c>
      <c r="Z5001" s="12" t="inlineStr">
        <is>
          <t>VD 2.3 %</t>
        </is>
      </c>
      <c r="AA5001" s="12">
        <f>N5001*O5001</f>
        <v/>
      </c>
    </row>
    <row r="5002">
      <c r="A5002" s="12" t="inlineStr">
        <is>
          <t>I-P-0122</t>
        </is>
      </c>
      <c r="B5002" s="12" t="inlineStr">
        <is>
          <t>I</t>
        </is>
      </c>
      <c r="C5002" s="12" t="inlineStr">
        <is>
          <t>Modular / portable power</t>
        </is>
      </c>
      <c r="D5002" s="12" t="inlineStr">
        <is>
          <t>Motor 4 of 6, 22 kW</t>
        </is>
      </c>
      <c r="E5002" s="12" t="inlineStr"/>
      <c r="F5002" s="12" t="inlineStr">
        <is>
          <t>PCM: power control module</t>
        </is>
      </c>
      <c r="G5002" s="12" t="inlineStr">
        <is>
          <t>RICE-4</t>
        </is>
      </c>
      <c r="H5002" s="12" t="inlineStr">
        <is>
          <t>RICE engine-generator 4</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7" t="n">
        <v>550</v>
      </c>
      <c r="U5002" s="17" t="n">
        <v>53</v>
      </c>
      <c r="V5002" s="17">
        <f>ROUNDUP((T5002+U5002+2*'Read Me'!$B$13)*(1+'Read Me'!$B$12),-1)</f>
        <v/>
      </c>
      <c r="W5002" s="17">
        <f>V5002*N5002*O5002</f>
        <v/>
      </c>
      <c r="X5002" s="12">
        <f>IF(LEFT(I5002,2)="MV",2*N5002*IF(L5002="1/C",O5002,1),0)</f>
        <v/>
      </c>
      <c r="Y5002" s="12">
        <f>IF(OR(LEFT(K5002,4)="LVAX",LEFT(K5002,6)="MV15AX",LEFT(K5002,4)="CTAX",LEFT(K5002,2)="W|"),2*N5002*O5002,0)</f>
        <v/>
      </c>
      <c r="Z5002" s="12" t="inlineStr">
        <is>
          <t>VD 2.3 %</t>
        </is>
      </c>
      <c r="AA5002" s="12">
        <f>N5002*O5002</f>
        <v/>
      </c>
    </row>
    <row r="5003">
      <c r="A5003" s="12" t="inlineStr">
        <is>
          <t>I-P-0123</t>
        </is>
      </c>
      <c r="B5003" s="12" t="inlineStr">
        <is>
          <t>I</t>
        </is>
      </c>
      <c r="C5003" s="12" t="inlineStr">
        <is>
          <t>Modular / portable power</t>
        </is>
      </c>
      <c r="D5003" s="12" t="inlineStr">
        <is>
          <t>Motor 5 of 6, 22 kW</t>
        </is>
      </c>
      <c r="E5003" s="12" t="inlineStr"/>
      <c r="F5003" s="12" t="inlineStr">
        <is>
          <t>PCM: power control module</t>
        </is>
      </c>
      <c r="G5003" s="12" t="inlineStr">
        <is>
          <t>RICE-4</t>
        </is>
      </c>
      <c r="H5003" s="12" t="inlineStr">
        <is>
          <t>RICE engine-generator 4</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7" t="n">
        <v>550</v>
      </c>
      <c r="U5003" s="17" t="n">
        <v>53</v>
      </c>
      <c r="V5003" s="17">
        <f>ROUNDUP((T5003+U5003+2*'Read Me'!$B$13)*(1+'Read Me'!$B$12),-1)</f>
        <v/>
      </c>
      <c r="W5003" s="17">
        <f>V5003*N5003*O5003</f>
        <v/>
      </c>
      <c r="X5003" s="12">
        <f>IF(LEFT(I5003,2)="MV",2*N5003*IF(L5003="1/C",O5003,1),0)</f>
        <v/>
      </c>
      <c r="Y5003" s="12">
        <f>IF(OR(LEFT(K5003,4)="LVAX",LEFT(K5003,6)="MV15AX",LEFT(K5003,4)="CTAX",LEFT(K5003,2)="W|"),2*N5003*O5003,0)</f>
        <v/>
      </c>
      <c r="Z5003" s="12" t="inlineStr">
        <is>
          <t>VD 2.3 %</t>
        </is>
      </c>
      <c r="AA5003" s="12">
        <f>N5003*O5003</f>
        <v/>
      </c>
    </row>
    <row r="5004">
      <c r="A5004" s="12" t="inlineStr">
        <is>
          <t>I-P-0124</t>
        </is>
      </c>
      <c r="B5004" s="12" t="inlineStr">
        <is>
          <t>I</t>
        </is>
      </c>
      <c r="C5004" s="12" t="inlineStr">
        <is>
          <t>Modular / portable power</t>
        </is>
      </c>
      <c r="D5004" s="12" t="inlineStr">
        <is>
          <t>Motor 6 of 6, 22 kW</t>
        </is>
      </c>
      <c r="E5004" s="12" t="inlineStr"/>
      <c r="F5004" s="12" t="inlineStr">
        <is>
          <t>PCM: power control module</t>
        </is>
      </c>
      <c r="G5004" s="12" t="inlineStr">
        <is>
          <t>RICE-4</t>
        </is>
      </c>
      <c r="H5004" s="12" t="inlineStr">
        <is>
          <t>RICE engine-generator 4</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7" t="n">
        <v>550</v>
      </c>
      <c r="U5004" s="17" t="n">
        <v>53</v>
      </c>
      <c r="V5004" s="17">
        <f>ROUNDUP((T5004+U5004+2*'Read Me'!$B$13)*(1+'Read Me'!$B$12),-1)</f>
        <v/>
      </c>
      <c r="W5004" s="17">
        <f>V5004*N5004*O5004</f>
        <v/>
      </c>
      <c r="X5004" s="12">
        <f>IF(LEFT(I5004,2)="MV",2*N5004*IF(L5004="1/C",O5004,1),0)</f>
        <v/>
      </c>
      <c r="Y5004" s="12">
        <f>IF(OR(LEFT(K5004,4)="LVAX",LEFT(K5004,6)="MV15AX",LEFT(K5004,4)="CTAX",LEFT(K5004,2)="W|"),2*N5004*O5004,0)</f>
        <v/>
      </c>
      <c r="Z5004" s="12" t="inlineStr">
        <is>
          <t>VD 2.3 %</t>
        </is>
      </c>
      <c r="AA5004" s="12">
        <f>N5004*O5004</f>
        <v/>
      </c>
    </row>
    <row r="5005">
      <c r="A5005" s="12" t="inlineStr">
        <is>
          <t>I-P-0125</t>
        </is>
      </c>
      <c r="B5005" s="12" t="inlineStr">
        <is>
          <t>I</t>
        </is>
      </c>
      <c r="C5005" s="12" t="inlineStr">
        <is>
          <t>Modular / portable power</t>
        </is>
      </c>
      <c r="D5005" s="12" t="inlineStr">
        <is>
          <t>480 V welding receptacle 1</t>
        </is>
      </c>
      <c r="E5005" s="12" t="inlineStr"/>
      <c r="F5005" s="12" t="inlineStr">
        <is>
          <t>PCM: power control module</t>
        </is>
      </c>
      <c r="G5005" s="12" t="inlineStr">
        <is>
          <t>RICE-4</t>
        </is>
      </c>
      <c r="H5005" s="12" t="inlineStr">
        <is>
          <t>RICE engine-generator 4</t>
        </is>
      </c>
      <c r="I5005" s="12" t="inlineStr">
        <is>
          <t>LV 600 V</t>
        </is>
      </c>
      <c r="J5005" s="12" t="inlineStr">
        <is>
          <t>Type TC-ER 600 V 3/C Cu XHHW-2 + ground, PVC jacket</t>
        </is>
      </c>
      <c r="K5005" s="12" t="inlineStr">
        <is>
          <t>LV|3/C+G|1</t>
        </is>
      </c>
      <c r="L5005" s="12" t="inlineStr">
        <is>
          <t>3/C+G</t>
        </is>
      </c>
      <c r="M5005" s="12" t="inlineStr">
        <is>
          <t>1</t>
        </is>
      </c>
      <c r="N5005" s="12" t="n">
        <v>1</v>
      </c>
      <c r="O5005" s="12" t="n">
        <v>1</v>
      </c>
      <c r="P5005" s="12" t="n">
        <v>480</v>
      </c>
      <c r="Q5005" s="12" t="n">
        <v>60</v>
      </c>
      <c r="R5005" s="12" t="n">
        <v>76</v>
      </c>
      <c r="S5005" s="12" t="inlineStr">
        <is>
          <t>Duct bank</t>
        </is>
      </c>
      <c r="T5005" s="17" t="n">
        <v>550</v>
      </c>
      <c r="U5005" s="17" t="n">
        <v>53</v>
      </c>
      <c r="V5005" s="17">
        <f>ROUNDUP((T5005+U5005+2*'Read Me'!$B$13)*(1+'Read Me'!$B$12),-1)</f>
        <v/>
      </c>
      <c r="W5005" s="17">
        <f>V5005*N5005*O5005</f>
        <v/>
      </c>
      <c r="X5005" s="12">
        <f>IF(LEFT(I5005,2)="MV",2*N5005*IF(L5005="1/C",O5005,1),0)</f>
        <v/>
      </c>
      <c r="Y5005" s="12">
        <f>IF(OR(LEFT(K5005,4)="LVAX",LEFT(K5005,6)="MV15AX",LEFT(K5005,4)="CTAX",LEFT(K5005,2)="W|"),2*N5005*O5005,0)</f>
        <v/>
      </c>
      <c r="Z5005" s="12" t="inlineStr">
        <is>
          <t>VD 2.8 %</t>
        </is>
      </c>
      <c r="AA5005" s="12">
        <f>N5005*O5005</f>
        <v/>
      </c>
    </row>
    <row r="5006">
      <c r="A5006" s="12" t="inlineStr">
        <is>
          <t>I-P-0126</t>
        </is>
      </c>
      <c r="B5006" s="12" t="inlineStr">
        <is>
          <t>I</t>
        </is>
      </c>
      <c r="C5006" s="12" t="inlineStr">
        <is>
          <t>Modular / portable power</t>
        </is>
      </c>
      <c r="D5006" s="12" t="inlineStr">
        <is>
          <t>480 V welding receptacle 2</t>
        </is>
      </c>
      <c r="E5006" s="12" t="inlineStr"/>
      <c r="F5006" s="12" t="inlineStr">
        <is>
          <t>PCM: power control module</t>
        </is>
      </c>
      <c r="G5006" s="12" t="inlineStr">
        <is>
          <t>RICE-4</t>
        </is>
      </c>
      <c r="H5006" s="12" t="inlineStr">
        <is>
          <t>RICE engine-generator 4</t>
        </is>
      </c>
      <c r="I5006" s="12" t="inlineStr">
        <is>
          <t>LV 600 V</t>
        </is>
      </c>
      <c r="J5006" s="12" t="inlineStr">
        <is>
          <t>Type TC-ER 600 V 3/C Cu XHHW-2 + ground, PVC jacket</t>
        </is>
      </c>
      <c r="K5006" s="12" t="inlineStr">
        <is>
          <t>LV|3/C+G|1</t>
        </is>
      </c>
      <c r="L5006" s="12" t="inlineStr">
        <is>
          <t>3/C+G</t>
        </is>
      </c>
      <c r="M5006" s="12" t="inlineStr">
        <is>
          <t>1</t>
        </is>
      </c>
      <c r="N5006" s="12" t="n">
        <v>1</v>
      </c>
      <c r="O5006" s="12" t="n">
        <v>1</v>
      </c>
      <c r="P5006" s="12" t="n">
        <v>480</v>
      </c>
      <c r="Q5006" s="12" t="n">
        <v>60</v>
      </c>
      <c r="R5006" s="12" t="n">
        <v>76</v>
      </c>
      <c r="S5006" s="12" t="inlineStr">
        <is>
          <t>Duct bank</t>
        </is>
      </c>
      <c r="T5006" s="17" t="n">
        <v>550</v>
      </c>
      <c r="U5006" s="17" t="n">
        <v>53</v>
      </c>
      <c r="V5006" s="17">
        <f>ROUNDUP((T5006+U5006+2*'Read Me'!$B$13)*(1+'Read Me'!$B$12),-1)</f>
        <v/>
      </c>
      <c r="W5006" s="17">
        <f>V5006*N5006*O5006</f>
        <v/>
      </c>
      <c r="X5006" s="12">
        <f>IF(LEFT(I5006,2)="MV",2*N5006*IF(L5006="1/C",O5006,1),0)</f>
        <v/>
      </c>
      <c r="Y5006" s="12">
        <f>IF(OR(LEFT(K5006,4)="LVAX",LEFT(K5006,6)="MV15AX",LEFT(K5006,4)="CTAX",LEFT(K5006,2)="W|"),2*N5006*O5006,0)</f>
        <v/>
      </c>
      <c r="Z5006" s="12" t="inlineStr">
        <is>
          <t>VD 2.8 %</t>
        </is>
      </c>
      <c r="AA5006" s="12">
        <f>N5006*O5006</f>
        <v/>
      </c>
    </row>
    <row r="5007">
      <c r="A5007" s="12" t="inlineStr">
        <is>
          <t>I-P-0127</t>
        </is>
      </c>
      <c r="B5007" s="12" t="inlineStr">
        <is>
          <t>I</t>
        </is>
      </c>
      <c r="C5007" s="12" t="inlineStr">
        <is>
          <t>Modular / portable power</t>
        </is>
      </c>
      <c r="D5007" s="12" t="inlineStr">
        <is>
          <t>480 V welding receptacle 3</t>
        </is>
      </c>
      <c r="E5007" s="12" t="inlineStr"/>
      <c r="F5007" s="12" t="inlineStr">
        <is>
          <t>PCM: power control module</t>
        </is>
      </c>
      <c r="G5007" s="12" t="inlineStr">
        <is>
          <t>RICE-4</t>
        </is>
      </c>
      <c r="H5007" s="12" t="inlineStr">
        <is>
          <t>RICE engine-generator 4</t>
        </is>
      </c>
      <c r="I5007" s="12" t="inlineStr">
        <is>
          <t>LV 600 V</t>
        </is>
      </c>
      <c r="J5007" s="12" t="inlineStr">
        <is>
          <t>Type TC-ER 600 V 3/C Cu XHHW-2 + ground, PVC jacket</t>
        </is>
      </c>
      <c r="K5007" s="12" t="inlineStr">
        <is>
          <t>LV|3/C+G|1</t>
        </is>
      </c>
      <c r="L5007" s="12" t="inlineStr">
        <is>
          <t>3/C+G</t>
        </is>
      </c>
      <c r="M5007" s="12" t="inlineStr">
        <is>
          <t>1</t>
        </is>
      </c>
      <c r="N5007" s="12" t="n">
        <v>1</v>
      </c>
      <c r="O5007" s="12" t="n">
        <v>1</v>
      </c>
      <c r="P5007" s="12" t="n">
        <v>480</v>
      </c>
      <c r="Q5007" s="12" t="n">
        <v>60</v>
      </c>
      <c r="R5007" s="12" t="n">
        <v>76</v>
      </c>
      <c r="S5007" s="12" t="inlineStr">
        <is>
          <t>Duct bank</t>
        </is>
      </c>
      <c r="T5007" s="17" t="n">
        <v>550</v>
      </c>
      <c r="U5007" s="17" t="n">
        <v>53</v>
      </c>
      <c r="V5007" s="17">
        <f>ROUNDUP((T5007+U5007+2*'Read Me'!$B$13)*(1+'Read Me'!$B$12),-1)</f>
        <v/>
      </c>
      <c r="W5007" s="17">
        <f>V5007*N5007*O5007</f>
        <v/>
      </c>
      <c r="X5007" s="12">
        <f>IF(LEFT(I5007,2)="MV",2*N5007*IF(L5007="1/C",O5007,1),0)</f>
        <v/>
      </c>
      <c r="Y5007" s="12">
        <f>IF(OR(LEFT(K5007,4)="LVAX",LEFT(K5007,6)="MV15AX",LEFT(K5007,4)="CTAX",LEFT(K5007,2)="W|"),2*N5007*O5007,0)</f>
        <v/>
      </c>
      <c r="Z5007" s="12" t="inlineStr">
        <is>
          <t>VD 2.8 %</t>
        </is>
      </c>
      <c r="AA5007" s="12">
        <f>N5007*O5007</f>
        <v/>
      </c>
    </row>
    <row r="5008">
      <c r="A5008" s="12" t="inlineStr">
        <is>
          <t>I-P-0128</t>
        </is>
      </c>
      <c r="B5008" s="12" t="inlineStr">
        <is>
          <t>I</t>
        </is>
      </c>
      <c r="C5008" s="12" t="inlineStr">
        <is>
          <t>Modular / portable power</t>
        </is>
      </c>
      <c r="D5008" s="12" t="inlineStr">
        <is>
          <t>480 V welding receptacle 4</t>
        </is>
      </c>
      <c r="E5008" s="12" t="inlineStr"/>
      <c r="F5008" s="12" t="inlineStr">
        <is>
          <t>PCM: power control module</t>
        </is>
      </c>
      <c r="G5008" s="12" t="inlineStr">
        <is>
          <t>RICE-4</t>
        </is>
      </c>
      <c r="H5008" s="12" t="inlineStr">
        <is>
          <t>RICE engine-generator 4</t>
        </is>
      </c>
      <c r="I5008" s="12" t="inlineStr">
        <is>
          <t>LV 600 V</t>
        </is>
      </c>
      <c r="J5008" s="12" t="inlineStr">
        <is>
          <t>Type TC-ER 600 V 3/C Cu XHHW-2 + ground, PVC jacket</t>
        </is>
      </c>
      <c r="K5008" s="12" t="inlineStr">
        <is>
          <t>LV|3/C+G|1</t>
        </is>
      </c>
      <c r="L5008" s="12" t="inlineStr">
        <is>
          <t>3/C+G</t>
        </is>
      </c>
      <c r="M5008" s="12" t="inlineStr">
        <is>
          <t>1</t>
        </is>
      </c>
      <c r="N5008" s="12" t="n">
        <v>1</v>
      </c>
      <c r="O5008" s="12" t="n">
        <v>1</v>
      </c>
      <c r="P5008" s="12" t="n">
        <v>480</v>
      </c>
      <c r="Q5008" s="12" t="n">
        <v>60</v>
      </c>
      <c r="R5008" s="12" t="n">
        <v>76</v>
      </c>
      <c r="S5008" s="12" t="inlineStr">
        <is>
          <t>Duct bank</t>
        </is>
      </c>
      <c r="T5008" s="17" t="n">
        <v>550</v>
      </c>
      <c r="U5008" s="17" t="n">
        <v>53</v>
      </c>
      <c r="V5008" s="17">
        <f>ROUNDUP((T5008+U5008+2*'Read Me'!$B$13)*(1+'Read Me'!$B$12),-1)</f>
        <v/>
      </c>
      <c r="W5008" s="17">
        <f>V5008*N5008*O5008</f>
        <v/>
      </c>
      <c r="X5008" s="12">
        <f>IF(LEFT(I5008,2)="MV",2*N5008*IF(L5008="1/C",O5008,1),0)</f>
        <v/>
      </c>
      <c r="Y5008" s="12">
        <f>IF(OR(LEFT(K5008,4)="LVAX",LEFT(K5008,6)="MV15AX",LEFT(K5008,4)="CTAX",LEFT(K5008,2)="W|"),2*N5008*O5008,0)</f>
        <v/>
      </c>
      <c r="Z5008" s="12" t="inlineStr">
        <is>
          <t>VD 2.8 %</t>
        </is>
      </c>
      <c r="AA5008" s="12">
        <f>N5008*O5008</f>
        <v/>
      </c>
    </row>
    <row r="5009">
      <c r="A5009" s="12" t="inlineStr">
        <is>
          <t>I-P-0129</t>
        </is>
      </c>
      <c r="B5009" s="12" t="inlineStr">
        <is>
          <t>I</t>
        </is>
      </c>
      <c r="C5009" s="12" t="inlineStr">
        <is>
          <t>Modular / portable power</t>
        </is>
      </c>
      <c r="D5009" s="12" t="inlineStr">
        <is>
          <t>Motor 1 of 6, 22 kW</t>
        </is>
      </c>
      <c r="E5009" s="12" t="inlineStr"/>
      <c r="F5009" s="12" t="inlineStr">
        <is>
          <t>PCM: power control module</t>
        </is>
      </c>
      <c r="G5009" s="12" t="inlineStr">
        <is>
          <t>RICE-5</t>
        </is>
      </c>
      <c r="H5009" s="12" t="inlineStr">
        <is>
          <t>RICE engine-generator 5</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7" t="n">
        <v>367</v>
      </c>
      <c r="U5009" s="17" t="n">
        <v>208</v>
      </c>
      <c r="V5009" s="17">
        <f>ROUNDUP((T5009+U5009+2*'Read Me'!$B$13)*(1+'Read Me'!$B$12),-1)</f>
        <v/>
      </c>
      <c r="W5009" s="17">
        <f>V5009*N5009*O5009</f>
        <v/>
      </c>
      <c r="X5009" s="12">
        <f>IF(LEFT(I5009,2)="MV",2*N5009*IF(L5009="1/C",O5009,1),0)</f>
        <v/>
      </c>
      <c r="Y5009" s="12">
        <f>IF(OR(LEFT(K5009,4)="LVAX",LEFT(K5009,6)="MV15AX",LEFT(K5009,4)="CTAX",LEFT(K5009,2)="W|"),2*N5009*O5009,0)</f>
        <v/>
      </c>
      <c r="Z5009" s="12" t="inlineStr">
        <is>
          <t>VD 2.2 %</t>
        </is>
      </c>
      <c r="AA5009" s="12">
        <f>N5009*O5009</f>
        <v/>
      </c>
    </row>
    <row r="5010">
      <c r="A5010" s="12" t="inlineStr">
        <is>
          <t>I-P-0130</t>
        </is>
      </c>
      <c r="B5010" s="12" t="inlineStr">
        <is>
          <t>I</t>
        </is>
      </c>
      <c r="C5010" s="12" t="inlineStr">
        <is>
          <t>Modular / portable power</t>
        </is>
      </c>
      <c r="D5010" s="12" t="inlineStr">
        <is>
          <t>Motor 2 of 6, 22 kW</t>
        </is>
      </c>
      <c r="E5010" s="12" t="inlineStr"/>
      <c r="F5010" s="12" t="inlineStr">
        <is>
          <t>PCM: power control module</t>
        </is>
      </c>
      <c r="G5010" s="12" t="inlineStr">
        <is>
          <t>RICE-5</t>
        </is>
      </c>
      <c r="H5010" s="12" t="inlineStr">
        <is>
          <t>RICE engine-generator 5</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7" t="n">
        <v>367</v>
      </c>
      <c r="U5010" s="17" t="n">
        <v>208</v>
      </c>
      <c r="V5010" s="17">
        <f>ROUNDUP((T5010+U5010+2*'Read Me'!$B$13)*(1+'Read Me'!$B$12),-1)</f>
        <v/>
      </c>
      <c r="W5010" s="17">
        <f>V5010*N5010*O5010</f>
        <v/>
      </c>
      <c r="X5010" s="12">
        <f>IF(LEFT(I5010,2)="MV",2*N5010*IF(L5010="1/C",O5010,1),0)</f>
        <v/>
      </c>
      <c r="Y5010" s="12">
        <f>IF(OR(LEFT(K5010,4)="LVAX",LEFT(K5010,6)="MV15AX",LEFT(K5010,4)="CTAX",LEFT(K5010,2)="W|"),2*N5010*O5010,0)</f>
        <v/>
      </c>
      <c r="Z5010" s="12" t="inlineStr">
        <is>
          <t>VD 2.2 %</t>
        </is>
      </c>
      <c r="AA5010" s="12">
        <f>N5010*O5010</f>
        <v/>
      </c>
    </row>
    <row r="5011">
      <c r="A5011" s="12" t="inlineStr">
        <is>
          <t>I-P-0131</t>
        </is>
      </c>
      <c r="B5011" s="12" t="inlineStr">
        <is>
          <t>I</t>
        </is>
      </c>
      <c r="C5011" s="12" t="inlineStr">
        <is>
          <t>Modular / portable power</t>
        </is>
      </c>
      <c r="D5011" s="12" t="inlineStr">
        <is>
          <t>Motor 3 of 6, 22 kW</t>
        </is>
      </c>
      <c r="E5011" s="12" t="inlineStr"/>
      <c r="F5011" s="12" t="inlineStr">
        <is>
          <t>PCM: power control module</t>
        </is>
      </c>
      <c r="G5011" s="12" t="inlineStr">
        <is>
          <t>RICE-5</t>
        </is>
      </c>
      <c r="H5011" s="12" t="inlineStr">
        <is>
          <t>RICE engine-generator 5</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7" t="n">
        <v>367</v>
      </c>
      <c r="U5011" s="17" t="n">
        <v>208</v>
      </c>
      <c r="V5011" s="17">
        <f>ROUNDUP((T5011+U5011+2*'Read Me'!$B$13)*(1+'Read Me'!$B$12),-1)</f>
        <v/>
      </c>
      <c r="W5011" s="17">
        <f>V5011*N5011*O5011</f>
        <v/>
      </c>
      <c r="X5011" s="12">
        <f>IF(LEFT(I5011,2)="MV",2*N5011*IF(L5011="1/C",O5011,1),0)</f>
        <v/>
      </c>
      <c r="Y5011" s="12">
        <f>IF(OR(LEFT(K5011,4)="LVAX",LEFT(K5011,6)="MV15AX",LEFT(K5011,4)="CTAX",LEFT(K5011,2)="W|"),2*N5011*O5011,0)</f>
        <v/>
      </c>
      <c r="Z5011" s="12" t="inlineStr">
        <is>
          <t>VD 2.2 %</t>
        </is>
      </c>
      <c r="AA5011" s="12">
        <f>N5011*O5011</f>
        <v/>
      </c>
    </row>
    <row r="5012">
      <c r="A5012" s="12" t="inlineStr">
        <is>
          <t>I-P-0132</t>
        </is>
      </c>
      <c r="B5012" s="12" t="inlineStr">
        <is>
          <t>I</t>
        </is>
      </c>
      <c r="C5012" s="12" t="inlineStr">
        <is>
          <t>Modular / portable power</t>
        </is>
      </c>
      <c r="D5012" s="12" t="inlineStr">
        <is>
          <t>Motor 4 of 6, 22 kW</t>
        </is>
      </c>
      <c r="E5012" s="12" t="inlineStr"/>
      <c r="F5012" s="12" t="inlineStr">
        <is>
          <t>PCM: power control module</t>
        </is>
      </c>
      <c r="G5012" s="12" t="inlineStr">
        <is>
          <t>RICE-5</t>
        </is>
      </c>
      <c r="H5012" s="12" t="inlineStr">
        <is>
          <t>RICE engine-generator 5</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7" t="n">
        <v>367</v>
      </c>
      <c r="U5012" s="17" t="n">
        <v>208</v>
      </c>
      <c r="V5012" s="17">
        <f>ROUNDUP((T5012+U5012+2*'Read Me'!$B$13)*(1+'Read Me'!$B$12),-1)</f>
        <v/>
      </c>
      <c r="W5012" s="17">
        <f>V5012*N5012*O5012</f>
        <v/>
      </c>
      <c r="X5012" s="12">
        <f>IF(LEFT(I5012,2)="MV",2*N5012*IF(L5012="1/C",O5012,1),0)</f>
        <v/>
      </c>
      <c r="Y5012" s="12">
        <f>IF(OR(LEFT(K5012,4)="LVAX",LEFT(K5012,6)="MV15AX",LEFT(K5012,4)="CTAX",LEFT(K5012,2)="W|"),2*N5012*O5012,0)</f>
        <v/>
      </c>
      <c r="Z5012" s="12" t="inlineStr">
        <is>
          <t>VD 2.2 %</t>
        </is>
      </c>
      <c r="AA5012" s="12">
        <f>N5012*O5012</f>
        <v/>
      </c>
    </row>
    <row r="5013">
      <c r="A5013" s="12" t="inlineStr">
        <is>
          <t>I-P-0133</t>
        </is>
      </c>
      <c r="B5013" s="12" t="inlineStr">
        <is>
          <t>I</t>
        </is>
      </c>
      <c r="C5013" s="12" t="inlineStr">
        <is>
          <t>Modular / portable power</t>
        </is>
      </c>
      <c r="D5013" s="12" t="inlineStr">
        <is>
          <t>Motor 5 of 6, 22 kW</t>
        </is>
      </c>
      <c r="E5013" s="12" t="inlineStr"/>
      <c r="F5013" s="12" t="inlineStr">
        <is>
          <t>PCM: power control module</t>
        </is>
      </c>
      <c r="G5013" s="12" t="inlineStr">
        <is>
          <t>RICE-5</t>
        </is>
      </c>
      <c r="H5013" s="12" t="inlineStr">
        <is>
          <t>RICE engine-generator 5</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7" t="n">
        <v>367</v>
      </c>
      <c r="U5013" s="17" t="n">
        <v>208</v>
      </c>
      <c r="V5013" s="17">
        <f>ROUNDUP((T5013+U5013+2*'Read Me'!$B$13)*(1+'Read Me'!$B$12),-1)</f>
        <v/>
      </c>
      <c r="W5013" s="17">
        <f>V5013*N5013*O5013</f>
        <v/>
      </c>
      <c r="X5013" s="12">
        <f>IF(LEFT(I5013,2)="MV",2*N5013*IF(L5013="1/C",O5013,1),0)</f>
        <v/>
      </c>
      <c r="Y5013" s="12">
        <f>IF(OR(LEFT(K5013,4)="LVAX",LEFT(K5013,6)="MV15AX",LEFT(K5013,4)="CTAX",LEFT(K5013,2)="W|"),2*N5013*O5013,0)</f>
        <v/>
      </c>
      <c r="Z5013" s="12" t="inlineStr">
        <is>
          <t>VD 2.2 %</t>
        </is>
      </c>
      <c r="AA5013" s="12">
        <f>N5013*O5013</f>
        <v/>
      </c>
    </row>
    <row r="5014">
      <c r="A5014" s="12" t="inlineStr">
        <is>
          <t>I-P-0134</t>
        </is>
      </c>
      <c r="B5014" s="12" t="inlineStr">
        <is>
          <t>I</t>
        </is>
      </c>
      <c r="C5014" s="12" t="inlineStr">
        <is>
          <t>Modular / portable power</t>
        </is>
      </c>
      <c r="D5014" s="12" t="inlineStr">
        <is>
          <t>Motor 6 of 6, 22 kW</t>
        </is>
      </c>
      <c r="E5014" s="12" t="inlineStr"/>
      <c r="F5014" s="12" t="inlineStr">
        <is>
          <t>PCM: power control module</t>
        </is>
      </c>
      <c r="G5014" s="12" t="inlineStr">
        <is>
          <t>RICE-5</t>
        </is>
      </c>
      <c r="H5014" s="12" t="inlineStr">
        <is>
          <t>RICE engine-generator 5</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7" t="n">
        <v>367</v>
      </c>
      <c r="U5014" s="17" t="n">
        <v>208</v>
      </c>
      <c r="V5014" s="17">
        <f>ROUNDUP((T5014+U5014+2*'Read Me'!$B$13)*(1+'Read Me'!$B$12),-1)</f>
        <v/>
      </c>
      <c r="W5014" s="17">
        <f>V5014*N5014*O5014</f>
        <v/>
      </c>
      <c r="X5014" s="12">
        <f>IF(LEFT(I5014,2)="MV",2*N5014*IF(L5014="1/C",O5014,1),0)</f>
        <v/>
      </c>
      <c r="Y5014" s="12">
        <f>IF(OR(LEFT(K5014,4)="LVAX",LEFT(K5014,6)="MV15AX",LEFT(K5014,4)="CTAX",LEFT(K5014,2)="W|"),2*N5014*O5014,0)</f>
        <v/>
      </c>
      <c r="Z5014" s="12" t="inlineStr">
        <is>
          <t>VD 2.2 %</t>
        </is>
      </c>
      <c r="AA5014" s="12">
        <f>N5014*O5014</f>
        <v/>
      </c>
    </row>
    <row r="5015">
      <c r="A5015" s="12" t="inlineStr">
        <is>
          <t>I-P-0135</t>
        </is>
      </c>
      <c r="B5015" s="12" t="inlineStr">
        <is>
          <t>I</t>
        </is>
      </c>
      <c r="C5015" s="12" t="inlineStr">
        <is>
          <t>Modular / portable power</t>
        </is>
      </c>
      <c r="D5015" s="12" t="inlineStr">
        <is>
          <t>480 V welding receptacle 1</t>
        </is>
      </c>
      <c r="E5015" s="12" t="inlineStr"/>
      <c r="F5015" s="12" t="inlineStr">
        <is>
          <t>PCM: power control module</t>
        </is>
      </c>
      <c r="G5015" s="12" t="inlineStr">
        <is>
          <t>RICE-5</t>
        </is>
      </c>
      <c r="H5015" s="12" t="inlineStr">
        <is>
          <t>RICE engine-generator 5</t>
        </is>
      </c>
      <c r="I5015" s="12" t="inlineStr">
        <is>
          <t>LV 600 V</t>
        </is>
      </c>
      <c r="J5015" s="12" t="inlineStr">
        <is>
          <t>Type TC-ER 600 V 3/C Cu XHHW-2 + ground, PVC jacket</t>
        </is>
      </c>
      <c r="K5015" s="12" t="inlineStr">
        <is>
          <t>LV|3/C+G|1</t>
        </is>
      </c>
      <c r="L5015" s="12" t="inlineStr">
        <is>
          <t>3/C+G</t>
        </is>
      </c>
      <c r="M5015" s="12" t="inlineStr">
        <is>
          <t>1</t>
        </is>
      </c>
      <c r="N5015" s="12" t="n">
        <v>1</v>
      </c>
      <c r="O5015" s="12" t="n">
        <v>1</v>
      </c>
      <c r="P5015" s="12" t="n">
        <v>480</v>
      </c>
      <c r="Q5015" s="12" t="n">
        <v>60</v>
      </c>
      <c r="R5015" s="12" t="n">
        <v>76</v>
      </c>
      <c r="S5015" s="12" t="inlineStr">
        <is>
          <t>Duct bank</t>
        </is>
      </c>
      <c r="T5015" s="17" t="n">
        <v>367</v>
      </c>
      <c r="U5015" s="17" t="n">
        <v>208</v>
      </c>
      <c r="V5015" s="17">
        <f>ROUNDUP((T5015+U5015+2*'Read Me'!$B$13)*(1+'Read Me'!$B$12),-1)</f>
        <v/>
      </c>
      <c r="W5015" s="17">
        <f>V5015*N5015*O5015</f>
        <v/>
      </c>
      <c r="X5015" s="12">
        <f>IF(LEFT(I5015,2)="MV",2*N5015*IF(L5015="1/C",O5015,1),0)</f>
        <v/>
      </c>
      <c r="Y5015" s="12">
        <f>IF(OR(LEFT(K5015,4)="LVAX",LEFT(K5015,6)="MV15AX",LEFT(K5015,4)="CTAX",LEFT(K5015,2)="W|"),2*N5015*O5015,0)</f>
        <v/>
      </c>
      <c r="Z5015" s="12" t="inlineStr">
        <is>
          <t>VD 2.7 %</t>
        </is>
      </c>
      <c r="AA5015" s="12">
        <f>N5015*O5015</f>
        <v/>
      </c>
    </row>
    <row r="5016">
      <c r="A5016" s="12" t="inlineStr">
        <is>
          <t>I-P-0136</t>
        </is>
      </c>
      <c r="B5016" s="12" t="inlineStr">
        <is>
          <t>I</t>
        </is>
      </c>
      <c r="C5016" s="12" t="inlineStr">
        <is>
          <t>Modular / portable power</t>
        </is>
      </c>
      <c r="D5016" s="12" t="inlineStr">
        <is>
          <t>480 V welding receptacle 2</t>
        </is>
      </c>
      <c r="E5016" s="12" t="inlineStr"/>
      <c r="F5016" s="12" t="inlineStr">
        <is>
          <t>PCM: power control module</t>
        </is>
      </c>
      <c r="G5016" s="12" t="inlineStr">
        <is>
          <t>RICE-5</t>
        </is>
      </c>
      <c r="H5016" s="12" t="inlineStr">
        <is>
          <t>RICE engine-generator 5</t>
        </is>
      </c>
      <c r="I5016" s="12" t="inlineStr">
        <is>
          <t>LV 600 V</t>
        </is>
      </c>
      <c r="J5016" s="12" t="inlineStr">
        <is>
          <t>Type TC-ER 600 V 3/C Cu XHHW-2 + ground, PVC jacket</t>
        </is>
      </c>
      <c r="K5016" s="12" t="inlineStr">
        <is>
          <t>LV|3/C+G|1</t>
        </is>
      </c>
      <c r="L5016" s="12" t="inlineStr">
        <is>
          <t>3/C+G</t>
        </is>
      </c>
      <c r="M5016" s="12" t="inlineStr">
        <is>
          <t>1</t>
        </is>
      </c>
      <c r="N5016" s="12" t="n">
        <v>1</v>
      </c>
      <c r="O5016" s="12" t="n">
        <v>1</v>
      </c>
      <c r="P5016" s="12" t="n">
        <v>480</v>
      </c>
      <c r="Q5016" s="12" t="n">
        <v>60</v>
      </c>
      <c r="R5016" s="12" t="n">
        <v>76</v>
      </c>
      <c r="S5016" s="12" t="inlineStr">
        <is>
          <t>Duct bank</t>
        </is>
      </c>
      <c r="T5016" s="17" t="n">
        <v>367</v>
      </c>
      <c r="U5016" s="17" t="n">
        <v>208</v>
      </c>
      <c r="V5016" s="17">
        <f>ROUNDUP((T5016+U5016+2*'Read Me'!$B$13)*(1+'Read Me'!$B$12),-1)</f>
        <v/>
      </c>
      <c r="W5016" s="17">
        <f>V5016*N5016*O5016</f>
        <v/>
      </c>
      <c r="X5016" s="12">
        <f>IF(LEFT(I5016,2)="MV",2*N5016*IF(L5016="1/C",O5016,1),0)</f>
        <v/>
      </c>
      <c r="Y5016" s="12">
        <f>IF(OR(LEFT(K5016,4)="LVAX",LEFT(K5016,6)="MV15AX",LEFT(K5016,4)="CTAX",LEFT(K5016,2)="W|"),2*N5016*O5016,0)</f>
        <v/>
      </c>
      <c r="Z5016" s="12" t="inlineStr">
        <is>
          <t>VD 2.7 %</t>
        </is>
      </c>
      <c r="AA5016" s="12">
        <f>N5016*O5016</f>
        <v/>
      </c>
    </row>
    <row r="5017">
      <c r="A5017" s="12" t="inlineStr">
        <is>
          <t>I-P-0137</t>
        </is>
      </c>
      <c r="B5017" s="12" t="inlineStr">
        <is>
          <t>I</t>
        </is>
      </c>
      <c r="C5017" s="12" t="inlineStr">
        <is>
          <t>Modular / portable power</t>
        </is>
      </c>
      <c r="D5017" s="12" t="inlineStr">
        <is>
          <t>480 V welding receptacle 3</t>
        </is>
      </c>
      <c r="E5017" s="12" t="inlineStr"/>
      <c r="F5017" s="12" t="inlineStr">
        <is>
          <t>PCM: power control module</t>
        </is>
      </c>
      <c r="G5017" s="12" t="inlineStr">
        <is>
          <t>RICE-5</t>
        </is>
      </c>
      <c r="H5017" s="12" t="inlineStr">
        <is>
          <t>RICE engine-generator 5</t>
        </is>
      </c>
      <c r="I5017" s="12" t="inlineStr">
        <is>
          <t>LV 600 V</t>
        </is>
      </c>
      <c r="J5017" s="12" t="inlineStr">
        <is>
          <t>Type TC-ER 600 V 3/C Cu XHHW-2 + ground, PVC jacket</t>
        </is>
      </c>
      <c r="K5017" s="12" t="inlineStr">
        <is>
          <t>LV|3/C+G|1</t>
        </is>
      </c>
      <c r="L5017" s="12" t="inlineStr">
        <is>
          <t>3/C+G</t>
        </is>
      </c>
      <c r="M5017" s="12" t="inlineStr">
        <is>
          <t>1</t>
        </is>
      </c>
      <c r="N5017" s="12" t="n">
        <v>1</v>
      </c>
      <c r="O5017" s="12" t="n">
        <v>1</v>
      </c>
      <c r="P5017" s="12" t="n">
        <v>480</v>
      </c>
      <c r="Q5017" s="12" t="n">
        <v>60</v>
      </c>
      <c r="R5017" s="12" t="n">
        <v>76</v>
      </c>
      <c r="S5017" s="12" t="inlineStr">
        <is>
          <t>Duct bank</t>
        </is>
      </c>
      <c r="T5017" s="17" t="n">
        <v>367</v>
      </c>
      <c r="U5017" s="17" t="n">
        <v>208</v>
      </c>
      <c r="V5017" s="17">
        <f>ROUNDUP((T5017+U5017+2*'Read Me'!$B$13)*(1+'Read Me'!$B$12),-1)</f>
        <v/>
      </c>
      <c r="W5017" s="17">
        <f>V5017*N5017*O5017</f>
        <v/>
      </c>
      <c r="X5017" s="12">
        <f>IF(LEFT(I5017,2)="MV",2*N5017*IF(L5017="1/C",O5017,1),0)</f>
        <v/>
      </c>
      <c r="Y5017" s="12">
        <f>IF(OR(LEFT(K5017,4)="LVAX",LEFT(K5017,6)="MV15AX",LEFT(K5017,4)="CTAX",LEFT(K5017,2)="W|"),2*N5017*O5017,0)</f>
        <v/>
      </c>
      <c r="Z5017" s="12" t="inlineStr">
        <is>
          <t>VD 2.7 %</t>
        </is>
      </c>
      <c r="AA5017" s="12">
        <f>N5017*O5017</f>
        <v/>
      </c>
    </row>
    <row r="5018">
      <c r="A5018" s="12" t="inlineStr">
        <is>
          <t>I-P-0138</t>
        </is>
      </c>
      <c r="B5018" s="12" t="inlineStr">
        <is>
          <t>I</t>
        </is>
      </c>
      <c r="C5018" s="12" t="inlineStr">
        <is>
          <t>Modular / portable power</t>
        </is>
      </c>
      <c r="D5018" s="12" t="inlineStr">
        <is>
          <t>480 V welding receptacle 4</t>
        </is>
      </c>
      <c r="E5018" s="12" t="inlineStr"/>
      <c r="F5018" s="12" t="inlineStr">
        <is>
          <t>PCM: power control module</t>
        </is>
      </c>
      <c r="G5018" s="12" t="inlineStr">
        <is>
          <t>RICE-5</t>
        </is>
      </c>
      <c r="H5018" s="12" t="inlineStr">
        <is>
          <t>RICE engine-generator 5</t>
        </is>
      </c>
      <c r="I5018" s="12" t="inlineStr">
        <is>
          <t>LV 600 V</t>
        </is>
      </c>
      <c r="J5018" s="12" t="inlineStr">
        <is>
          <t>Type TC-ER 600 V 3/C Cu XHHW-2 + ground, PVC jacket</t>
        </is>
      </c>
      <c r="K5018" s="12" t="inlineStr">
        <is>
          <t>LV|3/C+G|1</t>
        </is>
      </c>
      <c r="L5018" s="12" t="inlineStr">
        <is>
          <t>3/C+G</t>
        </is>
      </c>
      <c r="M5018" s="12" t="inlineStr">
        <is>
          <t>1</t>
        </is>
      </c>
      <c r="N5018" s="12" t="n">
        <v>1</v>
      </c>
      <c r="O5018" s="12" t="n">
        <v>1</v>
      </c>
      <c r="P5018" s="12" t="n">
        <v>480</v>
      </c>
      <c r="Q5018" s="12" t="n">
        <v>60</v>
      </c>
      <c r="R5018" s="12" t="n">
        <v>76</v>
      </c>
      <c r="S5018" s="12" t="inlineStr">
        <is>
          <t>Duct bank</t>
        </is>
      </c>
      <c r="T5018" s="17" t="n">
        <v>367</v>
      </c>
      <c r="U5018" s="17" t="n">
        <v>208</v>
      </c>
      <c r="V5018" s="17">
        <f>ROUNDUP((T5018+U5018+2*'Read Me'!$B$13)*(1+'Read Me'!$B$12),-1)</f>
        <v/>
      </c>
      <c r="W5018" s="17">
        <f>V5018*N5018*O5018</f>
        <v/>
      </c>
      <c r="X5018" s="12">
        <f>IF(LEFT(I5018,2)="MV",2*N5018*IF(L5018="1/C",O5018,1),0)</f>
        <v/>
      </c>
      <c r="Y5018" s="12">
        <f>IF(OR(LEFT(K5018,4)="LVAX",LEFT(K5018,6)="MV15AX",LEFT(K5018,4)="CTAX",LEFT(K5018,2)="W|"),2*N5018*O5018,0)</f>
        <v/>
      </c>
      <c r="Z5018" s="12" t="inlineStr">
        <is>
          <t>VD 2.7 %</t>
        </is>
      </c>
      <c r="AA5018" s="12">
        <f>N5018*O5018</f>
        <v/>
      </c>
    </row>
    <row r="5019">
      <c r="A5019" s="12" t="inlineStr">
        <is>
          <t>I-P-0139</t>
        </is>
      </c>
      <c r="B5019" s="12" t="inlineStr">
        <is>
          <t>I</t>
        </is>
      </c>
      <c r="C5019" s="12" t="inlineStr">
        <is>
          <t>Modular / portable power</t>
        </is>
      </c>
      <c r="D5019" s="12" t="inlineStr">
        <is>
          <t>Motor 1 of 6, 22 kW</t>
        </is>
      </c>
      <c r="E5019" s="12" t="inlineStr"/>
      <c r="F5019" s="12" t="inlineStr">
        <is>
          <t>PCM: power control module</t>
        </is>
      </c>
      <c r="G5019" s="12" t="inlineStr">
        <is>
          <t>RICE-6</t>
        </is>
      </c>
      <c r="H5019" s="12" t="inlineStr">
        <is>
          <t>RICE engine-generator 6</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7" t="n">
        <v>367</v>
      </c>
      <c r="U5019" s="17" t="n">
        <v>180</v>
      </c>
      <c r="V5019" s="17">
        <f>ROUNDUP((T5019+U5019+2*'Read Me'!$B$13)*(1+'Read Me'!$B$12),-1)</f>
        <v/>
      </c>
      <c r="W5019" s="17">
        <f>V5019*N5019*O5019</f>
        <v/>
      </c>
      <c r="X5019" s="12">
        <f>IF(LEFT(I5019,2)="MV",2*N5019*IF(L5019="1/C",O5019,1),0)</f>
        <v/>
      </c>
      <c r="Y5019" s="12">
        <f>IF(OR(LEFT(K5019,4)="LVAX",LEFT(K5019,6)="MV15AX",LEFT(K5019,4)="CTAX",LEFT(K5019,2)="W|"),2*N5019*O5019,0)</f>
        <v/>
      </c>
      <c r="Z5019" s="12" t="inlineStr">
        <is>
          <t>VD 2.1 %</t>
        </is>
      </c>
      <c r="AA5019" s="12">
        <f>N5019*O5019</f>
        <v/>
      </c>
    </row>
    <row r="5020">
      <c r="A5020" s="12" t="inlineStr">
        <is>
          <t>I-P-0140</t>
        </is>
      </c>
      <c r="B5020" s="12" t="inlineStr">
        <is>
          <t>I</t>
        </is>
      </c>
      <c r="C5020" s="12" t="inlineStr">
        <is>
          <t>Modular / portable power</t>
        </is>
      </c>
      <c r="D5020" s="12" t="inlineStr">
        <is>
          <t>Motor 2 of 6, 22 kW</t>
        </is>
      </c>
      <c r="E5020" s="12" t="inlineStr"/>
      <c r="F5020" s="12" t="inlineStr">
        <is>
          <t>PCM: power control module</t>
        </is>
      </c>
      <c r="G5020" s="12" t="inlineStr">
        <is>
          <t>RICE-6</t>
        </is>
      </c>
      <c r="H5020" s="12" t="inlineStr">
        <is>
          <t>RICE engine-generator 6</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7" t="n">
        <v>367</v>
      </c>
      <c r="U5020" s="17" t="n">
        <v>180</v>
      </c>
      <c r="V5020" s="17">
        <f>ROUNDUP((T5020+U5020+2*'Read Me'!$B$13)*(1+'Read Me'!$B$12),-1)</f>
        <v/>
      </c>
      <c r="W5020" s="17">
        <f>V5020*N5020*O5020</f>
        <v/>
      </c>
      <c r="X5020" s="12">
        <f>IF(LEFT(I5020,2)="MV",2*N5020*IF(L5020="1/C",O5020,1),0)</f>
        <v/>
      </c>
      <c r="Y5020" s="12">
        <f>IF(OR(LEFT(K5020,4)="LVAX",LEFT(K5020,6)="MV15AX",LEFT(K5020,4)="CTAX",LEFT(K5020,2)="W|"),2*N5020*O5020,0)</f>
        <v/>
      </c>
      <c r="Z5020" s="12" t="inlineStr">
        <is>
          <t>VD 2.1 %</t>
        </is>
      </c>
      <c r="AA5020" s="12">
        <f>N5020*O5020</f>
        <v/>
      </c>
    </row>
    <row r="5021">
      <c r="A5021" s="12" t="inlineStr">
        <is>
          <t>I-P-0141</t>
        </is>
      </c>
      <c r="B5021" s="12" t="inlineStr">
        <is>
          <t>I</t>
        </is>
      </c>
      <c r="C5021" s="12" t="inlineStr">
        <is>
          <t>Modular / portable power</t>
        </is>
      </c>
      <c r="D5021" s="12" t="inlineStr">
        <is>
          <t>Motor 3 of 6, 22 kW</t>
        </is>
      </c>
      <c r="E5021" s="12" t="inlineStr"/>
      <c r="F5021" s="12" t="inlineStr">
        <is>
          <t>PCM: power control module</t>
        </is>
      </c>
      <c r="G5021" s="12" t="inlineStr">
        <is>
          <t>RICE-6</t>
        </is>
      </c>
      <c r="H5021" s="12" t="inlineStr">
        <is>
          <t>RICE engine-generator 6</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7" t="n">
        <v>367</v>
      </c>
      <c r="U5021" s="17" t="n">
        <v>180</v>
      </c>
      <c r="V5021" s="17">
        <f>ROUNDUP((T5021+U5021+2*'Read Me'!$B$13)*(1+'Read Me'!$B$12),-1)</f>
        <v/>
      </c>
      <c r="W5021" s="17">
        <f>V5021*N5021*O5021</f>
        <v/>
      </c>
      <c r="X5021" s="12">
        <f>IF(LEFT(I5021,2)="MV",2*N5021*IF(L5021="1/C",O5021,1),0)</f>
        <v/>
      </c>
      <c r="Y5021" s="12">
        <f>IF(OR(LEFT(K5021,4)="LVAX",LEFT(K5021,6)="MV15AX",LEFT(K5021,4)="CTAX",LEFT(K5021,2)="W|"),2*N5021*O5021,0)</f>
        <v/>
      </c>
      <c r="Z5021" s="12" t="inlineStr">
        <is>
          <t>VD 2.1 %</t>
        </is>
      </c>
      <c r="AA5021" s="12">
        <f>N5021*O5021</f>
        <v/>
      </c>
    </row>
    <row r="5022">
      <c r="A5022" s="12" t="inlineStr">
        <is>
          <t>I-P-0142</t>
        </is>
      </c>
      <c r="B5022" s="12" t="inlineStr">
        <is>
          <t>I</t>
        </is>
      </c>
      <c r="C5022" s="12" t="inlineStr">
        <is>
          <t>Modular / portable power</t>
        </is>
      </c>
      <c r="D5022" s="12" t="inlineStr">
        <is>
          <t>Motor 4 of 6, 22 kW</t>
        </is>
      </c>
      <c r="E5022" s="12" t="inlineStr"/>
      <c r="F5022" s="12" t="inlineStr">
        <is>
          <t>PCM: power control module</t>
        </is>
      </c>
      <c r="G5022" s="12" t="inlineStr">
        <is>
          <t>RICE-6</t>
        </is>
      </c>
      <c r="H5022" s="12" t="inlineStr">
        <is>
          <t>RICE engine-generator 6</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7" t="n">
        <v>367</v>
      </c>
      <c r="U5022" s="17" t="n">
        <v>180</v>
      </c>
      <c r="V5022" s="17">
        <f>ROUNDUP((T5022+U5022+2*'Read Me'!$B$13)*(1+'Read Me'!$B$12),-1)</f>
        <v/>
      </c>
      <c r="W5022" s="17">
        <f>V5022*N5022*O5022</f>
        <v/>
      </c>
      <c r="X5022" s="12">
        <f>IF(LEFT(I5022,2)="MV",2*N5022*IF(L5022="1/C",O5022,1),0)</f>
        <v/>
      </c>
      <c r="Y5022" s="12">
        <f>IF(OR(LEFT(K5022,4)="LVAX",LEFT(K5022,6)="MV15AX",LEFT(K5022,4)="CTAX",LEFT(K5022,2)="W|"),2*N5022*O5022,0)</f>
        <v/>
      </c>
      <c r="Z5022" s="12" t="inlineStr">
        <is>
          <t>VD 2.1 %</t>
        </is>
      </c>
      <c r="AA5022" s="12">
        <f>N5022*O5022</f>
        <v/>
      </c>
    </row>
    <row r="5023">
      <c r="A5023" s="12" t="inlineStr">
        <is>
          <t>I-P-0143</t>
        </is>
      </c>
      <c r="B5023" s="12" t="inlineStr">
        <is>
          <t>I</t>
        </is>
      </c>
      <c r="C5023" s="12" t="inlineStr">
        <is>
          <t>Modular / portable power</t>
        </is>
      </c>
      <c r="D5023" s="12" t="inlineStr">
        <is>
          <t>Motor 5 of 6, 22 kW</t>
        </is>
      </c>
      <c r="E5023" s="12" t="inlineStr"/>
      <c r="F5023" s="12" t="inlineStr">
        <is>
          <t>PCM: power control module</t>
        </is>
      </c>
      <c r="G5023" s="12" t="inlineStr">
        <is>
          <t>RICE-6</t>
        </is>
      </c>
      <c r="H5023" s="12" t="inlineStr">
        <is>
          <t>RICE engine-generator 6</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7" t="n">
        <v>367</v>
      </c>
      <c r="U5023" s="17" t="n">
        <v>180</v>
      </c>
      <c r="V5023" s="17">
        <f>ROUNDUP((T5023+U5023+2*'Read Me'!$B$13)*(1+'Read Me'!$B$12),-1)</f>
        <v/>
      </c>
      <c r="W5023" s="17">
        <f>V5023*N5023*O5023</f>
        <v/>
      </c>
      <c r="X5023" s="12">
        <f>IF(LEFT(I5023,2)="MV",2*N5023*IF(L5023="1/C",O5023,1),0)</f>
        <v/>
      </c>
      <c r="Y5023" s="12">
        <f>IF(OR(LEFT(K5023,4)="LVAX",LEFT(K5023,6)="MV15AX",LEFT(K5023,4)="CTAX",LEFT(K5023,2)="W|"),2*N5023*O5023,0)</f>
        <v/>
      </c>
      <c r="Z5023" s="12" t="inlineStr">
        <is>
          <t>VD 2.1 %</t>
        </is>
      </c>
      <c r="AA5023" s="12">
        <f>N5023*O5023</f>
        <v/>
      </c>
    </row>
    <row r="5024">
      <c r="A5024" s="12" t="inlineStr">
        <is>
          <t>I-P-0144</t>
        </is>
      </c>
      <c r="B5024" s="12" t="inlineStr">
        <is>
          <t>I</t>
        </is>
      </c>
      <c r="C5024" s="12" t="inlineStr">
        <is>
          <t>Modular / portable power</t>
        </is>
      </c>
      <c r="D5024" s="12" t="inlineStr">
        <is>
          <t>Motor 6 of 6, 22 kW</t>
        </is>
      </c>
      <c r="E5024" s="12" t="inlineStr"/>
      <c r="F5024" s="12" t="inlineStr">
        <is>
          <t>PCM: power control module</t>
        </is>
      </c>
      <c r="G5024" s="12" t="inlineStr">
        <is>
          <t>RICE-6</t>
        </is>
      </c>
      <c r="H5024" s="12" t="inlineStr">
        <is>
          <t>RICE engine-generator 6</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7" t="n">
        <v>367</v>
      </c>
      <c r="U5024" s="17" t="n">
        <v>180</v>
      </c>
      <c r="V5024" s="17">
        <f>ROUNDUP((T5024+U5024+2*'Read Me'!$B$13)*(1+'Read Me'!$B$12),-1)</f>
        <v/>
      </c>
      <c r="W5024" s="17">
        <f>V5024*N5024*O5024</f>
        <v/>
      </c>
      <c r="X5024" s="12">
        <f>IF(LEFT(I5024,2)="MV",2*N5024*IF(L5024="1/C",O5024,1),0)</f>
        <v/>
      </c>
      <c r="Y5024" s="12">
        <f>IF(OR(LEFT(K5024,4)="LVAX",LEFT(K5024,6)="MV15AX",LEFT(K5024,4)="CTAX",LEFT(K5024,2)="W|"),2*N5024*O5024,0)</f>
        <v/>
      </c>
      <c r="Z5024" s="12" t="inlineStr">
        <is>
          <t>VD 2.1 %</t>
        </is>
      </c>
      <c r="AA5024" s="12">
        <f>N5024*O5024</f>
        <v/>
      </c>
    </row>
    <row r="5025">
      <c r="A5025" s="12" t="inlineStr">
        <is>
          <t>I-P-0145</t>
        </is>
      </c>
      <c r="B5025" s="12" t="inlineStr">
        <is>
          <t>I</t>
        </is>
      </c>
      <c r="C5025" s="12" t="inlineStr">
        <is>
          <t>Modular / portable power</t>
        </is>
      </c>
      <c r="D5025" s="12" t="inlineStr">
        <is>
          <t>480 V welding receptacle 1</t>
        </is>
      </c>
      <c r="E5025" s="12" t="inlineStr"/>
      <c r="F5025" s="12" t="inlineStr">
        <is>
          <t>PCM: power control module</t>
        </is>
      </c>
      <c r="G5025" s="12" t="inlineStr">
        <is>
          <t>RICE-6</t>
        </is>
      </c>
      <c r="H5025" s="12" t="inlineStr">
        <is>
          <t>RICE engine-generator 6</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7" t="n">
        <v>367</v>
      </c>
      <c r="U5025" s="17" t="n">
        <v>180</v>
      </c>
      <c r="V5025" s="17">
        <f>ROUNDUP((T5025+U5025+2*'Read Me'!$B$13)*(1+'Read Me'!$B$12),-1)</f>
        <v/>
      </c>
      <c r="W5025" s="17">
        <f>V5025*N5025*O5025</f>
        <v/>
      </c>
      <c r="X5025" s="12">
        <f>IF(LEFT(I5025,2)="MV",2*N5025*IF(L5025="1/C",O5025,1),0)</f>
        <v/>
      </c>
      <c r="Y5025" s="12">
        <f>IF(OR(LEFT(K5025,4)="LVAX",LEFT(K5025,6)="MV15AX",LEFT(K5025,4)="CTAX",LEFT(K5025,2)="W|"),2*N5025*O5025,0)</f>
        <v/>
      </c>
      <c r="Z5025" s="12" t="inlineStr">
        <is>
          <t>VD 2.5 %</t>
        </is>
      </c>
      <c r="AA5025" s="12">
        <f>N5025*O5025</f>
        <v/>
      </c>
    </row>
    <row r="5026">
      <c r="A5026" s="12" t="inlineStr">
        <is>
          <t>I-P-0146</t>
        </is>
      </c>
      <c r="B5026" s="12" t="inlineStr">
        <is>
          <t>I</t>
        </is>
      </c>
      <c r="C5026" s="12" t="inlineStr">
        <is>
          <t>Modular / portable power</t>
        </is>
      </c>
      <c r="D5026" s="12" t="inlineStr">
        <is>
          <t>480 V welding receptacle 2</t>
        </is>
      </c>
      <c r="E5026" s="12" t="inlineStr"/>
      <c r="F5026" s="12" t="inlineStr">
        <is>
          <t>PCM: power control module</t>
        </is>
      </c>
      <c r="G5026" s="12" t="inlineStr">
        <is>
          <t>RICE-6</t>
        </is>
      </c>
      <c r="H5026" s="12" t="inlineStr">
        <is>
          <t>RICE engine-generator 6</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7" t="n">
        <v>367</v>
      </c>
      <c r="U5026" s="17" t="n">
        <v>180</v>
      </c>
      <c r="V5026" s="17">
        <f>ROUNDUP((T5026+U5026+2*'Read Me'!$B$13)*(1+'Read Me'!$B$12),-1)</f>
        <v/>
      </c>
      <c r="W5026" s="17">
        <f>V5026*N5026*O5026</f>
        <v/>
      </c>
      <c r="X5026" s="12">
        <f>IF(LEFT(I5026,2)="MV",2*N5026*IF(L5026="1/C",O5026,1),0)</f>
        <v/>
      </c>
      <c r="Y5026" s="12">
        <f>IF(OR(LEFT(K5026,4)="LVAX",LEFT(K5026,6)="MV15AX",LEFT(K5026,4)="CTAX",LEFT(K5026,2)="W|"),2*N5026*O5026,0)</f>
        <v/>
      </c>
      <c r="Z5026" s="12" t="inlineStr">
        <is>
          <t>VD 2.5 %</t>
        </is>
      </c>
      <c r="AA5026" s="12">
        <f>N5026*O5026</f>
        <v/>
      </c>
    </row>
    <row r="5027">
      <c r="A5027" s="12" t="inlineStr">
        <is>
          <t>I-P-0147</t>
        </is>
      </c>
      <c r="B5027" s="12" t="inlineStr">
        <is>
          <t>I</t>
        </is>
      </c>
      <c r="C5027" s="12" t="inlineStr">
        <is>
          <t>Modular / portable power</t>
        </is>
      </c>
      <c r="D5027" s="12" t="inlineStr">
        <is>
          <t>480 V welding receptacle 3</t>
        </is>
      </c>
      <c r="E5027" s="12" t="inlineStr"/>
      <c r="F5027" s="12" t="inlineStr">
        <is>
          <t>PCM: power control module</t>
        </is>
      </c>
      <c r="G5027" s="12" t="inlineStr">
        <is>
          <t>RICE-6</t>
        </is>
      </c>
      <c r="H5027" s="12" t="inlineStr">
        <is>
          <t>RICE engine-generator 6</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7" t="n">
        <v>367</v>
      </c>
      <c r="U5027" s="17" t="n">
        <v>180</v>
      </c>
      <c r="V5027" s="17">
        <f>ROUNDUP((T5027+U5027+2*'Read Me'!$B$13)*(1+'Read Me'!$B$12),-1)</f>
        <v/>
      </c>
      <c r="W5027" s="17">
        <f>V5027*N5027*O5027</f>
        <v/>
      </c>
      <c r="X5027" s="12">
        <f>IF(LEFT(I5027,2)="MV",2*N5027*IF(L5027="1/C",O5027,1),0)</f>
        <v/>
      </c>
      <c r="Y5027" s="12">
        <f>IF(OR(LEFT(K5027,4)="LVAX",LEFT(K5027,6)="MV15AX",LEFT(K5027,4)="CTAX",LEFT(K5027,2)="W|"),2*N5027*O5027,0)</f>
        <v/>
      </c>
      <c r="Z5027" s="12" t="inlineStr">
        <is>
          <t>VD 2.5 %</t>
        </is>
      </c>
      <c r="AA5027" s="12">
        <f>N5027*O5027</f>
        <v/>
      </c>
    </row>
    <row r="5028">
      <c r="A5028" s="12" t="inlineStr">
        <is>
          <t>I-P-0148</t>
        </is>
      </c>
      <c r="B5028" s="12" t="inlineStr">
        <is>
          <t>I</t>
        </is>
      </c>
      <c r="C5028" s="12" t="inlineStr">
        <is>
          <t>Modular / portable power</t>
        </is>
      </c>
      <c r="D5028" s="12" t="inlineStr">
        <is>
          <t>480 V welding receptacle 4</t>
        </is>
      </c>
      <c r="E5028" s="12" t="inlineStr"/>
      <c r="F5028" s="12" t="inlineStr">
        <is>
          <t>PCM: power control module</t>
        </is>
      </c>
      <c r="G5028" s="12" t="inlineStr">
        <is>
          <t>RICE-6</t>
        </is>
      </c>
      <c r="H5028" s="12" t="inlineStr">
        <is>
          <t>RICE engine-generator 6</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7" t="n">
        <v>367</v>
      </c>
      <c r="U5028" s="17" t="n">
        <v>180</v>
      </c>
      <c r="V5028" s="17">
        <f>ROUNDUP((T5028+U5028+2*'Read Me'!$B$13)*(1+'Read Me'!$B$12),-1)</f>
        <v/>
      </c>
      <c r="W5028" s="17">
        <f>V5028*N5028*O5028</f>
        <v/>
      </c>
      <c r="X5028" s="12">
        <f>IF(LEFT(I5028,2)="MV",2*N5028*IF(L5028="1/C",O5028,1),0)</f>
        <v/>
      </c>
      <c r="Y5028" s="12">
        <f>IF(OR(LEFT(K5028,4)="LVAX",LEFT(K5028,6)="MV15AX",LEFT(K5028,4)="CTAX",LEFT(K5028,2)="W|"),2*N5028*O5028,0)</f>
        <v/>
      </c>
      <c r="Z5028" s="12" t="inlineStr">
        <is>
          <t>VD 2.5 %</t>
        </is>
      </c>
      <c r="AA5028" s="12">
        <f>N5028*O5028</f>
        <v/>
      </c>
    </row>
    <row r="5029">
      <c r="A5029" s="12" t="inlineStr">
        <is>
          <t>I-P-0149</t>
        </is>
      </c>
      <c r="B5029" s="12" t="inlineStr">
        <is>
          <t>I</t>
        </is>
      </c>
      <c r="C5029" s="12" t="inlineStr">
        <is>
          <t>Modular / portable power</t>
        </is>
      </c>
      <c r="D5029" s="12" t="inlineStr">
        <is>
          <t>Motor 1 of 6, 22 kW</t>
        </is>
      </c>
      <c r="E5029" s="12" t="inlineStr"/>
      <c r="F5029" s="12" t="inlineStr">
        <is>
          <t>PCM: power control module</t>
        </is>
      </c>
      <c r="G5029" s="12" t="inlineStr">
        <is>
          <t>RICE-7</t>
        </is>
      </c>
      <c r="H5029" s="12" t="inlineStr">
        <is>
          <t>RICE engine-generator 7</t>
        </is>
      </c>
      <c r="I5029" s="12" t="inlineStr">
        <is>
          <t>LV 600 V</t>
        </is>
      </c>
      <c r="J5029" s="12" t="inlineStr">
        <is>
          <t>Type TC-ER 600 V 3/C Cu XHHW-2 + ground, PVC jacket</t>
        </is>
      </c>
      <c r="K5029" s="12" t="inlineStr">
        <is>
          <t>LV|3/C+G|8</t>
        </is>
      </c>
      <c r="L5029" s="12" t="inlineStr">
        <is>
          <t>3/C+G</t>
        </is>
      </c>
      <c r="M5029" s="12" t="inlineStr">
        <is>
          <t>8</t>
        </is>
      </c>
      <c r="N5029" s="12" t="n">
        <v>1</v>
      </c>
      <c r="O5029" s="12" t="n">
        <v>1</v>
      </c>
      <c r="P5029" s="12" t="n">
        <v>480</v>
      </c>
      <c r="Q5029" s="12" t="n">
        <v>22</v>
      </c>
      <c r="R5029" s="12" t="n">
        <v>31.1</v>
      </c>
      <c r="S5029" s="12" t="inlineStr">
        <is>
          <t>Tray</t>
        </is>
      </c>
      <c r="T5029" s="17" t="n">
        <v>0</v>
      </c>
      <c r="U5029" s="17" t="n">
        <v>189</v>
      </c>
      <c r="V5029" s="17">
        <f>ROUNDUP((T5029+U5029+2*'Read Me'!$B$13)*(1+'Read Me'!$B$12),-1)</f>
        <v/>
      </c>
      <c r="W5029" s="17">
        <f>V5029*N5029*O5029</f>
        <v/>
      </c>
      <c r="X5029" s="12">
        <f>IF(LEFT(I5029,2)="MV",2*N5029*IF(L5029="1/C",O5029,1),0)</f>
        <v/>
      </c>
      <c r="Y5029" s="12">
        <f>IF(OR(LEFT(K5029,4)="LVAX",LEFT(K5029,6)="MV15AX",LEFT(K5029,4)="CTAX",LEFT(K5029,2)="W|"),2*N5029*O5029,0)</f>
        <v/>
      </c>
      <c r="Z5029" s="12" t="inlineStr">
        <is>
          <t>VD 1.8 %</t>
        </is>
      </c>
      <c r="AA5029" s="12">
        <f>N5029*O5029</f>
        <v/>
      </c>
    </row>
    <row r="5030">
      <c r="A5030" s="12" t="inlineStr">
        <is>
          <t>I-P-0150</t>
        </is>
      </c>
      <c r="B5030" s="12" t="inlineStr">
        <is>
          <t>I</t>
        </is>
      </c>
      <c r="C5030" s="12" t="inlineStr">
        <is>
          <t>Modular / portable power</t>
        </is>
      </c>
      <c r="D5030" s="12" t="inlineStr">
        <is>
          <t>Motor 2 of 6, 22 kW</t>
        </is>
      </c>
      <c r="E5030" s="12" t="inlineStr"/>
      <c r="F5030" s="12" t="inlineStr">
        <is>
          <t>PCM: power control module</t>
        </is>
      </c>
      <c r="G5030" s="12" t="inlineStr">
        <is>
          <t>RICE-7</t>
        </is>
      </c>
      <c r="H5030" s="12" t="inlineStr">
        <is>
          <t>RICE engine-generator 7</t>
        </is>
      </c>
      <c r="I5030" s="12" t="inlineStr">
        <is>
          <t>LV 600 V</t>
        </is>
      </c>
      <c r="J5030" s="12" t="inlineStr">
        <is>
          <t>Type TC-ER 600 V 3/C Cu XHHW-2 + ground, PVC jacket</t>
        </is>
      </c>
      <c r="K5030" s="12" t="inlineStr">
        <is>
          <t>LV|3/C+G|8</t>
        </is>
      </c>
      <c r="L5030" s="12" t="inlineStr">
        <is>
          <t>3/C+G</t>
        </is>
      </c>
      <c r="M5030" s="12" t="inlineStr">
        <is>
          <t>8</t>
        </is>
      </c>
      <c r="N5030" s="12" t="n">
        <v>1</v>
      </c>
      <c r="O5030" s="12" t="n">
        <v>1</v>
      </c>
      <c r="P5030" s="12" t="n">
        <v>480</v>
      </c>
      <c r="Q5030" s="12" t="n">
        <v>22</v>
      </c>
      <c r="R5030" s="12" t="n">
        <v>31.1</v>
      </c>
      <c r="S5030" s="12" t="inlineStr">
        <is>
          <t>Tray</t>
        </is>
      </c>
      <c r="T5030" s="17" t="n">
        <v>0</v>
      </c>
      <c r="U5030" s="17" t="n">
        <v>189</v>
      </c>
      <c r="V5030" s="17">
        <f>ROUNDUP((T5030+U5030+2*'Read Me'!$B$13)*(1+'Read Me'!$B$12),-1)</f>
        <v/>
      </c>
      <c r="W5030" s="17">
        <f>V5030*N5030*O5030</f>
        <v/>
      </c>
      <c r="X5030" s="12">
        <f>IF(LEFT(I5030,2)="MV",2*N5030*IF(L5030="1/C",O5030,1),0)</f>
        <v/>
      </c>
      <c r="Y5030" s="12">
        <f>IF(OR(LEFT(K5030,4)="LVAX",LEFT(K5030,6)="MV15AX",LEFT(K5030,4)="CTAX",LEFT(K5030,2)="W|"),2*N5030*O5030,0)</f>
        <v/>
      </c>
      <c r="Z5030" s="12" t="inlineStr">
        <is>
          <t>VD 1.8 %</t>
        </is>
      </c>
      <c r="AA5030" s="12">
        <f>N5030*O5030</f>
        <v/>
      </c>
    </row>
    <row r="5031">
      <c r="A5031" s="12" t="inlineStr">
        <is>
          <t>I-P-0151</t>
        </is>
      </c>
      <c r="B5031" s="12" t="inlineStr">
        <is>
          <t>I</t>
        </is>
      </c>
      <c r="C5031" s="12" t="inlineStr">
        <is>
          <t>Modular / portable power</t>
        </is>
      </c>
      <c r="D5031" s="12" t="inlineStr">
        <is>
          <t>Motor 3 of 6, 22 kW</t>
        </is>
      </c>
      <c r="E5031" s="12" t="inlineStr"/>
      <c r="F5031" s="12" t="inlineStr">
        <is>
          <t>PCM: power control module</t>
        </is>
      </c>
      <c r="G5031" s="12" t="inlineStr">
        <is>
          <t>RICE-7</t>
        </is>
      </c>
      <c r="H5031" s="12" t="inlineStr">
        <is>
          <t>RICE engine-generator 7</t>
        </is>
      </c>
      <c r="I5031" s="12" t="inlineStr">
        <is>
          <t>LV 600 V</t>
        </is>
      </c>
      <c r="J5031" s="12" t="inlineStr">
        <is>
          <t>Type TC-ER 600 V 3/C Cu XHHW-2 + ground, PVC jacket</t>
        </is>
      </c>
      <c r="K5031" s="12" t="inlineStr">
        <is>
          <t>LV|3/C+G|8</t>
        </is>
      </c>
      <c r="L5031" s="12" t="inlineStr">
        <is>
          <t>3/C+G</t>
        </is>
      </c>
      <c r="M5031" s="12" t="inlineStr">
        <is>
          <t>8</t>
        </is>
      </c>
      <c r="N5031" s="12" t="n">
        <v>1</v>
      </c>
      <c r="O5031" s="12" t="n">
        <v>1</v>
      </c>
      <c r="P5031" s="12" t="n">
        <v>480</v>
      </c>
      <c r="Q5031" s="12" t="n">
        <v>22</v>
      </c>
      <c r="R5031" s="12" t="n">
        <v>31.1</v>
      </c>
      <c r="S5031" s="12" t="inlineStr">
        <is>
          <t>Tray</t>
        </is>
      </c>
      <c r="T5031" s="17" t="n">
        <v>0</v>
      </c>
      <c r="U5031" s="17" t="n">
        <v>189</v>
      </c>
      <c r="V5031" s="17">
        <f>ROUNDUP((T5031+U5031+2*'Read Me'!$B$13)*(1+'Read Me'!$B$12),-1)</f>
        <v/>
      </c>
      <c r="W5031" s="17">
        <f>V5031*N5031*O5031</f>
        <v/>
      </c>
      <c r="X5031" s="12">
        <f>IF(LEFT(I5031,2)="MV",2*N5031*IF(L5031="1/C",O5031,1),0)</f>
        <v/>
      </c>
      <c r="Y5031" s="12">
        <f>IF(OR(LEFT(K5031,4)="LVAX",LEFT(K5031,6)="MV15AX",LEFT(K5031,4)="CTAX",LEFT(K5031,2)="W|"),2*N5031*O5031,0)</f>
        <v/>
      </c>
      <c r="Z5031" s="12" t="inlineStr">
        <is>
          <t>VD 1.8 %</t>
        </is>
      </c>
      <c r="AA5031" s="12">
        <f>N5031*O5031</f>
        <v/>
      </c>
    </row>
    <row r="5032">
      <c r="A5032" s="12" t="inlineStr">
        <is>
          <t>I-P-0152</t>
        </is>
      </c>
      <c r="B5032" s="12" t="inlineStr">
        <is>
          <t>I</t>
        </is>
      </c>
      <c r="C5032" s="12" t="inlineStr">
        <is>
          <t>Modular / portable power</t>
        </is>
      </c>
      <c r="D5032" s="12" t="inlineStr">
        <is>
          <t>Motor 4 of 6, 22 kW</t>
        </is>
      </c>
      <c r="E5032" s="12" t="inlineStr"/>
      <c r="F5032" s="12" t="inlineStr">
        <is>
          <t>PCM: power control module</t>
        </is>
      </c>
      <c r="G5032" s="12" t="inlineStr">
        <is>
          <t>RICE-7</t>
        </is>
      </c>
      <c r="H5032" s="12" t="inlineStr">
        <is>
          <t>RICE engine-generator 7</t>
        </is>
      </c>
      <c r="I5032" s="12" t="inlineStr">
        <is>
          <t>LV 600 V</t>
        </is>
      </c>
      <c r="J5032" s="12" t="inlineStr">
        <is>
          <t>Type TC-ER 600 V 3/C Cu XHHW-2 + ground, PVC jacket</t>
        </is>
      </c>
      <c r="K5032" s="12" t="inlineStr">
        <is>
          <t>LV|3/C+G|8</t>
        </is>
      </c>
      <c r="L5032" s="12" t="inlineStr">
        <is>
          <t>3/C+G</t>
        </is>
      </c>
      <c r="M5032" s="12" t="inlineStr">
        <is>
          <t>8</t>
        </is>
      </c>
      <c r="N5032" s="12" t="n">
        <v>1</v>
      </c>
      <c r="O5032" s="12" t="n">
        <v>1</v>
      </c>
      <c r="P5032" s="12" t="n">
        <v>480</v>
      </c>
      <c r="Q5032" s="12" t="n">
        <v>22</v>
      </c>
      <c r="R5032" s="12" t="n">
        <v>31.1</v>
      </c>
      <c r="S5032" s="12" t="inlineStr">
        <is>
          <t>Tray</t>
        </is>
      </c>
      <c r="T5032" s="17" t="n">
        <v>0</v>
      </c>
      <c r="U5032" s="17" t="n">
        <v>189</v>
      </c>
      <c r="V5032" s="17">
        <f>ROUNDUP((T5032+U5032+2*'Read Me'!$B$13)*(1+'Read Me'!$B$12),-1)</f>
        <v/>
      </c>
      <c r="W5032" s="17">
        <f>V5032*N5032*O5032</f>
        <v/>
      </c>
      <c r="X5032" s="12">
        <f>IF(LEFT(I5032,2)="MV",2*N5032*IF(L5032="1/C",O5032,1),0)</f>
        <v/>
      </c>
      <c r="Y5032" s="12">
        <f>IF(OR(LEFT(K5032,4)="LVAX",LEFT(K5032,6)="MV15AX",LEFT(K5032,4)="CTAX",LEFT(K5032,2)="W|"),2*N5032*O5032,0)</f>
        <v/>
      </c>
      <c r="Z5032" s="12" t="inlineStr">
        <is>
          <t>VD 1.8 %</t>
        </is>
      </c>
      <c r="AA5032" s="12">
        <f>N5032*O5032</f>
        <v/>
      </c>
    </row>
    <row r="5033">
      <c r="A5033" s="12" t="inlineStr">
        <is>
          <t>I-P-0153</t>
        </is>
      </c>
      <c r="B5033" s="12" t="inlineStr">
        <is>
          <t>I</t>
        </is>
      </c>
      <c r="C5033" s="12" t="inlineStr">
        <is>
          <t>Modular / portable power</t>
        </is>
      </c>
      <c r="D5033" s="12" t="inlineStr">
        <is>
          <t>Motor 5 of 6, 22 kW</t>
        </is>
      </c>
      <c r="E5033" s="12" t="inlineStr"/>
      <c r="F5033" s="12" t="inlineStr">
        <is>
          <t>PCM: power control module</t>
        </is>
      </c>
      <c r="G5033" s="12" t="inlineStr">
        <is>
          <t>RICE-7</t>
        </is>
      </c>
      <c r="H5033" s="12" t="inlineStr">
        <is>
          <t>RICE engine-generator 7</t>
        </is>
      </c>
      <c r="I5033" s="12" t="inlineStr">
        <is>
          <t>LV 600 V</t>
        </is>
      </c>
      <c r="J5033" s="12" t="inlineStr">
        <is>
          <t>Type TC-ER 600 V 3/C Cu XHHW-2 + ground, PVC jacket</t>
        </is>
      </c>
      <c r="K5033" s="12" t="inlineStr">
        <is>
          <t>LV|3/C+G|8</t>
        </is>
      </c>
      <c r="L5033" s="12" t="inlineStr">
        <is>
          <t>3/C+G</t>
        </is>
      </c>
      <c r="M5033" s="12" t="inlineStr">
        <is>
          <t>8</t>
        </is>
      </c>
      <c r="N5033" s="12" t="n">
        <v>1</v>
      </c>
      <c r="O5033" s="12" t="n">
        <v>1</v>
      </c>
      <c r="P5033" s="12" t="n">
        <v>480</v>
      </c>
      <c r="Q5033" s="12" t="n">
        <v>22</v>
      </c>
      <c r="R5033" s="12" t="n">
        <v>31.1</v>
      </c>
      <c r="S5033" s="12" t="inlineStr">
        <is>
          <t>Tray</t>
        </is>
      </c>
      <c r="T5033" s="17" t="n">
        <v>0</v>
      </c>
      <c r="U5033" s="17" t="n">
        <v>189</v>
      </c>
      <c r="V5033" s="17">
        <f>ROUNDUP((T5033+U5033+2*'Read Me'!$B$13)*(1+'Read Me'!$B$12),-1)</f>
        <v/>
      </c>
      <c r="W5033" s="17">
        <f>V5033*N5033*O5033</f>
        <v/>
      </c>
      <c r="X5033" s="12">
        <f>IF(LEFT(I5033,2)="MV",2*N5033*IF(L5033="1/C",O5033,1),0)</f>
        <v/>
      </c>
      <c r="Y5033" s="12">
        <f>IF(OR(LEFT(K5033,4)="LVAX",LEFT(K5033,6)="MV15AX",LEFT(K5033,4)="CTAX",LEFT(K5033,2)="W|"),2*N5033*O5033,0)</f>
        <v/>
      </c>
      <c r="Z5033" s="12" t="inlineStr">
        <is>
          <t>VD 1.8 %</t>
        </is>
      </c>
      <c r="AA5033" s="12">
        <f>N5033*O5033</f>
        <v/>
      </c>
    </row>
    <row r="5034">
      <c r="A5034" s="12" t="inlineStr">
        <is>
          <t>I-P-0154</t>
        </is>
      </c>
      <c r="B5034" s="12" t="inlineStr">
        <is>
          <t>I</t>
        </is>
      </c>
      <c r="C5034" s="12" t="inlineStr">
        <is>
          <t>Modular / portable power</t>
        </is>
      </c>
      <c r="D5034" s="12" t="inlineStr">
        <is>
          <t>Motor 6 of 6, 22 kW</t>
        </is>
      </c>
      <c r="E5034" s="12" t="inlineStr"/>
      <c r="F5034" s="12" t="inlineStr">
        <is>
          <t>PCM: power control module</t>
        </is>
      </c>
      <c r="G5034" s="12" t="inlineStr">
        <is>
          <t>RICE-7</t>
        </is>
      </c>
      <c r="H5034" s="12" t="inlineStr">
        <is>
          <t>RICE engine-generator 7</t>
        </is>
      </c>
      <c r="I5034" s="12" t="inlineStr">
        <is>
          <t>LV 600 V</t>
        </is>
      </c>
      <c r="J5034" s="12" t="inlineStr">
        <is>
          <t>Type TC-ER 600 V 3/C Cu XHHW-2 + ground, PVC jacket</t>
        </is>
      </c>
      <c r="K5034" s="12" t="inlineStr">
        <is>
          <t>LV|3/C+G|8</t>
        </is>
      </c>
      <c r="L5034" s="12" t="inlineStr">
        <is>
          <t>3/C+G</t>
        </is>
      </c>
      <c r="M5034" s="12" t="inlineStr">
        <is>
          <t>8</t>
        </is>
      </c>
      <c r="N5034" s="12" t="n">
        <v>1</v>
      </c>
      <c r="O5034" s="12" t="n">
        <v>1</v>
      </c>
      <c r="P5034" s="12" t="n">
        <v>480</v>
      </c>
      <c r="Q5034" s="12" t="n">
        <v>22</v>
      </c>
      <c r="R5034" s="12" t="n">
        <v>31.1</v>
      </c>
      <c r="S5034" s="12" t="inlineStr">
        <is>
          <t>Tray</t>
        </is>
      </c>
      <c r="T5034" s="17" t="n">
        <v>0</v>
      </c>
      <c r="U5034" s="17" t="n">
        <v>189</v>
      </c>
      <c r="V5034" s="17">
        <f>ROUNDUP((T5034+U5034+2*'Read Me'!$B$13)*(1+'Read Me'!$B$12),-1)</f>
        <v/>
      </c>
      <c r="W5034" s="17">
        <f>V5034*N5034*O5034</f>
        <v/>
      </c>
      <c r="X5034" s="12">
        <f>IF(LEFT(I5034,2)="MV",2*N5034*IF(L5034="1/C",O5034,1),0)</f>
        <v/>
      </c>
      <c r="Y5034" s="12">
        <f>IF(OR(LEFT(K5034,4)="LVAX",LEFT(K5034,6)="MV15AX",LEFT(K5034,4)="CTAX",LEFT(K5034,2)="W|"),2*N5034*O5034,0)</f>
        <v/>
      </c>
      <c r="Z5034" s="12" t="inlineStr">
        <is>
          <t>VD 1.8 %</t>
        </is>
      </c>
      <c r="AA5034" s="12">
        <f>N5034*O5034</f>
        <v/>
      </c>
    </row>
    <row r="5035">
      <c r="A5035" s="12" t="inlineStr">
        <is>
          <t>I-P-0155</t>
        </is>
      </c>
      <c r="B5035" s="12" t="inlineStr">
        <is>
          <t>I</t>
        </is>
      </c>
      <c r="C5035" s="12" t="inlineStr">
        <is>
          <t>Modular / portable power</t>
        </is>
      </c>
      <c r="D5035" s="12" t="inlineStr">
        <is>
          <t>480 V welding receptacle 1</t>
        </is>
      </c>
      <c r="E5035" s="12" t="inlineStr"/>
      <c r="F5035" s="12" t="inlineStr">
        <is>
          <t>PCM: power control module</t>
        </is>
      </c>
      <c r="G5035" s="12" t="inlineStr">
        <is>
          <t>RICE-7</t>
        </is>
      </c>
      <c r="H5035" s="12" t="inlineStr">
        <is>
          <t>RICE engine-generator 7</t>
        </is>
      </c>
      <c r="I5035" s="12" t="inlineStr">
        <is>
          <t>LV 600 V</t>
        </is>
      </c>
      <c r="J5035" s="12" t="inlineStr">
        <is>
          <t>Type TC-ER 600 V 3/C Cu XHHW-2 + ground, PVC jacket</t>
        </is>
      </c>
      <c r="K5035" s="12" t="inlineStr">
        <is>
          <t>LV|3/C+G|2</t>
        </is>
      </c>
      <c r="L5035" s="12" t="inlineStr">
        <is>
          <t>3/C+G</t>
        </is>
      </c>
      <c r="M5035" s="12" t="inlineStr">
        <is>
          <t>2</t>
        </is>
      </c>
      <c r="N5035" s="12" t="n">
        <v>1</v>
      </c>
      <c r="O5035" s="12" t="n">
        <v>1</v>
      </c>
      <c r="P5035" s="12" t="n">
        <v>480</v>
      </c>
      <c r="Q5035" s="12" t="n">
        <v>60</v>
      </c>
      <c r="R5035" s="12" t="n">
        <v>76</v>
      </c>
      <c r="S5035" s="12" t="inlineStr">
        <is>
          <t>Tray</t>
        </is>
      </c>
      <c r="T5035" s="17" t="n">
        <v>0</v>
      </c>
      <c r="U5035" s="17" t="n">
        <v>189</v>
      </c>
      <c r="V5035" s="17">
        <f>ROUNDUP((T5035+U5035+2*'Read Me'!$B$13)*(1+'Read Me'!$B$12),-1)</f>
        <v/>
      </c>
      <c r="W5035" s="17">
        <f>V5035*N5035*O5035</f>
        <v/>
      </c>
      <c r="X5035" s="12">
        <f>IF(LEFT(I5035,2)="MV",2*N5035*IF(L5035="1/C",O5035,1),0)</f>
        <v/>
      </c>
      <c r="Y5035" s="12">
        <f>IF(OR(LEFT(K5035,4)="LVAX",LEFT(K5035,6)="MV15AX",LEFT(K5035,4)="CTAX",LEFT(K5035,2)="W|"),2*N5035*O5035,0)</f>
        <v/>
      </c>
      <c r="Z5035" s="12" t="inlineStr">
        <is>
          <t>VD 1.1 %</t>
        </is>
      </c>
      <c r="AA5035" s="12">
        <f>N5035*O5035</f>
        <v/>
      </c>
    </row>
    <row r="5036">
      <c r="A5036" s="12" t="inlineStr">
        <is>
          <t>I-P-0156</t>
        </is>
      </c>
      <c r="B5036" s="12" t="inlineStr">
        <is>
          <t>I</t>
        </is>
      </c>
      <c r="C5036" s="12" t="inlineStr">
        <is>
          <t>Modular / portable power</t>
        </is>
      </c>
      <c r="D5036" s="12" t="inlineStr">
        <is>
          <t>480 V welding receptacle 2</t>
        </is>
      </c>
      <c r="E5036" s="12" t="inlineStr"/>
      <c r="F5036" s="12" t="inlineStr">
        <is>
          <t>PCM: power control module</t>
        </is>
      </c>
      <c r="G5036" s="12" t="inlineStr">
        <is>
          <t>RICE-7</t>
        </is>
      </c>
      <c r="H5036" s="12" t="inlineStr">
        <is>
          <t>RICE engine-generator 7</t>
        </is>
      </c>
      <c r="I5036" s="12" t="inlineStr">
        <is>
          <t>LV 600 V</t>
        </is>
      </c>
      <c r="J5036" s="12" t="inlineStr">
        <is>
          <t>Type TC-ER 600 V 3/C Cu XHHW-2 + ground, PVC jacket</t>
        </is>
      </c>
      <c r="K5036" s="12" t="inlineStr">
        <is>
          <t>LV|3/C+G|2</t>
        </is>
      </c>
      <c r="L5036" s="12" t="inlineStr">
        <is>
          <t>3/C+G</t>
        </is>
      </c>
      <c r="M5036" s="12" t="inlineStr">
        <is>
          <t>2</t>
        </is>
      </c>
      <c r="N5036" s="12" t="n">
        <v>1</v>
      </c>
      <c r="O5036" s="12" t="n">
        <v>1</v>
      </c>
      <c r="P5036" s="12" t="n">
        <v>480</v>
      </c>
      <c r="Q5036" s="12" t="n">
        <v>60</v>
      </c>
      <c r="R5036" s="12" t="n">
        <v>76</v>
      </c>
      <c r="S5036" s="12" t="inlineStr">
        <is>
          <t>Tray</t>
        </is>
      </c>
      <c r="T5036" s="17" t="n">
        <v>0</v>
      </c>
      <c r="U5036" s="17" t="n">
        <v>189</v>
      </c>
      <c r="V5036" s="17">
        <f>ROUNDUP((T5036+U5036+2*'Read Me'!$B$13)*(1+'Read Me'!$B$12),-1)</f>
        <v/>
      </c>
      <c r="W5036" s="17">
        <f>V5036*N5036*O5036</f>
        <v/>
      </c>
      <c r="X5036" s="12">
        <f>IF(LEFT(I5036,2)="MV",2*N5036*IF(L5036="1/C",O5036,1),0)</f>
        <v/>
      </c>
      <c r="Y5036" s="12">
        <f>IF(OR(LEFT(K5036,4)="LVAX",LEFT(K5036,6)="MV15AX",LEFT(K5036,4)="CTAX",LEFT(K5036,2)="W|"),2*N5036*O5036,0)</f>
        <v/>
      </c>
      <c r="Z5036" s="12" t="inlineStr">
        <is>
          <t>VD 1.1 %</t>
        </is>
      </c>
      <c r="AA5036" s="12">
        <f>N5036*O5036</f>
        <v/>
      </c>
    </row>
    <row r="5037">
      <c r="A5037" s="12" t="inlineStr">
        <is>
          <t>I-P-0157</t>
        </is>
      </c>
      <c r="B5037" s="12" t="inlineStr">
        <is>
          <t>I</t>
        </is>
      </c>
      <c r="C5037" s="12" t="inlineStr">
        <is>
          <t>Modular / portable power</t>
        </is>
      </c>
      <c r="D5037" s="12" t="inlineStr">
        <is>
          <t>480 V welding receptacle 3</t>
        </is>
      </c>
      <c r="E5037" s="12" t="inlineStr"/>
      <c r="F5037" s="12" t="inlineStr">
        <is>
          <t>PCM: power control module</t>
        </is>
      </c>
      <c r="G5037" s="12" t="inlineStr">
        <is>
          <t>RICE-7</t>
        </is>
      </c>
      <c r="H5037" s="12" t="inlineStr">
        <is>
          <t>RICE engine-generator 7</t>
        </is>
      </c>
      <c r="I5037" s="12" t="inlineStr">
        <is>
          <t>LV 600 V</t>
        </is>
      </c>
      <c r="J5037" s="12" t="inlineStr">
        <is>
          <t>Type TC-ER 600 V 3/C Cu XHHW-2 + ground, PVC jacket</t>
        </is>
      </c>
      <c r="K5037" s="12" t="inlineStr">
        <is>
          <t>LV|3/C+G|2</t>
        </is>
      </c>
      <c r="L5037" s="12" t="inlineStr">
        <is>
          <t>3/C+G</t>
        </is>
      </c>
      <c r="M5037" s="12" t="inlineStr">
        <is>
          <t>2</t>
        </is>
      </c>
      <c r="N5037" s="12" t="n">
        <v>1</v>
      </c>
      <c r="O5037" s="12" t="n">
        <v>1</v>
      </c>
      <c r="P5037" s="12" t="n">
        <v>480</v>
      </c>
      <c r="Q5037" s="12" t="n">
        <v>60</v>
      </c>
      <c r="R5037" s="12" t="n">
        <v>76</v>
      </c>
      <c r="S5037" s="12" t="inlineStr">
        <is>
          <t>Tray</t>
        </is>
      </c>
      <c r="T5037" s="17" t="n">
        <v>0</v>
      </c>
      <c r="U5037" s="17" t="n">
        <v>189</v>
      </c>
      <c r="V5037" s="17">
        <f>ROUNDUP((T5037+U5037+2*'Read Me'!$B$13)*(1+'Read Me'!$B$12),-1)</f>
        <v/>
      </c>
      <c r="W5037" s="17">
        <f>V5037*N5037*O5037</f>
        <v/>
      </c>
      <c r="X5037" s="12">
        <f>IF(LEFT(I5037,2)="MV",2*N5037*IF(L5037="1/C",O5037,1),0)</f>
        <v/>
      </c>
      <c r="Y5037" s="12">
        <f>IF(OR(LEFT(K5037,4)="LVAX",LEFT(K5037,6)="MV15AX",LEFT(K5037,4)="CTAX",LEFT(K5037,2)="W|"),2*N5037*O5037,0)</f>
        <v/>
      </c>
      <c r="Z5037" s="12" t="inlineStr">
        <is>
          <t>VD 1.1 %</t>
        </is>
      </c>
      <c r="AA5037" s="12">
        <f>N5037*O5037</f>
        <v/>
      </c>
    </row>
    <row r="5038">
      <c r="A5038" s="12" t="inlineStr">
        <is>
          <t>I-P-0158</t>
        </is>
      </c>
      <c r="B5038" s="12" t="inlineStr">
        <is>
          <t>I</t>
        </is>
      </c>
      <c r="C5038" s="12" t="inlineStr">
        <is>
          <t>Modular / portable power</t>
        </is>
      </c>
      <c r="D5038" s="12" t="inlineStr">
        <is>
          <t>480 V welding receptacle 4</t>
        </is>
      </c>
      <c r="E5038" s="12" t="inlineStr"/>
      <c r="F5038" s="12" t="inlineStr">
        <is>
          <t>PCM: power control module</t>
        </is>
      </c>
      <c r="G5038" s="12" t="inlineStr">
        <is>
          <t>RICE-7</t>
        </is>
      </c>
      <c r="H5038" s="12" t="inlineStr">
        <is>
          <t>RICE engine-generator 7</t>
        </is>
      </c>
      <c r="I5038" s="12" t="inlineStr">
        <is>
          <t>LV 600 V</t>
        </is>
      </c>
      <c r="J5038" s="12" t="inlineStr">
        <is>
          <t>Type TC-ER 600 V 3/C Cu XHHW-2 + ground, PVC jacket</t>
        </is>
      </c>
      <c r="K5038" s="12" t="inlineStr">
        <is>
          <t>LV|3/C+G|2</t>
        </is>
      </c>
      <c r="L5038" s="12" t="inlineStr">
        <is>
          <t>3/C+G</t>
        </is>
      </c>
      <c r="M5038" s="12" t="inlineStr">
        <is>
          <t>2</t>
        </is>
      </c>
      <c r="N5038" s="12" t="n">
        <v>1</v>
      </c>
      <c r="O5038" s="12" t="n">
        <v>1</v>
      </c>
      <c r="P5038" s="12" t="n">
        <v>480</v>
      </c>
      <c r="Q5038" s="12" t="n">
        <v>60</v>
      </c>
      <c r="R5038" s="12" t="n">
        <v>76</v>
      </c>
      <c r="S5038" s="12" t="inlineStr">
        <is>
          <t>Tray</t>
        </is>
      </c>
      <c r="T5038" s="17" t="n">
        <v>0</v>
      </c>
      <c r="U5038" s="17" t="n">
        <v>189</v>
      </c>
      <c r="V5038" s="17">
        <f>ROUNDUP((T5038+U5038+2*'Read Me'!$B$13)*(1+'Read Me'!$B$12),-1)</f>
        <v/>
      </c>
      <c r="W5038" s="17">
        <f>V5038*N5038*O5038</f>
        <v/>
      </c>
      <c r="X5038" s="12">
        <f>IF(LEFT(I5038,2)="MV",2*N5038*IF(L5038="1/C",O5038,1),0)</f>
        <v/>
      </c>
      <c r="Y5038" s="12">
        <f>IF(OR(LEFT(K5038,4)="LVAX",LEFT(K5038,6)="MV15AX",LEFT(K5038,4)="CTAX",LEFT(K5038,2)="W|"),2*N5038*O5038,0)</f>
        <v/>
      </c>
      <c r="Z5038" s="12" t="inlineStr">
        <is>
          <t>VD 1.1 %</t>
        </is>
      </c>
      <c r="AA5038" s="12">
        <f>N5038*O5038</f>
        <v/>
      </c>
    </row>
    <row r="5039">
      <c r="A5039" s="12" t="inlineStr">
        <is>
          <t>I-P-0159</t>
        </is>
      </c>
      <c r="B5039" s="12" t="inlineStr">
        <is>
          <t>I</t>
        </is>
      </c>
      <c r="C5039" s="12" t="inlineStr">
        <is>
          <t>Modular / portable power</t>
        </is>
      </c>
      <c r="D5039" s="12" t="inlineStr">
        <is>
          <t>Motor 1 of 6, 22 kW</t>
        </is>
      </c>
      <c r="E5039" s="12" t="inlineStr"/>
      <c r="F5039" s="12" t="inlineStr">
        <is>
          <t>PCM: power control module</t>
        </is>
      </c>
      <c r="G5039" s="12" t="inlineStr">
        <is>
          <t>RICE-8</t>
        </is>
      </c>
      <c r="H5039" s="12" t="inlineStr">
        <is>
          <t>RICE engine-generator 8</t>
        </is>
      </c>
      <c r="I5039" s="12" t="inlineStr">
        <is>
          <t>LV 600 V</t>
        </is>
      </c>
      <c r="J5039" s="12" t="inlineStr">
        <is>
          <t>Type TC-ER 600 V 3/C Cu XHHW-2 + ground, PVC jacket</t>
        </is>
      </c>
      <c r="K5039" s="12" t="inlineStr">
        <is>
          <t>LV|3/C+G|8</t>
        </is>
      </c>
      <c r="L5039" s="12" t="inlineStr">
        <is>
          <t>3/C+G</t>
        </is>
      </c>
      <c r="M5039" s="12" t="inlineStr">
        <is>
          <t>8</t>
        </is>
      </c>
      <c r="N5039" s="12" t="n">
        <v>1</v>
      </c>
      <c r="O5039" s="12" t="n">
        <v>1</v>
      </c>
      <c r="P5039" s="12" t="n">
        <v>480</v>
      </c>
      <c r="Q5039" s="12" t="n">
        <v>22</v>
      </c>
      <c r="R5039" s="12" t="n">
        <v>31.1</v>
      </c>
      <c r="S5039" s="12" t="inlineStr">
        <is>
          <t>Tray</t>
        </is>
      </c>
      <c r="T5039" s="17" t="n">
        <v>0</v>
      </c>
      <c r="U5039" s="17" t="n">
        <v>161</v>
      </c>
      <c r="V5039" s="17">
        <f>ROUNDUP((T5039+U5039+2*'Read Me'!$B$13)*(1+'Read Me'!$B$12),-1)</f>
        <v/>
      </c>
      <c r="W5039" s="17">
        <f>V5039*N5039*O5039</f>
        <v/>
      </c>
      <c r="X5039" s="12">
        <f>IF(LEFT(I5039,2)="MV",2*N5039*IF(L5039="1/C",O5039,1),0)</f>
        <v/>
      </c>
      <c r="Y5039" s="12">
        <f>IF(OR(LEFT(K5039,4)="LVAX",LEFT(K5039,6)="MV15AX",LEFT(K5039,4)="CTAX",LEFT(K5039,2)="W|"),2*N5039*O5039,0)</f>
        <v/>
      </c>
      <c r="Z5039" s="12" t="inlineStr">
        <is>
          <t>VD 1.5 %</t>
        </is>
      </c>
      <c r="AA5039" s="12">
        <f>N5039*O5039</f>
        <v/>
      </c>
    </row>
    <row r="5040">
      <c r="A5040" s="12" t="inlineStr">
        <is>
          <t>I-P-0160</t>
        </is>
      </c>
      <c r="B5040" s="12" t="inlineStr">
        <is>
          <t>I</t>
        </is>
      </c>
      <c r="C5040" s="12" t="inlineStr">
        <is>
          <t>Modular / portable power</t>
        </is>
      </c>
      <c r="D5040" s="12" t="inlineStr">
        <is>
          <t>Motor 2 of 6, 22 kW</t>
        </is>
      </c>
      <c r="E5040" s="12" t="inlineStr"/>
      <c r="F5040" s="12" t="inlineStr">
        <is>
          <t>PCM: power control module</t>
        </is>
      </c>
      <c r="G5040" s="12" t="inlineStr">
        <is>
          <t>RICE-8</t>
        </is>
      </c>
      <c r="H5040" s="12" t="inlineStr">
        <is>
          <t>RICE engine-generator 8</t>
        </is>
      </c>
      <c r="I5040" s="12" t="inlineStr">
        <is>
          <t>LV 600 V</t>
        </is>
      </c>
      <c r="J5040" s="12" t="inlineStr">
        <is>
          <t>Type TC-ER 600 V 3/C Cu XHHW-2 + ground, PVC jacket</t>
        </is>
      </c>
      <c r="K5040" s="12" t="inlineStr">
        <is>
          <t>LV|3/C+G|8</t>
        </is>
      </c>
      <c r="L5040" s="12" t="inlineStr">
        <is>
          <t>3/C+G</t>
        </is>
      </c>
      <c r="M5040" s="12" t="inlineStr">
        <is>
          <t>8</t>
        </is>
      </c>
      <c r="N5040" s="12" t="n">
        <v>1</v>
      </c>
      <c r="O5040" s="12" t="n">
        <v>1</v>
      </c>
      <c r="P5040" s="12" t="n">
        <v>480</v>
      </c>
      <c r="Q5040" s="12" t="n">
        <v>22</v>
      </c>
      <c r="R5040" s="12" t="n">
        <v>31.1</v>
      </c>
      <c r="S5040" s="12" t="inlineStr">
        <is>
          <t>Tray</t>
        </is>
      </c>
      <c r="T5040" s="17" t="n">
        <v>0</v>
      </c>
      <c r="U5040" s="17" t="n">
        <v>161</v>
      </c>
      <c r="V5040" s="17">
        <f>ROUNDUP((T5040+U5040+2*'Read Me'!$B$13)*(1+'Read Me'!$B$12),-1)</f>
        <v/>
      </c>
      <c r="W5040" s="17">
        <f>V5040*N5040*O5040</f>
        <v/>
      </c>
      <c r="X5040" s="12">
        <f>IF(LEFT(I5040,2)="MV",2*N5040*IF(L5040="1/C",O5040,1),0)</f>
        <v/>
      </c>
      <c r="Y5040" s="12">
        <f>IF(OR(LEFT(K5040,4)="LVAX",LEFT(K5040,6)="MV15AX",LEFT(K5040,4)="CTAX",LEFT(K5040,2)="W|"),2*N5040*O5040,0)</f>
        <v/>
      </c>
      <c r="Z5040" s="12" t="inlineStr">
        <is>
          <t>VD 1.5 %</t>
        </is>
      </c>
      <c r="AA5040" s="12">
        <f>N5040*O5040</f>
        <v/>
      </c>
    </row>
    <row r="5041">
      <c r="A5041" s="12" t="inlineStr">
        <is>
          <t>I-P-0161</t>
        </is>
      </c>
      <c r="B5041" s="12" t="inlineStr">
        <is>
          <t>I</t>
        </is>
      </c>
      <c r="C5041" s="12" t="inlineStr">
        <is>
          <t>Modular / portable power</t>
        </is>
      </c>
      <c r="D5041" s="12" t="inlineStr">
        <is>
          <t>Motor 3 of 6, 22 kW</t>
        </is>
      </c>
      <c r="E5041" s="12" t="inlineStr"/>
      <c r="F5041" s="12" t="inlineStr">
        <is>
          <t>PCM: power control module</t>
        </is>
      </c>
      <c r="G5041" s="12" t="inlineStr">
        <is>
          <t>RICE-8</t>
        </is>
      </c>
      <c r="H5041" s="12" t="inlineStr">
        <is>
          <t>RICE engine-generator 8</t>
        </is>
      </c>
      <c r="I5041" s="12" t="inlineStr">
        <is>
          <t>LV 600 V</t>
        </is>
      </c>
      <c r="J5041" s="12" t="inlineStr">
        <is>
          <t>Type TC-ER 600 V 3/C Cu XHHW-2 + ground, PVC jacket</t>
        </is>
      </c>
      <c r="K5041" s="12" t="inlineStr">
        <is>
          <t>LV|3/C+G|8</t>
        </is>
      </c>
      <c r="L5041" s="12" t="inlineStr">
        <is>
          <t>3/C+G</t>
        </is>
      </c>
      <c r="M5041" s="12" t="inlineStr">
        <is>
          <t>8</t>
        </is>
      </c>
      <c r="N5041" s="12" t="n">
        <v>1</v>
      </c>
      <c r="O5041" s="12" t="n">
        <v>1</v>
      </c>
      <c r="P5041" s="12" t="n">
        <v>480</v>
      </c>
      <c r="Q5041" s="12" t="n">
        <v>22</v>
      </c>
      <c r="R5041" s="12" t="n">
        <v>31.1</v>
      </c>
      <c r="S5041" s="12" t="inlineStr">
        <is>
          <t>Tray</t>
        </is>
      </c>
      <c r="T5041" s="17" t="n">
        <v>0</v>
      </c>
      <c r="U5041" s="17" t="n">
        <v>161</v>
      </c>
      <c r="V5041" s="17">
        <f>ROUNDUP((T5041+U5041+2*'Read Me'!$B$13)*(1+'Read Me'!$B$12),-1)</f>
        <v/>
      </c>
      <c r="W5041" s="17">
        <f>V5041*N5041*O5041</f>
        <v/>
      </c>
      <c r="X5041" s="12">
        <f>IF(LEFT(I5041,2)="MV",2*N5041*IF(L5041="1/C",O5041,1),0)</f>
        <v/>
      </c>
      <c r="Y5041" s="12">
        <f>IF(OR(LEFT(K5041,4)="LVAX",LEFT(K5041,6)="MV15AX",LEFT(K5041,4)="CTAX",LEFT(K5041,2)="W|"),2*N5041*O5041,0)</f>
        <v/>
      </c>
      <c r="Z5041" s="12" t="inlineStr">
        <is>
          <t>VD 1.5 %</t>
        </is>
      </c>
      <c r="AA5041" s="12">
        <f>N5041*O5041</f>
        <v/>
      </c>
    </row>
    <row r="5042">
      <c r="A5042" s="12" t="inlineStr">
        <is>
          <t>I-P-0162</t>
        </is>
      </c>
      <c r="B5042" s="12" t="inlineStr">
        <is>
          <t>I</t>
        </is>
      </c>
      <c r="C5042" s="12" t="inlineStr">
        <is>
          <t>Modular / portable power</t>
        </is>
      </c>
      <c r="D5042" s="12" t="inlineStr">
        <is>
          <t>Motor 4 of 6, 22 kW</t>
        </is>
      </c>
      <c r="E5042" s="12" t="inlineStr"/>
      <c r="F5042" s="12" t="inlineStr">
        <is>
          <t>PCM: power control module</t>
        </is>
      </c>
      <c r="G5042" s="12" t="inlineStr">
        <is>
          <t>RICE-8</t>
        </is>
      </c>
      <c r="H5042" s="12" t="inlineStr">
        <is>
          <t>RICE engine-generator 8</t>
        </is>
      </c>
      <c r="I5042" s="12" t="inlineStr">
        <is>
          <t>LV 600 V</t>
        </is>
      </c>
      <c r="J5042" s="12" t="inlineStr">
        <is>
          <t>Type TC-ER 600 V 3/C Cu XHHW-2 + ground, PVC jacket</t>
        </is>
      </c>
      <c r="K5042" s="12" t="inlineStr">
        <is>
          <t>LV|3/C+G|8</t>
        </is>
      </c>
      <c r="L5042" s="12" t="inlineStr">
        <is>
          <t>3/C+G</t>
        </is>
      </c>
      <c r="M5042" s="12" t="inlineStr">
        <is>
          <t>8</t>
        </is>
      </c>
      <c r="N5042" s="12" t="n">
        <v>1</v>
      </c>
      <c r="O5042" s="12" t="n">
        <v>1</v>
      </c>
      <c r="P5042" s="12" t="n">
        <v>480</v>
      </c>
      <c r="Q5042" s="12" t="n">
        <v>22</v>
      </c>
      <c r="R5042" s="12" t="n">
        <v>31.1</v>
      </c>
      <c r="S5042" s="12" t="inlineStr">
        <is>
          <t>Tray</t>
        </is>
      </c>
      <c r="T5042" s="17" t="n">
        <v>0</v>
      </c>
      <c r="U5042" s="17" t="n">
        <v>161</v>
      </c>
      <c r="V5042" s="17">
        <f>ROUNDUP((T5042+U5042+2*'Read Me'!$B$13)*(1+'Read Me'!$B$12),-1)</f>
        <v/>
      </c>
      <c r="W5042" s="17">
        <f>V5042*N5042*O5042</f>
        <v/>
      </c>
      <c r="X5042" s="12">
        <f>IF(LEFT(I5042,2)="MV",2*N5042*IF(L5042="1/C",O5042,1),0)</f>
        <v/>
      </c>
      <c r="Y5042" s="12">
        <f>IF(OR(LEFT(K5042,4)="LVAX",LEFT(K5042,6)="MV15AX",LEFT(K5042,4)="CTAX",LEFT(K5042,2)="W|"),2*N5042*O5042,0)</f>
        <v/>
      </c>
      <c r="Z5042" s="12" t="inlineStr">
        <is>
          <t>VD 1.5 %</t>
        </is>
      </c>
      <c r="AA5042" s="12">
        <f>N5042*O5042</f>
        <v/>
      </c>
    </row>
    <row r="5043">
      <c r="A5043" s="12" t="inlineStr">
        <is>
          <t>I-P-0163</t>
        </is>
      </c>
      <c r="B5043" s="12" t="inlineStr">
        <is>
          <t>I</t>
        </is>
      </c>
      <c r="C5043" s="12" t="inlineStr">
        <is>
          <t>Modular / portable power</t>
        </is>
      </c>
      <c r="D5043" s="12" t="inlineStr">
        <is>
          <t>Motor 5 of 6, 22 kW</t>
        </is>
      </c>
      <c r="E5043" s="12" t="inlineStr"/>
      <c r="F5043" s="12" t="inlineStr">
        <is>
          <t>PCM: power control module</t>
        </is>
      </c>
      <c r="G5043" s="12" t="inlineStr">
        <is>
          <t>RICE-8</t>
        </is>
      </c>
      <c r="H5043" s="12" t="inlineStr">
        <is>
          <t>RICE engine-generator 8</t>
        </is>
      </c>
      <c r="I5043" s="12" t="inlineStr">
        <is>
          <t>LV 600 V</t>
        </is>
      </c>
      <c r="J5043" s="12" t="inlineStr">
        <is>
          <t>Type TC-ER 600 V 3/C Cu XHHW-2 + ground, PVC jacket</t>
        </is>
      </c>
      <c r="K5043" s="12" t="inlineStr">
        <is>
          <t>LV|3/C+G|8</t>
        </is>
      </c>
      <c r="L5043" s="12" t="inlineStr">
        <is>
          <t>3/C+G</t>
        </is>
      </c>
      <c r="M5043" s="12" t="inlineStr">
        <is>
          <t>8</t>
        </is>
      </c>
      <c r="N5043" s="12" t="n">
        <v>1</v>
      </c>
      <c r="O5043" s="12" t="n">
        <v>1</v>
      </c>
      <c r="P5043" s="12" t="n">
        <v>480</v>
      </c>
      <c r="Q5043" s="12" t="n">
        <v>22</v>
      </c>
      <c r="R5043" s="12" t="n">
        <v>31.1</v>
      </c>
      <c r="S5043" s="12" t="inlineStr">
        <is>
          <t>Tray</t>
        </is>
      </c>
      <c r="T5043" s="17" t="n">
        <v>0</v>
      </c>
      <c r="U5043" s="17" t="n">
        <v>161</v>
      </c>
      <c r="V5043" s="17">
        <f>ROUNDUP((T5043+U5043+2*'Read Me'!$B$13)*(1+'Read Me'!$B$12),-1)</f>
        <v/>
      </c>
      <c r="W5043" s="17">
        <f>V5043*N5043*O5043</f>
        <v/>
      </c>
      <c r="X5043" s="12">
        <f>IF(LEFT(I5043,2)="MV",2*N5043*IF(L5043="1/C",O5043,1),0)</f>
        <v/>
      </c>
      <c r="Y5043" s="12">
        <f>IF(OR(LEFT(K5043,4)="LVAX",LEFT(K5043,6)="MV15AX",LEFT(K5043,4)="CTAX",LEFT(K5043,2)="W|"),2*N5043*O5043,0)</f>
        <v/>
      </c>
      <c r="Z5043" s="12" t="inlineStr">
        <is>
          <t>VD 1.5 %</t>
        </is>
      </c>
      <c r="AA5043" s="12">
        <f>N5043*O5043</f>
        <v/>
      </c>
    </row>
    <row r="5044">
      <c r="A5044" s="12" t="inlineStr">
        <is>
          <t>I-P-0164</t>
        </is>
      </c>
      <c r="B5044" s="12" t="inlineStr">
        <is>
          <t>I</t>
        </is>
      </c>
      <c r="C5044" s="12" t="inlineStr">
        <is>
          <t>Modular / portable power</t>
        </is>
      </c>
      <c r="D5044" s="12" t="inlineStr">
        <is>
          <t>Motor 6 of 6, 22 kW</t>
        </is>
      </c>
      <c r="E5044" s="12" t="inlineStr"/>
      <c r="F5044" s="12" t="inlineStr">
        <is>
          <t>PCM: power control module</t>
        </is>
      </c>
      <c r="G5044" s="12" t="inlineStr">
        <is>
          <t>RICE-8</t>
        </is>
      </c>
      <c r="H5044" s="12" t="inlineStr">
        <is>
          <t>RICE engine-generator 8</t>
        </is>
      </c>
      <c r="I5044" s="12" t="inlineStr">
        <is>
          <t>LV 600 V</t>
        </is>
      </c>
      <c r="J5044" s="12" t="inlineStr">
        <is>
          <t>Type TC-ER 600 V 3/C Cu XHHW-2 + ground, PVC jacket</t>
        </is>
      </c>
      <c r="K5044" s="12" t="inlineStr">
        <is>
          <t>LV|3/C+G|8</t>
        </is>
      </c>
      <c r="L5044" s="12" t="inlineStr">
        <is>
          <t>3/C+G</t>
        </is>
      </c>
      <c r="M5044" s="12" t="inlineStr">
        <is>
          <t>8</t>
        </is>
      </c>
      <c r="N5044" s="12" t="n">
        <v>1</v>
      </c>
      <c r="O5044" s="12" t="n">
        <v>1</v>
      </c>
      <c r="P5044" s="12" t="n">
        <v>480</v>
      </c>
      <c r="Q5044" s="12" t="n">
        <v>22</v>
      </c>
      <c r="R5044" s="12" t="n">
        <v>31.1</v>
      </c>
      <c r="S5044" s="12" t="inlineStr">
        <is>
          <t>Tray</t>
        </is>
      </c>
      <c r="T5044" s="17" t="n">
        <v>0</v>
      </c>
      <c r="U5044" s="17" t="n">
        <v>161</v>
      </c>
      <c r="V5044" s="17">
        <f>ROUNDUP((T5044+U5044+2*'Read Me'!$B$13)*(1+'Read Me'!$B$12),-1)</f>
        <v/>
      </c>
      <c r="W5044" s="17">
        <f>V5044*N5044*O5044</f>
        <v/>
      </c>
      <c r="X5044" s="12">
        <f>IF(LEFT(I5044,2)="MV",2*N5044*IF(L5044="1/C",O5044,1),0)</f>
        <v/>
      </c>
      <c r="Y5044" s="12">
        <f>IF(OR(LEFT(K5044,4)="LVAX",LEFT(K5044,6)="MV15AX",LEFT(K5044,4)="CTAX",LEFT(K5044,2)="W|"),2*N5044*O5044,0)</f>
        <v/>
      </c>
      <c r="Z5044" s="12" t="inlineStr">
        <is>
          <t>VD 1.5 %</t>
        </is>
      </c>
      <c r="AA5044" s="12">
        <f>N5044*O5044</f>
        <v/>
      </c>
    </row>
    <row r="5045">
      <c r="A5045" s="12" t="inlineStr">
        <is>
          <t>I-P-0165</t>
        </is>
      </c>
      <c r="B5045" s="12" t="inlineStr">
        <is>
          <t>I</t>
        </is>
      </c>
      <c r="C5045" s="12" t="inlineStr">
        <is>
          <t>Modular / portable power</t>
        </is>
      </c>
      <c r="D5045" s="12" t="inlineStr">
        <is>
          <t>480 V welding receptacle 1</t>
        </is>
      </c>
      <c r="E5045" s="12" t="inlineStr"/>
      <c r="F5045" s="12" t="inlineStr">
        <is>
          <t>PCM: power control module</t>
        </is>
      </c>
      <c r="G5045" s="12" t="inlineStr">
        <is>
          <t>RICE-8</t>
        </is>
      </c>
      <c r="H5045" s="12" t="inlineStr">
        <is>
          <t>RICE engine-generator 8</t>
        </is>
      </c>
      <c r="I5045" s="12" t="inlineStr">
        <is>
          <t>LV 600 V</t>
        </is>
      </c>
      <c r="J5045" s="12" t="inlineStr">
        <is>
          <t>Type TC-ER 600 V 3/C Cu XHHW-2 + ground, PVC jacket</t>
        </is>
      </c>
      <c r="K5045" s="12" t="inlineStr">
        <is>
          <t>LV|3/C+G|2</t>
        </is>
      </c>
      <c r="L5045" s="12" t="inlineStr">
        <is>
          <t>3/C+G</t>
        </is>
      </c>
      <c r="M5045" s="12" t="inlineStr">
        <is>
          <t>2</t>
        </is>
      </c>
      <c r="N5045" s="12" t="n">
        <v>1</v>
      </c>
      <c r="O5045" s="12" t="n">
        <v>1</v>
      </c>
      <c r="P5045" s="12" t="n">
        <v>480</v>
      </c>
      <c r="Q5045" s="12" t="n">
        <v>60</v>
      </c>
      <c r="R5045" s="12" t="n">
        <v>76</v>
      </c>
      <c r="S5045" s="12" t="inlineStr">
        <is>
          <t>Tray</t>
        </is>
      </c>
      <c r="T5045" s="17" t="n">
        <v>0</v>
      </c>
      <c r="U5045" s="17" t="n">
        <v>161</v>
      </c>
      <c r="V5045" s="17">
        <f>ROUNDUP((T5045+U5045+2*'Read Me'!$B$13)*(1+'Read Me'!$B$12),-1)</f>
        <v/>
      </c>
      <c r="W5045" s="17">
        <f>V5045*N5045*O5045</f>
        <v/>
      </c>
      <c r="X5045" s="12">
        <f>IF(LEFT(I5045,2)="MV",2*N5045*IF(L5045="1/C",O5045,1),0)</f>
        <v/>
      </c>
      <c r="Y5045" s="12">
        <f>IF(OR(LEFT(K5045,4)="LVAX",LEFT(K5045,6)="MV15AX",LEFT(K5045,4)="CTAX",LEFT(K5045,2)="W|"),2*N5045*O5045,0)</f>
        <v/>
      </c>
      <c r="Z5045" s="12" t="inlineStr">
        <is>
          <t>VD 0.9 %</t>
        </is>
      </c>
      <c r="AA5045" s="12">
        <f>N5045*O5045</f>
        <v/>
      </c>
    </row>
    <row r="5046">
      <c r="A5046" s="12" t="inlineStr">
        <is>
          <t>I-P-0166</t>
        </is>
      </c>
      <c r="B5046" s="12" t="inlineStr">
        <is>
          <t>I</t>
        </is>
      </c>
      <c r="C5046" s="12" t="inlineStr">
        <is>
          <t>Modular / portable power</t>
        </is>
      </c>
      <c r="D5046" s="12" t="inlineStr">
        <is>
          <t>480 V welding receptacle 2</t>
        </is>
      </c>
      <c r="E5046" s="12" t="inlineStr"/>
      <c r="F5046" s="12" t="inlineStr">
        <is>
          <t>PCM: power control module</t>
        </is>
      </c>
      <c r="G5046" s="12" t="inlineStr">
        <is>
          <t>RICE-8</t>
        </is>
      </c>
      <c r="H5046" s="12" t="inlineStr">
        <is>
          <t>RICE engine-generator 8</t>
        </is>
      </c>
      <c r="I5046" s="12" t="inlineStr">
        <is>
          <t>LV 600 V</t>
        </is>
      </c>
      <c r="J5046" s="12" t="inlineStr">
        <is>
          <t>Type TC-ER 600 V 3/C Cu XHHW-2 + ground, PVC jacket</t>
        </is>
      </c>
      <c r="K5046" s="12" t="inlineStr">
        <is>
          <t>LV|3/C+G|2</t>
        </is>
      </c>
      <c r="L5046" s="12" t="inlineStr">
        <is>
          <t>3/C+G</t>
        </is>
      </c>
      <c r="M5046" s="12" t="inlineStr">
        <is>
          <t>2</t>
        </is>
      </c>
      <c r="N5046" s="12" t="n">
        <v>1</v>
      </c>
      <c r="O5046" s="12" t="n">
        <v>1</v>
      </c>
      <c r="P5046" s="12" t="n">
        <v>480</v>
      </c>
      <c r="Q5046" s="12" t="n">
        <v>60</v>
      </c>
      <c r="R5046" s="12" t="n">
        <v>76</v>
      </c>
      <c r="S5046" s="12" t="inlineStr">
        <is>
          <t>Tray</t>
        </is>
      </c>
      <c r="T5046" s="17" t="n">
        <v>0</v>
      </c>
      <c r="U5046" s="17" t="n">
        <v>161</v>
      </c>
      <c r="V5046" s="17">
        <f>ROUNDUP((T5046+U5046+2*'Read Me'!$B$13)*(1+'Read Me'!$B$12),-1)</f>
        <v/>
      </c>
      <c r="W5046" s="17">
        <f>V5046*N5046*O5046</f>
        <v/>
      </c>
      <c r="X5046" s="12">
        <f>IF(LEFT(I5046,2)="MV",2*N5046*IF(L5046="1/C",O5046,1),0)</f>
        <v/>
      </c>
      <c r="Y5046" s="12">
        <f>IF(OR(LEFT(K5046,4)="LVAX",LEFT(K5046,6)="MV15AX",LEFT(K5046,4)="CTAX",LEFT(K5046,2)="W|"),2*N5046*O5046,0)</f>
        <v/>
      </c>
      <c r="Z5046" s="12" t="inlineStr">
        <is>
          <t>VD 0.9 %</t>
        </is>
      </c>
      <c r="AA5046" s="12">
        <f>N5046*O5046</f>
        <v/>
      </c>
    </row>
    <row r="5047">
      <c r="A5047" s="12" t="inlineStr">
        <is>
          <t>I-P-0167</t>
        </is>
      </c>
      <c r="B5047" s="12" t="inlineStr">
        <is>
          <t>I</t>
        </is>
      </c>
      <c r="C5047" s="12" t="inlineStr">
        <is>
          <t>Modular / portable power</t>
        </is>
      </c>
      <c r="D5047" s="12" t="inlineStr">
        <is>
          <t>480 V welding receptacle 3</t>
        </is>
      </c>
      <c r="E5047" s="12" t="inlineStr"/>
      <c r="F5047" s="12" t="inlineStr">
        <is>
          <t>PCM: power control module</t>
        </is>
      </c>
      <c r="G5047" s="12" t="inlineStr">
        <is>
          <t>RICE-8</t>
        </is>
      </c>
      <c r="H5047" s="12" t="inlineStr">
        <is>
          <t>RICE engine-generator 8</t>
        </is>
      </c>
      <c r="I5047" s="12" t="inlineStr">
        <is>
          <t>LV 600 V</t>
        </is>
      </c>
      <c r="J5047" s="12" t="inlineStr">
        <is>
          <t>Type TC-ER 600 V 3/C Cu XHHW-2 + ground, PVC jacket</t>
        </is>
      </c>
      <c r="K5047" s="12" t="inlineStr">
        <is>
          <t>LV|3/C+G|2</t>
        </is>
      </c>
      <c r="L5047" s="12" t="inlineStr">
        <is>
          <t>3/C+G</t>
        </is>
      </c>
      <c r="M5047" s="12" t="inlineStr">
        <is>
          <t>2</t>
        </is>
      </c>
      <c r="N5047" s="12" t="n">
        <v>1</v>
      </c>
      <c r="O5047" s="12" t="n">
        <v>1</v>
      </c>
      <c r="P5047" s="12" t="n">
        <v>480</v>
      </c>
      <c r="Q5047" s="12" t="n">
        <v>60</v>
      </c>
      <c r="R5047" s="12" t="n">
        <v>76</v>
      </c>
      <c r="S5047" s="12" t="inlineStr">
        <is>
          <t>Tray</t>
        </is>
      </c>
      <c r="T5047" s="17" t="n">
        <v>0</v>
      </c>
      <c r="U5047" s="17" t="n">
        <v>161</v>
      </c>
      <c r="V5047" s="17">
        <f>ROUNDUP((T5047+U5047+2*'Read Me'!$B$13)*(1+'Read Me'!$B$12),-1)</f>
        <v/>
      </c>
      <c r="W5047" s="17">
        <f>V5047*N5047*O5047</f>
        <v/>
      </c>
      <c r="X5047" s="12">
        <f>IF(LEFT(I5047,2)="MV",2*N5047*IF(L5047="1/C",O5047,1),0)</f>
        <v/>
      </c>
      <c r="Y5047" s="12">
        <f>IF(OR(LEFT(K5047,4)="LVAX",LEFT(K5047,6)="MV15AX",LEFT(K5047,4)="CTAX",LEFT(K5047,2)="W|"),2*N5047*O5047,0)</f>
        <v/>
      </c>
      <c r="Z5047" s="12" t="inlineStr">
        <is>
          <t>VD 0.9 %</t>
        </is>
      </c>
      <c r="AA5047" s="12">
        <f>N5047*O5047</f>
        <v/>
      </c>
    </row>
    <row r="5048">
      <c r="A5048" s="12" t="inlineStr">
        <is>
          <t>I-P-0168</t>
        </is>
      </c>
      <c r="B5048" s="12" t="inlineStr">
        <is>
          <t>I</t>
        </is>
      </c>
      <c r="C5048" s="12" t="inlineStr">
        <is>
          <t>Modular / portable power</t>
        </is>
      </c>
      <c r="D5048" s="12" t="inlineStr">
        <is>
          <t>480 V welding receptacle 4</t>
        </is>
      </c>
      <c r="E5048" s="12" t="inlineStr"/>
      <c r="F5048" s="12" t="inlineStr">
        <is>
          <t>PCM: power control module</t>
        </is>
      </c>
      <c r="G5048" s="12" t="inlineStr">
        <is>
          <t>RICE-8</t>
        </is>
      </c>
      <c r="H5048" s="12" t="inlineStr">
        <is>
          <t>RICE engine-generator 8</t>
        </is>
      </c>
      <c r="I5048" s="12" t="inlineStr">
        <is>
          <t>LV 600 V</t>
        </is>
      </c>
      <c r="J5048" s="12" t="inlineStr">
        <is>
          <t>Type TC-ER 600 V 3/C Cu XHHW-2 + ground, PVC jacket</t>
        </is>
      </c>
      <c r="K5048" s="12" t="inlineStr">
        <is>
          <t>LV|3/C+G|2</t>
        </is>
      </c>
      <c r="L5048" s="12" t="inlineStr">
        <is>
          <t>3/C+G</t>
        </is>
      </c>
      <c r="M5048" s="12" t="inlineStr">
        <is>
          <t>2</t>
        </is>
      </c>
      <c r="N5048" s="12" t="n">
        <v>1</v>
      </c>
      <c r="O5048" s="12" t="n">
        <v>1</v>
      </c>
      <c r="P5048" s="12" t="n">
        <v>480</v>
      </c>
      <c r="Q5048" s="12" t="n">
        <v>60</v>
      </c>
      <c r="R5048" s="12" t="n">
        <v>76</v>
      </c>
      <c r="S5048" s="12" t="inlineStr">
        <is>
          <t>Tray</t>
        </is>
      </c>
      <c r="T5048" s="17" t="n">
        <v>0</v>
      </c>
      <c r="U5048" s="17" t="n">
        <v>161</v>
      </c>
      <c r="V5048" s="17">
        <f>ROUNDUP((T5048+U5048+2*'Read Me'!$B$13)*(1+'Read Me'!$B$12),-1)</f>
        <v/>
      </c>
      <c r="W5048" s="17">
        <f>V5048*N5048*O5048</f>
        <v/>
      </c>
      <c r="X5048" s="12">
        <f>IF(LEFT(I5048,2)="MV",2*N5048*IF(L5048="1/C",O5048,1),0)</f>
        <v/>
      </c>
      <c r="Y5048" s="12">
        <f>IF(OR(LEFT(K5048,4)="LVAX",LEFT(K5048,6)="MV15AX",LEFT(K5048,4)="CTAX",LEFT(K5048,2)="W|"),2*N5048*O5048,0)</f>
        <v/>
      </c>
      <c r="Z5048" s="12" t="inlineStr">
        <is>
          <t>VD 0.9 %</t>
        </is>
      </c>
      <c r="AA5048" s="12">
        <f>N5048*O5048</f>
        <v/>
      </c>
    </row>
    <row r="5049">
      <c r="A5049" s="12" t="inlineStr">
        <is>
          <t>I-P-0169</t>
        </is>
      </c>
      <c r="B5049" s="12" t="inlineStr">
        <is>
          <t>I</t>
        </is>
      </c>
      <c r="C5049" s="12" t="inlineStr">
        <is>
          <t>Modular / portable power</t>
        </is>
      </c>
      <c r="D5049" s="12" t="inlineStr">
        <is>
          <t>LV power feeder</t>
        </is>
      </c>
      <c r="E5049" s="12" t="inlineStr"/>
      <c r="F5049" s="12" t="inlineStr">
        <is>
          <t>PCM: power control module</t>
        </is>
      </c>
      <c r="G5049" s="12" t="inlineStr"/>
      <c r="H5049" s="12" t="inlineStr">
        <is>
          <t>Reagent storage</t>
        </is>
      </c>
      <c r="I5049" s="12" t="inlineStr">
        <is>
          <t>LV 600 V</t>
        </is>
      </c>
      <c r="J5049" s="12" t="inlineStr">
        <is>
          <t>Type TC-ER 600 V 3/C Cu XHHW-2 + ground, PVC jacket</t>
        </is>
      </c>
      <c r="K5049" s="12" t="inlineStr">
        <is>
          <t>LV|3/C+G|10</t>
        </is>
      </c>
      <c r="L5049" s="12" t="inlineStr">
        <is>
          <t>3/C+G</t>
        </is>
      </c>
      <c r="M5049" s="12" t="inlineStr">
        <is>
          <t>10</t>
        </is>
      </c>
      <c r="N5049" s="12" t="n">
        <v>1</v>
      </c>
      <c r="O5049" s="12" t="n">
        <v>1</v>
      </c>
      <c r="P5049" s="12" t="n">
        <v>480</v>
      </c>
      <c r="Q5049" s="12" t="n">
        <v>15</v>
      </c>
      <c r="R5049" s="12" t="n">
        <v>21.2</v>
      </c>
      <c r="S5049" s="12" t="inlineStr">
        <is>
          <t>Tray</t>
        </is>
      </c>
      <c r="T5049" s="17" t="n">
        <v>40</v>
      </c>
      <c r="U5049" s="17" t="n">
        <v>32</v>
      </c>
      <c r="V5049" s="17">
        <f>ROUNDUP((T5049+U5049+2*'Read Me'!$B$13)*(1+'Read Me'!$B$12),-1)</f>
        <v/>
      </c>
      <c r="W5049" s="17">
        <f>V5049*N5049*O5049</f>
        <v/>
      </c>
      <c r="X5049" s="12">
        <f>IF(LEFT(I5049,2)="MV",2*N5049*IF(L5049="1/C",O5049,1),0)</f>
        <v/>
      </c>
      <c r="Y5049" s="12">
        <f>IF(OR(LEFT(K5049,4)="LVAX",LEFT(K5049,6)="MV15AX",LEFT(K5049,4)="CTAX",LEFT(K5049,2)="W|"),2*N5049*O5049,0)</f>
        <v/>
      </c>
      <c r="Z5049" s="12" t="inlineStr">
        <is>
          <t>VD 0.7 %</t>
        </is>
      </c>
      <c r="AA5049" s="12">
        <f>N5049*O5049</f>
        <v/>
      </c>
    </row>
    <row r="5050">
      <c r="A5050" s="12" t="inlineStr">
        <is>
          <t>I-P-0170</t>
        </is>
      </c>
      <c r="B5050" s="12" t="inlineStr">
        <is>
          <t>I</t>
        </is>
      </c>
      <c r="C5050" s="12" t="inlineStr">
        <is>
          <t>Modular / portable power</t>
        </is>
      </c>
      <c r="D5050" s="12" t="inlineStr">
        <is>
          <t>Motor 1 of 2, 30 kW</t>
        </is>
      </c>
      <c r="E5050" s="12" t="inlineStr"/>
      <c r="F5050" s="12" t="inlineStr">
        <is>
          <t>PCM: power control module</t>
        </is>
      </c>
      <c r="G5050" s="12" t="inlineStr"/>
      <c r="H5050" s="12" t="inlineStr">
        <is>
          <t>SC-1 SCR / CO catalyst</t>
        </is>
      </c>
      <c r="I5050" s="12" t="inlineStr">
        <is>
          <t>LV 600 V</t>
        </is>
      </c>
      <c r="J5050" s="12" t="inlineStr">
        <is>
          <t>Type TC-ER 600 V 3/C Cu XHHW-2 + ground, PVC jacket</t>
        </is>
      </c>
      <c r="K5050" s="12" t="inlineStr">
        <is>
          <t>LV|3/C+G|6</t>
        </is>
      </c>
      <c r="L5050" s="12" t="inlineStr">
        <is>
          <t>3/C+G</t>
        </is>
      </c>
      <c r="M5050" s="12" t="inlineStr">
        <is>
          <t>6</t>
        </is>
      </c>
      <c r="N5050" s="12" t="n">
        <v>1</v>
      </c>
      <c r="O5050" s="12" t="n">
        <v>1</v>
      </c>
      <c r="P5050" s="12" t="n">
        <v>480</v>
      </c>
      <c r="Q5050" s="12" t="n">
        <v>30</v>
      </c>
      <c r="R5050" s="12" t="n">
        <v>42.5</v>
      </c>
      <c r="S5050" s="12" t="inlineStr">
        <is>
          <t>Duct bank</t>
        </is>
      </c>
      <c r="T5050" s="17" t="n">
        <v>40</v>
      </c>
      <c r="U5050" s="17" t="n">
        <v>142</v>
      </c>
      <c r="V5050" s="17">
        <f>ROUNDUP((T5050+U5050+2*'Read Me'!$B$13)*(1+'Read Me'!$B$12),-1)</f>
        <v/>
      </c>
      <c r="W5050" s="17">
        <f>V5050*N5050*O5050</f>
        <v/>
      </c>
      <c r="X5050" s="12">
        <f>IF(LEFT(I5050,2)="MV",2*N5050*IF(L5050="1/C",O5050,1),0)</f>
        <v/>
      </c>
      <c r="Y5050" s="12">
        <f>IF(OR(LEFT(K5050,4)="LVAX",LEFT(K5050,6)="MV15AX",LEFT(K5050,4)="CTAX",LEFT(K5050,2)="W|"),2*N5050*O5050,0)</f>
        <v/>
      </c>
      <c r="Z5050" s="12" t="inlineStr">
        <is>
          <t>VD 1.5 %</t>
        </is>
      </c>
      <c r="AA5050" s="12">
        <f>N5050*O5050</f>
        <v/>
      </c>
    </row>
    <row r="5051">
      <c r="A5051" s="12" t="inlineStr">
        <is>
          <t>I-P-0171</t>
        </is>
      </c>
      <c r="B5051" s="12" t="inlineStr">
        <is>
          <t>I</t>
        </is>
      </c>
      <c r="C5051" s="12" t="inlineStr">
        <is>
          <t>Modular / portable power</t>
        </is>
      </c>
      <c r="D5051" s="12" t="inlineStr">
        <is>
          <t>Motor 2 of 2, 30 kW</t>
        </is>
      </c>
      <c r="E5051" s="12" t="inlineStr"/>
      <c r="F5051" s="12" t="inlineStr">
        <is>
          <t>PCM: power control module</t>
        </is>
      </c>
      <c r="G5051" s="12" t="inlineStr"/>
      <c r="H5051" s="12" t="inlineStr">
        <is>
          <t>SC-1 SCR / CO catalyst</t>
        </is>
      </c>
      <c r="I5051" s="12" t="inlineStr">
        <is>
          <t>LV 600 V</t>
        </is>
      </c>
      <c r="J5051" s="12" t="inlineStr">
        <is>
          <t>Type TC-ER 600 V 3/C Cu XHHW-2 + ground, PVC jacket</t>
        </is>
      </c>
      <c r="K5051" s="12" t="inlineStr">
        <is>
          <t>LV|3/C+G|6</t>
        </is>
      </c>
      <c r="L5051" s="12" t="inlineStr">
        <is>
          <t>3/C+G</t>
        </is>
      </c>
      <c r="M5051" s="12" t="inlineStr">
        <is>
          <t>6</t>
        </is>
      </c>
      <c r="N5051" s="12" t="n">
        <v>1</v>
      </c>
      <c r="O5051" s="12" t="n">
        <v>1</v>
      </c>
      <c r="P5051" s="12" t="n">
        <v>480</v>
      </c>
      <c r="Q5051" s="12" t="n">
        <v>30</v>
      </c>
      <c r="R5051" s="12" t="n">
        <v>42.5</v>
      </c>
      <c r="S5051" s="12" t="inlineStr">
        <is>
          <t>Duct bank</t>
        </is>
      </c>
      <c r="T5051" s="17" t="n">
        <v>40</v>
      </c>
      <c r="U5051" s="17" t="n">
        <v>142</v>
      </c>
      <c r="V5051" s="17">
        <f>ROUNDUP((T5051+U5051+2*'Read Me'!$B$13)*(1+'Read Me'!$B$12),-1)</f>
        <v/>
      </c>
      <c r="W5051" s="17">
        <f>V5051*N5051*O5051</f>
        <v/>
      </c>
      <c r="X5051" s="12">
        <f>IF(LEFT(I5051,2)="MV",2*N5051*IF(L5051="1/C",O5051,1),0)</f>
        <v/>
      </c>
      <c r="Y5051" s="12">
        <f>IF(OR(LEFT(K5051,4)="LVAX",LEFT(K5051,6)="MV15AX",LEFT(K5051,4)="CTAX",LEFT(K5051,2)="W|"),2*N5051*O5051,0)</f>
        <v/>
      </c>
      <c r="Z5051" s="12" t="inlineStr">
        <is>
          <t>VD 1.5 %</t>
        </is>
      </c>
      <c r="AA5051" s="12">
        <f>N5051*O5051</f>
        <v/>
      </c>
    </row>
    <row r="5052">
      <c r="A5052" s="12" t="inlineStr">
        <is>
          <t>I-P-0172</t>
        </is>
      </c>
      <c r="B5052" s="12" t="inlineStr">
        <is>
          <t>I</t>
        </is>
      </c>
      <c r="C5052" s="12" t="inlineStr">
        <is>
          <t>Modular / portable power</t>
        </is>
      </c>
      <c r="D5052" s="12" t="inlineStr">
        <is>
          <t>Motor 1 of 4, 15 kW</t>
        </is>
      </c>
      <c r="E5052" s="12" t="inlineStr"/>
      <c r="F5052" s="12" t="inlineStr">
        <is>
          <t>PCM: power control module</t>
        </is>
      </c>
      <c r="G5052" s="12" t="inlineStr"/>
      <c r="H5052" s="12" t="inlineStr">
        <is>
          <t>SC-1 lube-oil fin-fan cooler</t>
        </is>
      </c>
      <c r="I5052" s="12" t="inlineStr">
        <is>
          <t>LV 600 V</t>
        </is>
      </c>
      <c r="J5052" s="12" t="inlineStr">
        <is>
          <t>Type TC-ER 600 V 3/C Cu XHHW-2 + ground, PVC jacket</t>
        </is>
      </c>
      <c r="K5052" s="12" t="inlineStr">
        <is>
          <t>LV|3/C+G|10</t>
        </is>
      </c>
      <c r="L5052" s="12" t="inlineStr">
        <is>
          <t>3/C+G</t>
        </is>
      </c>
      <c r="M5052" s="12" t="inlineStr">
        <is>
          <t>10</t>
        </is>
      </c>
      <c r="N5052" s="12" t="n">
        <v>1</v>
      </c>
      <c r="O5052" s="12" t="n">
        <v>1</v>
      </c>
      <c r="P5052" s="12" t="n">
        <v>480</v>
      </c>
      <c r="Q5052" s="12" t="n">
        <v>15</v>
      </c>
      <c r="R5052" s="12" t="n">
        <v>21.2</v>
      </c>
      <c r="S5052" s="12" t="inlineStr">
        <is>
          <t>Duct bank</t>
        </is>
      </c>
      <c r="T5052" s="17" t="n">
        <v>82</v>
      </c>
      <c r="U5052" s="17" t="n">
        <v>82</v>
      </c>
      <c r="V5052" s="17">
        <f>ROUNDUP((T5052+U5052+2*'Read Me'!$B$13)*(1+'Read Me'!$B$12),-1)</f>
        <v/>
      </c>
      <c r="W5052" s="17">
        <f>V5052*N5052*O5052</f>
        <v/>
      </c>
      <c r="X5052" s="12">
        <f>IF(LEFT(I5052,2)="MV",2*N5052*IF(L5052="1/C",O5052,1),0)</f>
        <v/>
      </c>
      <c r="Y5052" s="12">
        <f>IF(OR(LEFT(K5052,4)="LVAX",LEFT(K5052,6)="MV15AX",LEFT(K5052,4)="CTAX",LEFT(K5052,2)="W|"),2*N5052*O5052,0)</f>
        <v/>
      </c>
      <c r="Z5052" s="12" t="inlineStr">
        <is>
          <t>VD 1.7 %</t>
        </is>
      </c>
      <c r="AA5052" s="12">
        <f>N5052*O5052</f>
        <v/>
      </c>
    </row>
    <row r="5053">
      <c r="A5053" s="12" t="inlineStr">
        <is>
          <t>I-P-0173</t>
        </is>
      </c>
      <c r="B5053" s="12" t="inlineStr">
        <is>
          <t>I</t>
        </is>
      </c>
      <c r="C5053" s="12" t="inlineStr">
        <is>
          <t>Modular / portable power</t>
        </is>
      </c>
      <c r="D5053" s="12" t="inlineStr">
        <is>
          <t>Motor 2 of 4, 15 kW</t>
        </is>
      </c>
      <c r="E5053" s="12" t="inlineStr"/>
      <c r="F5053" s="12" t="inlineStr">
        <is>
          <t>PCM: power control module</t>
        </is>
      </c>
      <c r="G5053" s="12" t="inlineStr"/>
      <c r="H5053" s="12" t="inlineStr">
        <is>
          <t>SC-1 lube-oil fin-fan cooler</t>
        </is>
      </c>
      <c r="I5053" s="12" t="inlineStr">
        <is>
          <t>LV 600 V</t>
        </is>
      </c>
      <c r="J5053" s="12" t="inlineStr">
        <is>
          <t>Type TC-ER 600 V 3/C Cu XHHW-2 + ground, PVC jacket</t>
        </is>
      </c>
      <c r="K5053" s="12" t="inlineStr">
        <is>
          <t>LV|3/C+G|10</t>
        </is>
      </c>
      <c r="L5053" s="12" t="inlineStr">
        <is>
          <t>3/C+G</t>
        </is>
      </c>
      <c r="M5053" s="12" t="inlineStr">
        <is>
          <t>10</t>
        </is>
      </c>
      <c r="N5053" s="12" t="n">
        <v>1</v>
      </c>
      <c r="O5053" s="12" t="n">
        <v>1</v>
      </c>
      <c r="P5053" s="12" t="n">
        <v>480</v>
      </c>
      <c r="Q5053" s="12" t="n">
        <v>15</v>
      </c>
      <c r="R5053" s="12" t="n">
        <v>21.2</v>
      </c>
      <c r="S5053" s="12" t="inlineStr">
        <is>
          <t>Duct bank</t>
        </is>
      </c>
      <c r="T5053" s="17" t="n">
        <v>82</v>
      </c>
      <c r="U5053" s="17" t="n">
        <v>82</v>
      </c>
      <c r="V5053" s="17">
        <f>ROUNDUP((T5053+U5053+2*'Read Me'!$B$13)*(1+'Read Me'!$B$12),-1)</f>
        <v/>
      </c>
      <c r="W5053" s="17">
        <f>V5053*N5053*O5053</f>
        <v/>
      </c>
      <c r="X5053" s="12">
        <f>IF(LEFT(I5053,2)="MV",2*N5053*IF(L5053="1/C",O5053,1),0)</f>
        <v/>
      </c>
      <c r="Y5053" s="12">
        <f>IF(OR(LEFT(K5053,4)="LVAX",LEFT(K5053,6)="MV15AX",LEFT(K5053,4)="CTAX",LEFT(K5053,2)="W|"),2*N5053*O5053,0)</f>
        <v/>
      </c>
      <c r="Z5053" s="12" t="inlineStr">
        <is>
          <t>VD 1.7 %</t>
        </is>
      </c>
      <c r="AA5053" s="12">
        <f>N5053*O5053</f>
        <v/>
      </c>
    </row>
    <row r="5054">
      <c r="A5054" s="12" t="inlineStr">
        <is>
          <t>I-P-0174</t>
        </is>
      </c>
      <c r="B5054" s="12" t="inlineStr">
        <is>
          <t>I</t>
        </is>
      </c>
      <c r="C5054" s="12" t="inlineStr">
        <is>
          <t>Modular / portable power</t>
        </is>
      </c>
      <c r="D5054" s="12" t="inlineStr">
        <is>
          <t>Motor 3 of 4, 15 kW</t>
        </is>
      </c>
      <c r="E5054" s="12" t="inlineStr"/>
      <c r="F5054" s="12" t="inlineStr">
        <is>
          <t>PCM: power control module</t>
        </is>
      </c>
      <c r="G5054" s="12" t="inlineStr"/>
      <c r="H5054" s="12" t="inlineStr">
        <is>
          <t>SC-1 lube-oil fin-fan cooler</t>
        </is>
      </c>
      <c r="I5054" s="12" t="inlineStr">
        <is>
          <t>LV 600 V</t>
        </is>
      </c>
      <c r="J5054" s="12" t="inlineStr">
        <is>
          <t>Type TC-ER 600 V 3/C Cu XHHW-2 + ground, PVC jacket</t>
        </is>
      </c>
      <c r="K5054" s="12" t="inlineStr">
        <is>
          <t>LV|3/C+G|10</t>
        </is>
      </c>
      <c r="L5054" s="12" t="inlineStr">
        <is>
          <t>3/C+G</t>
        </is>
      </c>
      <c r="M5054" s="12" t="inlineStr">
        <is>
          <t>10</t>
        </is>
      </c>
      <c r="N5054" s="12" t="n">
        <v>1</v>
      </c>
      <c r="O5054" s="12" t="n">
        <v>1</v>
      </c>
      <c r="P5054" s="12" t="n">
        <v>480</v>
      </c>
      <c r="Q5054" s="12" t="n">
        <v>15</v>
      </c>
      <c r="R5054" s="12" t="n">
        <v>21.2</v>
      </c>
      <c r="S5054" s="12" t="inlineStr">
        <is>
          <t>Duct bank</t>
        </is>
      </c>
      <c r="T5054" s="17" t="n">
        <v>82</v>
      </c>
      <c r="U5054" s="17" t="n">
        <v>82</v>
      </c>
      <c r="V5054" s="17">
        <f>ROUNDUP((T5054+U5054+2*'Read Me'!$B$13)*(1+'Read Me'!$B$12),-1)</f>
        <v/>
      </c>
      <c r="W5054" s="17">
        <f>V5054*N5054*O5054</f>
        <v/>
      </c>
      <c r="X5054" s="12">
        <f>IF(LEFT(I5054,2)="MV",2*N5054*IF(L5054="1/C",O5054,1),0)</f>
        <v/>
      </c>
      <c r="Y5054" s="12">
        <f>IF(OR(LEFT(K5054,4)="LVAX",LEFT(K5054,6)="MV15AX",LEFT(K5054,4)="CTAX",LEFT(K5054,2)="W|"),2*N5054*O5054,0)</f>
        <v/>
      </c>
      <c r="Z5054" s="12" t="inlineStr">
        <is>
          <t>VD 1.7 %</t>
        </is>
      </c>
      <c r="AA5054" s="12">
        <f>N5054*O5054</f>
        <v/>
      </c>
    </row>
    <row r="5055">
      <c r="A5055" s="12" t="inlineStr">
        <is>
          <t>I-P-0175</t>
        </is>
      </c>
      <c r="B5055" s="12" t="inlineStr">
        <is>
          <t>I</t>
        </is>
      </c>
      <c r="C5055" s="12" t="inlineStr">
        <is>
          <t>Modular / portable power</t>
        </is>
      </c>
      <c r="D5055" s="12" t="inlineStr">
        <is>
          <t>Motor 4 of 4, 15 kW</t>
        </is>
      </c>
      <c r="E5055" s="12" t="inlineStr"/>
      <c r="F5055" s="12" t="inlineStr">
        <is>
          <t>PCM: power control module</t>
        </is>
      </c>
      <c r="G5055" s="12" t="inlineStr"/>
      <c r="H5055" s="12" t="inlineStr">
        <is>
          <t>SC-1 lube-oil fin-fan cooler</t>
        </is>
      </c>
      <c r="I5055" s="12" t="inlineStr">
        <is>
          <t>LV 600 V</t>
        </is>
      </c>
      <c r="J5055" s="12" t="inlineStr">
        <is>
          <t>Type TC-ER 600 V 3/C Cu XHHW-2 + ground, PVC jacket</t>
        </is>
      </c>
      <c r="K5055" s="12" t="inlineStr">
        <is>
          <t>LV|3/C+G|10</t>
        </is>
      </c>
      <c r="L5055" s="12" t="inlineStr">
        <is>
          <t>3/C+G</t>
        </is>
      </c>
      <c r="M5055" s="12" t="inlineStr">
        <is>
          <t>10</t>
        </is>
      </c>
      <c r="N5055" s="12" t="n">
        <v>1</v>
      </c>
      <c r="O5055" s="12" t="n">
        <v>1</v>
      </c>
      <c r="P5055" s="12" t="n">
        <v>480</v>
      </c>
      <c r="Q5055" s="12" t="n">
        <v>15</v>
      </c>
      <c r="R5055" s="12" t="n">
        <v>21.2</v>
      </c>
      <c r="S5055" s="12" t="inlineStr">
        <is>
          <t>Duct bank</t>
        </is>
      </c>
      <c r="T5055" s="17" t="n">
        <v>82</v>
      </c>
      <c r="U5055" s="17" t="n">
        <v>82</v>
      </c>
      <c r="V5055" s="17">
        <f>ROUNDUP((T5055+U5055+2*'Read Me'!$B$13)*(1+'Read Me'!$B$12),-1)</f>
        <v/>
      </c>
      <c r="W5055" s="17">
        <f>V5055*N5055*O5055</f>
        <v/>
      </c>
      <c r="X5055" s="12">
        <f>IF(LEFT(I5055,2)="MV",2*N5055*IF(L5055="1/C",O5055,1),0)</f>
        <v/>
      </c>
      <c r="Y5055" s="12">
        <f>IF(OR(LEFT(K5055,4)="LVAX",LEFT(K5055,6)="MV15AX",LEFT(K5055,4)="CTAX",LEFT(K5055,2)="W|"),2*N5055*O5055,0)</f>
        <v/>
      </c>
      <c r="Z5055" s="12" t="inlineStr">
        <is>
          <t>VD 1.7 %</t>
        </is>
      </c>
      <c r="AA5055" s="12">
        <f>N5055*O5055</f>
        <v/>
      </c>
    </row>
    <row r="5056">
      <c r="A5056" s="12" t="inlineStr">
        <is>
          <t>I-P-0176</t>
        </is>
      </c>
      <c r="B5056" s="12" t="inlineStr">
        <is>
          <t>I</t>
        </is>
      </c>
      <c r="C5056" s="12" t="inlineStr">
        <is>
          <t>Modular / portable power</t>
        </is>
      </c>
      <c r="D5056" s="12" t="inlineStr">
        <is>
          <t>Area / platform lighting circuit 1 (4 fixtures)</t>
        </is>
      </c>
      <c r="E5056" s="12" t="inlineStr"/>
      <c r="F5056" s="12" t="inlineStr">
        <is>
          <t>PCM: power control module</t>
        </is>
      </c>
      <c r="G5056" s="12" t="inlineStr"/>
      <c r="H5056" s="12" t="inlineStr">
        <is>
          <t>SC-1 stack (80 ft)</t>
        </is>
      </c>
      <c r="I5056" s="12" t="inlineStr">
        <is>
          <t>LV 600 V</t>
        </is>
      </c>
      <c r="J5056" s="12" t="inlineStr">
        <is>
          <t>Type TC-ER 600 V 3/C Cu XHHW-2 + ground, PVC jacket</t>
        </is>
      </c>
      <c r="K5056" s="12" t="inlineStr">
        <is>
          <t>LV|3/C+G|10</t>
        </is>
      </c>
      <c r="L5056" s="12" t="inlineStr">
        <is>
          <t>3/C+G</t>
        </is>
      </c>
      <c r="M5056" s="12" t="inlineStr">
        <is>
          <t>10</t>
        </is>
      </c>
      <c r="N5056" s="12" t="n">
        <v>1</v>
      </c>
      <c r="O5056" s="12" t="n">
        <v>1</v>
      </c>
      <c r="P5056" s="12" t="n">
        <v>480</v>
      </c>
      <c r="Q5056" s="12" t="n">
        <v>3</v>
      </c>
      <c r="R5056" s="12" t="n">
        <v>5</v>
      </c>
      <c r="S5056" s="12" t="inlineStr">
        <is>
          <t>Duct bank</t>
        </is>
      </c>
      <c r="T5056" s="17" t="n">
        <v>340</v>
      </c>
      <c r="U5056" s="17" t="n">
        <v>196</v>
      </c>
      <c r="V5056" s="17">
        <f>ROUNDUP((T5056+U5056+2*'Read Me'!$B$13)*(1+'Read Me'!$B$12),-1)</f>
        <v/>
      </c>
      <c r="W5056" s="17">
        <f>V5056*N5056*O5056</f>
        <v/>
      </c>
      <c r="X5056" s="12">
        <f>IF(LEFT(I5056,2)="MV",2*N5056*IF(L5056="1/C",O5056,1),0)</f>
        <v/>
      </c>
      <c r="Y5056" s="12">
        <f>IF(OR(LEFT(K5056,4)="LVAX",LEFT(K5056,6)="MV15AX",LEFT(K5056,4)="CTAX",LEFT(K5056,2)="W|"),2*N5056*O5056,0)</f>
        <v/>
      </c>
      <c r="Z5056" s="12" t="inlineStr">
        <is>
          <t>fixture-to-fixture run included</t>
        </is>
      </c>
      <c r="AA5056" s="12">
        <f>N5056*O5056</f>
        <v/>
      </c>
    </row>
    <row r="5057">
      <c r="A5057" s="12" t="inlineStr">
        <is>
          <t>I-P-0177</t>
        </is>
      </c>
      <c r="B5057" s="12" t="inlineStr">
        <is>
          <t>I</t>
        </is>
      </c>
      <c r="C5057" s="12" t="inlineStr">
        <is>
          <t>Modular / portable power</t>
        </is>
      </c>
      <c r="D5057" s="12" t="inlineStr">
        <is>
          <t>Motor 1 of 10, 30 kW</t>
        </is>
      </c>
      <c r="E5057" s="12" t="inlineStr"/>
      <c r="F5057" s="12" t="inlineStr">
        <is>
          <t>PCM: power control module</t>
        </is>
      </c>
      <c r="G5057" s="12" t="inlineStr">
        <is>
          <t>SC-1</t>
        </is>
      </c>
      <c r="H5057" s="12" t="inlineStr">
        <is>
          <t>SC-1: aeroderivative simple-cycle unit (LM6000 class)</t>
        </is>
      </c>
      <c r="I5057" s="12" t="inlineStr">
        <is>
          <t>LV 600 V</t>
        </is>
      </c>
      <c r="J5057" s="12" t="inlineStr">
        <is>
          <t>Type TC-ER 600 V 3/C Cu XHHW-2 + ground, PVC jacket</t>
        </is>
      </c>
      <c r="K5057" s="12" t="inlineStr">
        <is>
          <t>LV|3/C+G|6</t>
        </is>
      </c>
      <c r="L5057" s="12" t="inlineStr">
        <is>
          <t>3/C+G</t>
        </is>
      </c>
      <c r="M5057" s="12" t="inlineStr">
        <is>
          <t>6</t>
        </is>
      </c>
      <c r="N5057" s="12" t="n">
        <v>1</v>
      </c>
      <c r="O5057" s="12" t="n">
        <v>1</v>
      </c>
      <c r="P5057" s="12" t="n">
        <v>480</v>
      </c>
      <c r="Q5057" s="12" t="n">
        <v>30</v>
      </c>
      <c r="R5057" s="12" t="n">
        <v>42.5</v>
      </c>
      <c r="S5057" s="12" t="inlineStr">
        <is>
          <t>Duct bank</t>
        </is>
      </c>
      <c r="T5057" s="17" t="n">
        <v>40</v>
      </c>
      <c r="U5057" s="17" t="n">
        <v>52</v>
      </c>
      <c r="V5057" s="17">
        <f>ROUNDUP((T5057+U5057+2*'Read Me'!$B$13)*(1+'Read Me'!$B$12),-1)</f>
        <v/>
      </c>
      <c r="W5057" s="17">
        <f>V5057*N5057*O5057</f>
        <v/>
      </c>
      <c r="X5057" s="12">
        <f>IF(LEFT(I5057,2)="MV",2*N5057*IF(L5057="1/C",O5057,1),0)</f>
        <v/>
      </c>
      <c r="Y5057" s="12">
        <f>IF(OR(LEFT(K5057,4)="LVAX",LEFT(K5057,6)="MV15AX",LEFT(K5057,4)="CTAX",LEFT(K5057,2)="W|"),2*N5057*O5057,0)</f>
        <v/>
      </c>
      <c r="Z5057" s="12" t="inlineStr">
        <is>
          <t>VD 0.8 %</t>
        </is>
      </c>
      <c r="AA5057" s="12">
        <f>N5057*O5057</f>
        <v/>
      </c>
    </row>
    <row r="5058">
      <c r="A5058" s="12" t="inlineStr">
        <is>
          <t>I-P-0178</t>
        </is>
      </c>
      <c r="B5058" s="12" t="inlineStr">
        <is>
          <t>I</t>
        </is>
      </c>
      <c r="C5058" s="12" t="inlineStr">
        <is>
          <t>Modular / portable power</t>
        </is>
      </c>
      <c r="D5058" s="12" t="inlineStr">
        <is>
          <t>Motor 2 of 10, 30 kW</t>
        </is>
      </c>
      <c r="E5058" s="12" t="inlineStr"/>
      <c r="F5058" s="12" t="inlineStr">
        <is>
          <t>PCM: power control module</t>
        </is>
      </c>
      <c r="G5058" s="12" t="inlineStr">
        <is>
          <t>SC-1</t>
        </is>
      </c>
      <c r="H5058" s="12" t="inlineStr">
        <is>
          <t>SC-1: aeroderivative simple-cycle unit (LM6000 class)</t>
        </is>
      </c>
      <c r="I5058" s="12" t="inlineStr">
        <is>
          <t>LV 600 V</t>
        </is>
      </c>
      <c r="J5058" s="12" t="inlineStr">
        <is>
          <t>Type TC-ER 600 V 3/C Cu XHHW-2 + ground, PVC jacket</t>
        </is>
      </c>
      <c r="K5058" s="12" t="inlineStr">
        <is>
          <t>LV|3/C+G|6</t>
        </is>
      </c>
      <c r="L5058" s="12" t="inlineStr">
        <is>
          <t>3/C+G</t>
        </is>
      </c>
      <c r="M5058" s="12" t="inlineStr">
        <is>
          <t>6</t>
        </is>
      </c>
      <c r="N5058" s="12" t="n">
        <v>1</v>
      </c>
      <c r="O5058" s="12" t="n">
        <v>1</v>
      </c>
      <c r="P5058" s="12" t="n">
        <v>480</v>
      </c>
      <c r="Q5058" s="12" t="n">
        <v>30</v>
      </c>
      <c r="R5058" s="12" t="n">
        <v>42.5</v>
      </c>
      <c r="S5058" s="12" t="inlineStr">
        <is>
          <t>Duct bank</t>
        </is>
      </c>
      <c r="T5058" s="17" t="n">
        <v>40</v>
      </c>
      <c r="U5058" s="17" t="n">
        <v>52</v>
      </c>
      <c r="V5058" s="17">
        <f>ROUNDUP((T5058+U5058+2*'Read Me'!$B$13)*(1+'Read Me'!$B$12),-1)</f>
        <v/>
      </c>
      <c r="W5058" s="17">
        <f>V5058*N5058*O5058</f>
        <v/>
      </c>
      <c r="X5058" s="12">
        <f>IF(LEFT(I5058,2)="MV",2*N5058*IF(L5058="1/C",O5058,1),0)</f>
        <v/>
      </c>
      <c r="Y5058" s="12">
        <f>IF(OR(LEFT(K5058,4)="LVAX",LEFT(K5058,6)="MV15AX",LEFT(K5058,4)="CTAX",LEFT(K5058,2)="W|"),2*N5058*O5058,0)</f>
        <v/>
      </c>
      <c r="Z5058" s="12" t="inlineStr">
        <is>
          <t>VD 0.8 %</t>
        </is>
      </c>
      <c r="AA5058" s="12">
        <f>N5058*O5058</f>
        <v/>
      </c>
    </row>
    <row r="5059">
      <c r="A5059" s="12" t="inlineStr">
        <is>
          <t>I-P-0179</t>
        </is>
      </c>
      <c r="B5059" s="12" t="inlineStr">
        <is>
          <t>I</t>
        </is>
      </c>
      <c r="C5059" s="12" t="inlineStr">
        <is>
          <t>Modular / portable power</t>
        </is>
      </c>
      <c r="D5059" s="12" t="inlineStr">
        <is>
          <t>Motor 3 of 10, 30 kW</t>
        </is>
      </c>
      <c r="E5059" s="12" t="inlineStr"/>
      <c r="F5059" s="12" t="inlineStr">
        <is>
          <t>PCM: power control module</t>
        </is>
      </c>
      <c r="G5059" s="12" t="inlineStr">
        <is>
          <t>SC-1</t>
        </is>
      </c>
      <c r="H5059" s="12" t="inlineStr">
        <is>
          <t>SC-1: aeroderivative simple-cycle unit (LM6000 class)</t>
        </is>
      </c>
      <c r="I5059" s="12" t="inlineStr">
        <is>
          <t>LV 600 V</t>
        </is>
      </c>
      <c r="J5059" s="12" t="inlineStr">
        <is>
          <t>Type TC-ER 600 V 3/C Cu XHHW-2 + ground, PVC jacket</t>
        </is>
      </c>
      <c r="K5059" s="12" t="inlineStr">
        <is>
          <t>LV|3/C+G|6</t>
        </is>
      </c>
      <c r="L5059" s="12" t="inlineStr">
        <is>
          <t>3/C+G</t>
        </is>
      </c>
      <c r="M5059" s="12" t="inlineStr">
        <is>
          <t>6</t>
        </is>
      </c>
      <c r="N5059" s="12" t="n">
        <v>1</v>
      </c>
      <c r="O5059" s="12" t="n">
        <v>1</v>
      </c>
      <c r="P5059" s="12" t="n">
        <v>480</v>
      </c>
      <c r="Q5059" s="12" t="n">
        <v>30</v>
      </c>
      <c r="R5059" s="12" t="n">
        <v>42.5</v>
      </c>
      <c r="S5059" s="12" t="inlineStr">
        <is>
          <t>Duct bank</t>
        </is>
      </c>
      <c r="T5059" s="17" t="n">
        <v>40</v>
      </c>
      <c r="U5059" s="17" t="n">
        <v>52</v>
      </c>
      <c r="V5059" s="17">
        <f>ROUNDUP((T5059+U5059+2*'Read Me'!$B$13)*(1+'Read Me'!$B$12),-1)</f>
        <v/>
      </c>
      <c r="W5059" s="17">
        <f>V5059*N5059*O5059</f>
        <v/>
      </c>
      <c r="X5059" s="12">
        <f>IF(LEFT(I5059,2)="MV",2*N5059*IF(L5059="1/C",O5059,1),0)</f>
        <v/>
      </c>
      <c r="Y5059" s="12">
        <f>IF(OR(LEFT(K5059,4)="LVAX",LEFT(K5059,6)="MV15AX",LEFT(K5059,4)="CTAX",LEFT(K5059,2)="W|"),2*N5059*O5059,0)</f>
        <v/>
      </c>
      <c r="Z5059" s="12" t="inlineStr">
        <is>
          <t>VD 0.8 %</t>
        </is>
      </c>
      <c r="AA5059" s="12">
        <f>N5059*O5059</f>
        <v/>
      </c>
    </row>
    <row r="5060">
      <c r="A5060" s="12" t="inlineStr">
        <is>
          <t>I-P-0180</t>
        </is>
      </c>
      <c r="B5060" s="12" t="inlineStr">
        <is>
          <t>I</t>
        </is>
      </c>
      <c r="C5060" s="12" t="inlineStr">
        <is>
          <t>Modular / portable power</t>
        </is>
      </c>
      <c r="D5060" s="12" t="inlineStr">
        <is>
          <t>Motor 4 of 10, 30 kW</t>
        </is>
      </c>
      <c r="E5060" s="12" t="inlineStr"/>
      <c r="F5060" s="12" t="inlineStr">
        <is>
          <t>PCM: power control module</t>
        </is>
      </c>
      <c r="G5060" s="12" t="inlineStr">
        <is>
          <t>SC-1</t>
        </is>
      </c>
      <c r="H5060" s="12" t="inlineStr">
        <is>
          <t>SC-1: aeroderivative simple-cycle unit (LM6000 class)</t>
        </is>
      </c>
      <c r="I5060" s="12" t="inlineStr">
        <is>
          <t>LV 600 V</t>
        </is>
      </c>
      <c r="J5060" s="12" t="inlineStr">
        <is>
          <t>Type TC-ER 600 V 3/C Cu XHHW-2 + ground, PVC jacket</t>
        </is>
      </c>
      <c r="K5060" s="12" t="inlineStr">
        <is>
          <t>LV|3/C+G|6</t>
        </is>
      </c>
      <c r="L5060" s="12" t="inlineStr">
        <is>
          <t>3/C+G</t>
        </is>
      </c>
      <c r="M5060" s="12" t="inlineStr">
        <is>
          <t>6</t>
        </is>
      </c>
      <c r="N5060" s="12" t="n">
        <v>1</v>
      </c>
      <c r="O5060" s="12" t="n">
        <v>1</v>
      </c>
      <c r="P5060" s="12" t="n">
        <v>480</v>
      </c>
      <c r="Q5060" s="12" t="n">
        <v>30</v>
      </c>
      <c r="R5060" s="12" t="n">
        <v>42.5</v>
      </c>
      <c r="S5060" s="12" t="inlineStr">
        <is>
          <t>Duct bank</t>
        </is>
      </c>
      <c r="T5060" s="17" t="n">
        <v>40</v>
      </c>
      <c r="U5060" s="17" t="n">
        <v>52</v>
      </c>
      <c r="V5060" s="17">
        <f>ROUNDUP((T5060+U5060+2*'Read Me'!$B$13)*(1+'Read Me'!$B$12),-1)</f>
        <v/>
      </c>
      <c r="W5060" s="17">
        <f>V5060*N5060*O5060</f>
        <v/>
      </c>
      <c r="X5060" s="12">
        <f>IF(LEFT(I5060,2)="MV",2*N5060*IF(L5060="1/C",O5060,1),0)</f>
        <v/>
      </c>
      <c r="Y5060" s="12">
        <f>IF(OR(LEFT(K5060,4)="LVAX",LEFT(K5060,6)="MV15AX",LEFT(K5060,4)="CTAX",LEFT(K5060,2)="W|"),2*N5060*O5060,0)</f>
        <v/>
      </c>
      <c r="Z5060" s="12" t="inlineStr">
        <is>
          <t>VD 0.8 %</t>
        </is>
      </c>
      <c r="AA5060" s="12">
        <f>N5060*O5060</f>
        <v/>
      </c>
    </row>
    <row r="5061">
      <c r="A5061" s="12" t="inlineStr">
        <is>
          <t>I-P-0181</t>
        </is>
      </c>
      <c r="B5061" s="12" t="inlineStr">
        <is>
          <t>I</t>
        </is>
      </c>
      <c r="C5061" s="12" t="inlineStr">
        <is>
          <t>Modular / portable power</t>
        </is>
      </c>
      <c r="D5061" s="12" t="inlineStr">
        <is>
          <t>Motor 5 of 10, 30 kW</t>
        </is>
      </c>
      <c r="E5061" s="12" t="inlineStr"/>
      <c r="F5061" s="12" t="inlineStr">
        <is>
          <t>PCM: power control module</t>
        </is>
      </c>
      <c r="G5061" s="12" t="inlineStr">
        <is>
          <t>SC-1</t>
        </is>
      </c>
      <c r="H5061" s="12" t="inlineStr">
        <is>
          <t>SC-1: aeroderivative simple-cycle unit (LM6000 class)</t>
        </is>
      </c>
      <c r="I5061" s="12" t="inlineStr">
        <is>
          <t>LV 600 V</t>
        </is>
      </c>
      <c r="J5061" s="12" t="inlineStr">
        <is>
          <t>Type TC-ER 600 V 3/C Cu XHHW-2 + ground, PVC jacket</t>
        </is>
      </c>
      <c r="K5061" s="12" t="inlineStr">
        <is>
          <t>LV|3/C+G|6</t>
        </is>
      </c>
      <c r="L5061" s="12" t="inlineStr">
        <is>
          <t>3/C+G</t>
        </is>
      </c>
      <c r="M5061" s="12" t="inlineStr">
        <is>
          <t>6</t>
        </is>
      </c>
      <c r="N5061" s="12" t="n">
        <v>1</v>
      </c>
      <c r="O5061" s="12" t="n">
        <v>1</v>
      </c>
      <c r="P5061" s="12" t="n">
        <v>480</v>
      </c>
      <c r="Q5061" s="12" t="n">
        <v>30</v>
      </c>
      <c r="R5061" s="12" t="n">
        <v>42.5</v>
      </c>
      <c r="S5061" s="12" t="inlineStr">
        <is>
          <t>Duct bank</t>
        </is>
      </c>
      <c r="T5061" s="17" t="n">
        <v>40</v>
      </c>
      <c r="U5061" s="17" t="n">
        <v>52</v>
      </c>
      <c r="V5061" s="17">
        <f>ROUNDUP((T5061+U5061+2*'Read Me'!$B$13)*(1+'Read Me'!$B$12),-1)</f>
        <v/>
      </c>
      <c r="W5061" s="17">
        <f>V5061*N5061*O5061</f>
        <v/>
      </c>
      <c r="X5061" s="12">
        <f>IF(LEFT(I5061,2)="MV",2*N5061*IF(L5061="1/C",O5061,1),0)</f>
        <v/>
      </c>
      <c r="Y5061" s="12">
        <f>IF(OR(LEFT(K5061,4)="LVAX",LEFT(K5061,6)="MV15AX",LEFT(K5061,4)="CTAX",LEFT(K5061,2)="W|"),2*N5061*O5061,0)</f>
        <v/>
      </c>
      <c r="Z5061" s="12" t="inlineStr">
        <is>
          <t>VD 0.8 %</t>
        </is>
      </c>
      <c r="AA5061" s="12">
        <f>N5061*O5061</f>
        <v/>
      </c>
    </row>
    <row r="5062">
      <c r="A5062" s="12" t="inlineStr">
        <is>
          <t>I-P-0182</t>
        </is>
      </c>
      <c r="B5062" s="12" t="inlineStr">
        <is>
          <t>I</t>
        </is>
      </c>
      <c r="C5062" s="12" t="inlineStr">
        <is>
          <t>Modular / portable power</t>
        </is>
      </c>
      <c r="D5062" s="12" t="inlineStr">
        <is>
          <t>Motor 6 of 10, 30 kW</t>
        </is>
      </c>
      <c r="E5062" s="12" t="inlineStr"/>
      <c r="F5062" s="12" t="inlineStr">
        <is>
          <t>PCM: power control module</t>
        </is>
      </c>
      <c r="G5062" s="12" t="inlineStr">
        <is>
          <t>SC-1</t>
        </is>
      </c>
      <c r="H5062" s="12" t="inlineStr">
        <is>
          <t>SC-1: aeroderivative simple-cycle unit (LM6000 class)</t>
        </is>
      </c>
      <c r="I5062" s="12" t="inlineStr">
        <is>
          <t>LV 600 V</t>
        </is>
      </c>
      <c r="J5062" s="12" t="inlineStr">
        <is>
          <t>Type TC-ER 600 V 3/C Cu XHHW-2 + ground, PVC jacket</t>
        </is>
      </c>
      <c r="K5062" s="12" t="inlineStr">
        <is>
          <t>LV|3/C+G|6</t>
        </is>
      </c>
      <c r="L5062" s="12" t="inlineStr">
        <is>
          <t>3/C+G</t>
        </is>
      </c>
      <c r="M5062" s="12" t="inlineStr">
        <is>
          <t>6</t>
        </is>
      </c>
      <c r="N5062" s="12" t="n">
        <v>1</v>
      </c>
      <c r="O5062" s="12" t="n">
        <v>1</v>
      </c>
      <c r="P5062" s="12" t="n">
        <v>480</v>
      </c>
      <c r="Q5062" s="12" t="n">
        <v>30</v>
      </c>
      <c r="R5062" s="12" t="n">
        <v>42.5</v>
      </c>
      <c r="S5062" s="12" t="inlineStr">
        <is>
          <t>Duct bank</t>
        </is>
      </c>
      <c r="T5062" s="17" t="n">
        <v>40</v>
      </c>
      <c r="U5062" s="17" t="n">
        <v>52</v>
      </c>
      <c r="V5062" s="17">
        <f>ROUNDUP((T5062+U5062+2*'Read Me'!$B$13)*(1+'Read Me'!$B$12),-1)</f>
        <v/>
      </c>
      <c r="W5062" s="17">
        <f>V5062*N5062*O5062</f>
        <v/>
      </c>
      <c r="X5062" s="12">
        <f>IF(LEFT(I5062,2)="MV",2*N5062*IF(L5062="1/C",O5062,1),0)</f>
        <v/>
      </c>
      <c r="Y5062" s="12">
        <f>IF(OR(LEFT(K5062,4)="LVAX",LEFT(K5062,6)="MV15AX",LEFT(K5062,4)="CTAX",LEFT(K5062,2)="W|"),2*N5062*O5062,0)</f>
        <v/>
      </c>
      <c r="Z5062" s="12" t="inlineStr">
        <is>
          <t>VD 0.8 %</t>
        </is>
      </c>
      <c r="AA5062" s="12">
        <f>N5062*O5062</f>
        <v/>
      </c>
    </row>
    <row r="5063">
      <c r="A5063" s="12" t="inlineStr">
        <is>
          <t>I-P-0183</t>
        </is>
      </c>
      <c r="B5063" s="12" t="inlineStr">
        <is>
          <t>I</t>
        </is>
      </c>
      <c r="C5063" s="12" t="inlineStr">
        <is>
          <t>Modular / portable power</t>
        </is>
      </c>
      <c r="D5063" s="12" t="inlineStr">
        <is>
          <t>Motor 7 of 10, 30 kW</t>
        </is>
      </c>
      <c r="E5063" s="12" t="inlineStr"/>
      <c r="F5063" s="12" t="inlineStr">
        <is>
          <t>PCM: power control module</t>
        </is>
      </c>
      <c r="G5063" s="12" t="inlineStr">
        <is>
          <t>SC-1</t>
        </is>
      </c>
      <c r="H5063" s="12" t="inlineStr">
        <is>
          <t>SC-1: aeroderivative simple-cycle unit (LM6000 class)</t>
        </is>
      </c>
      <c r="I5063" s="12" t="inlineStr">
        <is>
          <t>LV 600 V</t>
        </is>
      </c>
      <c r="J5063" s="12" t="inlineStr">
        <is>
          <t>Type TC-ER 600 V 3/C Cu XHHW-2 + ground, PVC jacket</t>
        </is>
      </c>
      <c r="K5063" s="12" t="inlineStr">
        <is>
          <t>LV|3/C+G|6</t>
        </is>
      </c>
      <c r="L5063" s="12" t="inlineStr">
        <is>
          <t>3/C+G</t>
        </is>
      </c>
      <c r="M5063" s="12" t="inlineStr">
        <is>
          <t>6</t>
        </is>
      </c>
      <c r="N5063" s="12" t="n">
        <v>1</v>
      </c>
      <c r="O5063" s="12" t="n">
        <v>1</v>
      </c>
      <c r="P5063" s="12" t="n">
        <v>480</v>
      </c>
      <c r="Q5063" s="12" t="n">
        <v>30</v>
      </c>
      <c r="R5063" s="12" t="n">
        <v>42.5</v>
      </c>
      <c r="S5063" s="12" t="inlineStr">
        <is>
          <t>Duct bank</t>
        </is>
      </c>
      <c r="T5063" s="17" t="n">
        <v>40</v>
      </c>
      <c r="U5063" s="17" t="n">
        <v>52</v>
      </c>
      <c r="V5063" s="17">
        <f>ROUNDUP((T5063+U5063+2*'Read Me'!$B$13)*(1+'Read Me'!$B$12),-1)</f>
        <v/>
      </c>
      <c r="W5063" s="17">
        <f>V5063*N5063*O5063</f>
        <v/>
      </c>
      <c r="X5063" s="12">
        <f>IF(LEFT(I5063,2)="MV",2*N5063*IF(L5063="1/C",O5063,1),0)</f>
        <v/>
      </c>
      <c r="Y5063" s="12">
        <f>IF(OR(LEFT(K5063,4)="LVAX",LEFT(K5063,6)="MV15AX",LEFT(K5063,4)="CTAX",LEFT(K5063,2)="W|"),2*N5063*O5063,0)</f>
        <v/>
      </c>
      <c r="Z5063" s="12" t="inlineStr">
        <is>
          <t>VD 0.8 %</t>
        </is>
      </c>
      <c r="AA5063" s="12">
        <f>N5063*O5063</f>
        <v/>
      </c>
    </row>
    <row r="5064">
      <c r="A5064" s="12" t="inlineStr">
        <is>
          <t>I-P-0184</t>
        </is>
      </c>
      <c r="B5064" s="12" t="inlineStr">
        <is>
          <t>I</t>
        </is>
      </c>
      <c r="C5064" s="12" t="inlineStr">
        <is>
          <t>Modular / portable power</t>
        </is>
      </c>
      <c r="D5064" s="12" t="inlineStr">
        <is>
          <t>Motor 8 of 10, 30 kW</t>
        </is>
      </c>
      <c r="E5064" s="12" t="inlineStr"/>
      <c r="F5064" s="12" t="inlineStr">
        <is>
          <t>PCM: power control module</t>
        </is>
      </c>
      <c r="G5064" s="12" t="inlineStr">
        <is>
          <t>SC-1</t>
        </is>
      </c>
      <c r="H5064" s="12" t="inlineStr">
        <is>
          <t>SC-1: aeroderivative simple-cycle unit (LM6000 class)</t>
        </is>
      </c>
      <c r="I5064" s="12" t="inlineStr">
        <is>
          <t>LV 600 V</t>
        </is>
      </c>
      <c r="J5064" s="12" t="inlineStr">
        <is>
          <t>Type TC-ER 600 V 3/C Cu XHHW-2 + ground, PVC jacket</t>
        </is>
      </c>
      <c r="K5064" s="12" t="inlineStr">
        <is>
          <t>LV|3/C+G|6</t>
        </is>
      </c>
      <c r="L5064" s="12" t="inlineStr">
        <is>
          <t>3/C+G</t>
        </is>
      </c>
      <c r="M5064" s="12" t="inlineStr">
        <is>
          <t>6</t>
        </is>
      </c>
      <c r="N5064" s="12" t="n">
        <v>1</v>
      </c>
      <c r="O5064" s="12" t="n">
        <v>1</v>
      </c>
      <c r="P5064" s="12" t="n">
        <v>480</v>
      </c>
      <c r="Q5064" s="12" t="n">
        <v>30</v>
      </c>
      <c r="R5064" s="12" t="n">
        <v>42.5</v>
      </c>
      <c r="S5064" s="12" t="inlineStr">
        <is>
          <t>Duct bank</t>
        </is>
      </c>
      <c r="T5064" s="17" t="n">
        <v>40</v>
      </c>
      <c r="U5064" s="17" t="n">
        <v>52</v>
      </c>
      <c r="V5064" s="17">
        <f>ROUNDUP((T5064+U5064+2*'Read Me'!$B$13)*(1+'Read Me'!$B$12),-1)</f>
        <v/>
      </c>
      <c r="W5064" s="17">
        <f>V5064*N5064*O5064</f>
        <v/>
      </c>
      <c r="X5064" s="12">
        <f>IF(LEFT(I5064,2)="MV",2*N5064*IF(L5064="1/C",O5064,1),0)</f>
        <v/>
      </c>
      <c r="Y5064" s="12">
        <f>IF(OR(LEFT(K5064,4)="LVAX",LEFT(K5064,6)="MV15AX",LEFT(K5064,4)="CTAX",LEFT(K5064,2)="W|"),2*N5064*O5064,0)</f>
        <v/>
      </c>
      <c r="Z5064" s="12" t="inlineStr">
        <is>
          <t>VD 0.8 %</t>
        </is>
      </c>
      <c r="AA5064" s="12">
        <f>N5064*O5064</f>
        <v/>
      </c>
    </row>
    <row r="5065">
      <c r="A5065" s="12" t="inlineStr">
        <is>
          <t>I-P-0185</t>
        </is>
      </c>
      <c r="B5065" s="12" t="inlineStr">
        <is>
          <t>I</t>
        </is>
      </c>
      <c r="C5065" s="12" t="inlineStr">
        <is>
          <t>Modular / portable power</t>
        </is>
      </c>
      <c r="D5065" s="12" t="inlineStr">
        <is>
          <t>Motor 9 of 10, 30 kW</t>
        </is>
      </c>
      <c r="E5065" s="12" t="inlineStr"/>
      <c r="F5065" s="12" t="inlineStr">
        <is>
          <t>PCM: power control module</t>
        </is>
      </c>
      <c r="G5065" s="12" t="inlineStr">
        <is>
          <t>SC-1</t>
        </is>
      </c>
      <c r="H5065" s="12" t="inlineStr">
        <is>
          <t>SC-1: aeroderivative simple-cycle unit (LM6000 class)</t>
        </is>
      </c>
      <c r="I5065" s="12" t="inlineStr">
        <is>
          <t>LV 600 V</t>
        </is>
      </c>
      <c r="J5065" s="12" t="inlineStr">
        <is>
          <t>Type TC-ER 600 V 3/C Cu XHHW-2 + ground, PVC jacket</t>
        </is>
      </c>
      <c r="K5065" s="12" t="inlineStr">
        <is>
          <t>LV|3/C+G|6</t>
        </is>
      </c>
      <c r="L5065" s="12" t="inlineStr">
        <is>
          <t>3/C+G</t>
        </is>
      </c>
      <c r="M5065" s="12" t="inlineStr">
        <is>
          <t>6</t>
        </is>
      </c>
      <c r="N5065" s="12" t="n">
        <v>1</v>
      </c>
      <c r="O5065" s="12" t="n">
        <v>1</v>
      </c>
      <c r="P5065" s="12" t="n">
        <v>480</v>
      </c>
      <c r="Q5065" s="12" t="n">
        <v>30</v>
      </c>
      <c r="R5065" s="12" t="n">
        <v>42.5</v>
      </c>
      <c r="S5065" s="12" t="inlineStr">
        <is>
          <t>Duct bank</t>
        </is>
      </c>
      <c r="T5065" s="17" t="n">
        <v>40</v>
      </c>
      <c r="U5065" s="17" t="n">
        <v>52</v>
      </c>
      <c r="V5065" s="17">
        <f>ROUNDUP((T5065+U5065+2*'Read Me'!$B$13)*(1+'Read Me'!$B$12),-1)</f>
        <v/>
      </c>
      <c r="W5065" s="17">
        <f>V5065*N5065*O5065</f>
        <v/>
      </c>
      <c r="X5065" s="12">
        <f>IF(LEFT(I5065,2)="MV",2*N5065*IF(L5065="1/C",O5065,1),0)</f>
        <v/>
      </c>
      <c r="Y5065" s="12">
        <f>IF(OR(LEFT(K5065,4)="LVAX",LEFT(K5065,6)="MV15AX",LEFT(K5065,4)="CTAX",LEFT(K5065,2)="W|"),2*N5065*O5065,0)</f>
        <v/>
      </c>
      <c r="Z5065" s="12" t="inlineStr">
        <is>
          <t>VD 0.8 %</t>
        </is>
      </c>
      <c r="AA5065" s="12">
        <f>N5065*O5065</f>
        <v/>
      </c>
    </row>
    <row r="5066">
      <c r="A5066" s="12" t="inlineStr">
        <is>
          <t>I-P-0186</t>
        </is>
      </c>
      <c r="B5066" s="12" t="inlineStr">
        <is>
          <t>I</t>
        </is>
      </c>
      <c r="C5066" s="12" t="inlineStr">
        <is>
          <t>Modular / portable power</t>
        </is>
      </c>
      <c r="D5066" s="12" t="inlineStr">
        <is>
          <t>Motor 10 of 10, 30 kW</t>
        </is>
      </c>
      <c r="E5066" s="12" t="inlineStr"/>
      <c r="F5066" s="12" t="inlineStr">
        <is>
          <t>PCM: power control module</t>
        </is>
      </c>
      <c r="G5066" s="12" t="inlineStr">
        <is>
          <t>SC-1</t>
        </is>
      </c>
      <c r="H5066" s="12" t="inlineStr">
        <is>
          <t>SC-1: aeroderivative simple-cycle unit (LM6000 class)</t>
        </is>
      </c>
      <c r="I5066" s="12" t="inlineStr">
        <is>
          <t>LV 600 V</t>
        </is>
      </c>
      <c r="J5066" s="12" t="inlineStr">
        <is>
          <t>Type TC-ER 600 V 3/C Cu XHHW-2 + ground, PVC jacket</t>
        </is>
      </c>
      <c r="K5066" s="12" t="inlineStr">
        <is>
          <t>LV|3/C+G|6</t>
        </is>
      </c>
      <c r="L5066" s="12" t="inlineStr">
        <is>
          <t>3/C+G</t>
        </is>
      </c>
      <c r="M5066" s="12" t="inlineStr">
        <is>
          <t>6</t>
        </is>
      </c>
      <c r="N5066" s="12" t="n">
        <v>1</v>
      </c>
      <c r="O5066" s="12" t="n">
        <v>1</v>
      </c>
      <c r="P5066" s="12" t="n">
        <v>480</v>
      </c>
      <c r="Q5066" s="12" t="n">
        <v>30</v>
      </c>
      <c r="R5066" s="12" t="n">
        <v>42.5</v>
      </c>
      <c r="S5066" s="12" t="inlineStr">
        <is>
          <t>Duct bank</t>
        </is>
      </c>
      <c r="T5066" s="17" t="n">
        <v>40</v>
      </c>
      <c r="U5066" s="17" t="n">
        <v>52</v>
      </c>
      <c r="V5066" s="17">
        <f>ROUNDUP((T5066+U5066+2*'Read Me'!$B$13)*(1+'Read Me'!$B$12),-1)</f>
        <v/>
      </c>
      <c r="W5066" s="17">
        <f>V5066*N5066*O5066</f>
        <v/>
      </c>
      <c r="X5066" s="12">
        <f>IF(LEFT(I5066,2)="MV",2*N5066*IF(L5066="1/C",O5066,1),0)</f>
        <v/>
      </c>
      <c r="Y5066" s="12">
        <f>IF(OR(LEFT(K5066,4)="LVAX",LEFT(K5066,6)="MV15AX",LEFT(K5066,4)="CTAX",LEFT(K5066,2)="W|"),2*N5066*O5066,0)</f>
        <v/>
      </c>
      <c r="Z5066" s="12" t="inlineStr">
        <is>
          <t>VD 0.8 %</t>
        </is>
      </c>
      <c r="AA5066" s="12">
        <f>N5066*O5066</f>
        <v/>
      </c>
    </row>
    <row r="5067">
      <c r="A5067" s="12" t="inlineStr">
        <is>
          <t>I-P-0187</t>
        </is>
      </c>
      <c r="B5067" s="12" t="inlineStr">
        <is>
          <t>I</t>
        </is>
      </c>
      <c r="C5067" s="12" t="inlineStr">
        <is>
          <t>Modular / portable power</t>
        </is>
      </c>
      <c r="D5067" s="12" t="inlineStr">
        <is>
          <t>Motor 1 of 2, 30 kW</t>
        </is>
      </c>
      <c r="E5067" s="12" t="inlineStr"/>
      <c r="F5067" s="12" t="inlineStr">
        <is>
          <t>MOD-LV 480 V board + 480 V : 13.8 kV step-up</t>
        </is>
      </c>
      <c r="G5067" s="12" t="inlineStr"/>
      <c r="H5067" s="12" t="inlineStr">
        <is>
          <t>SC-2 SCR / CO catalyst</t>
        </is>
      </c>
      <c r="I5067" s="12" t="inlineStr">
        <is>
          <t>LV 600 V</t>
        </is>
      </c>
      <c r="J5067" s="12" t="inlineStr">
        <is>
          <t>Type TC-ER 600 V 3/C Cu XHHW-2 + ground, PVC jacket</t>
        </is>
      </c>
      <c r="K5067" s="12" t="inlineStr">
        <is>
          <t>LV|3/C+G|350</t>
        </is>
      </c>
      <c r="L5067" s="12" t="inlineStr">
        <is>
          <t>3/C+G</t>
        </is>
      </c>
      <c r="M5067" s="12" t="inlineStr">
        <is>
          <t>350 kcmil</t>
        </is>
      </c>
      <c r="N5067" s="12" t="n">
        <v>1</v>
      </c>
      <c r="O5067" s="12" t="n">
        <v>1</v>
      </c>
      <c r="P5067" s="12" t="n">
        <v>480</v>
      </c>
      <c r="Q5067" s="12" t="n">
        <v>30</v>
      </c>
      <c r="R5067" s="12" t="n">
        <v>42.5</v>
      </c>
      <c r="S5067" s="12" t="inlineStr">
        <is>
          <t>HV duct bank</t>
        </is>
      </c>
      <c r="T5067" s="17" t="n">
        <v>4384</v>
      </c>
      <c r="U5067" s="17" t="n">
        <v>128</v>
      </c>
      <c r="V5067" s="17">
        <f>ROUNDUP((T5067+U5067+2*'Read Me'!$B$13)*(1+'Read Me'!$B$12),-1)</f>
        <v/>
      </c>
      <c r="W5067" s="17">
        <f>V5067*N5067*O5067</f>
        <v/>
      </c>
      <c r="X5067" s="12">
        <f>IF(LEFT(I5067,2)="MV",2*N5067*IF(L5067="1/C",O5067,1),0)</f>
        <v/>
      </c>
      <c r="Y5067" s="12">
        <f>IF(OR(LEFT(K5067,4)="LVAX",LEFT(K5067,6)="MV15AX",LEFT(K5067,4)="CTAX",LEFT(K5067,2)="W|"),2*N5067*O5067,0)</f>
        <v/>
      </c>
      <c r="Z5067" s="12" t="inlineStr">
        <is>
          <t>VD 2.8 %</t>
        </is>
      </c>
      <c r="AA5067" s="12">
        <f>N5067*O5067</f>
        <v/>
      </c>
    </row>
    <row r="5068">
      <c r="A5068" s="12" t="inlineStr">
        <is>
          <t>I-P-0188</t>
        </is>
      </c>
      <c r="B5068" s="12" t="inlineStr">
        <is>
          <t>I</t>
        </is>
      </c>
      <c r="C5068" s="12" t="inlineStr">
        <is>
          <t>Modular / portable power</t>
        </is>
      </c>
      <c r="D5068" s="12" t="inlineStr">
        <is>
          <t>Motor 2 of 2, 30 kW</t>
        </is>
      </c>
      <c r="E5068" s="12" t="inlineStr"/>
      <c r="F5068" s="12" t="inlineStr">
        <is>
          <t>MOD-LV 480 V board + 480 V : 13.8 kV step-up</t>
        </is>
      </c>
      <c r="G5068" s="12" t="inlineStr"/>
      <c r="H5068" s="12" t="inlineStr">
        <is>
          <t>SC-2 SCR / CO catalyst</t>
        </is>
      </c>
      <c r="I5068" s="12" t="inlineStr">
        <is>
          <t>LV 600 V</t>
        </is>
      </c>
      <c r="J5068" s="12" t="inlineStr">
        <is>
          <t>Type TC-ER 600 V 3/C Cu XHHW-2 + ground, PVC jacket</t>
        </is>
      </c>
      <c r="K5068" s="12" t="inlineStr">
        <is>
          <t>LV|3/C+G|350</t>
        </is>
      </c>
      <c r="L5068" s="12" t="inlineStr">
        <is>
          <t>3/C+G</t>
        </is>
      </c>
      <c r="M5068" s="12" t="inlineStr">
        <is>
          <t>350 kcmil</t>
        </is>
      </c>
      <c r="N5068" s="12" t="n">
        <v>1</v>
      </c>
      <c r="O5068" s="12" t="n">
        <v>1</v>
      </c>
      <c r="P5068" s="12" t="n">
        <v>480</v>
      </c>
      <c r="Q5068" s="12" t="n">
        <v>30</v>
      </c>
      <c r="R5068" s="12" t="n">
        <v>42.5</v>
      </c>
      <c r="S5068" s="12" t="inlineStr">
        <is>
          <t>HV duct bank</t>
        </is>
      </c>
      <c r="T5068" s="17" t="n">
        <v>4384</v>
      </c>
      <c r="U5068" s="17" t="n">
        <v>128</v>
      </c>
      <c r="V5068" s="17">
        <f>ROUNDUP((T5068+U5068+2*'Read Me'!$B$13)*(1+'Read Me'!$B$12),-1)</f>
        <v/>
      </c>
      <c r="W5068" s="17">
        <f>V5068*N5068*O5068</f>
        <v/>
      </c>
      <c r="X5068" s="12">
        <f>IF(LEFT(I5068,2)="MV",2*N5068*IF(L5068="1/C",O5068,1),0)</f>
        <v/>
      </c>
      <c r="Y5068" s="12">
        <f>IF(OR(LEFT(K5068,4)="LVAX",LEFT(K5068,6)="MV15AX",LEFT(K5068,4)="CTAX",LEFT(K5068,2)="W|"),2*N5068*O5068,0)</f>
        <v/>
      </c>
      <c r="Z5068" s="12" t="inlineStr">
        <is>
          <t>VD 2.8 %</t>
        </is>
      </c>
      <c r="AA5068" s="12">
        <f>N5068*O5068</f>
        <v/>
      </c>
    </row>
    <row r="5069">
      <c r="A5069" s="12" t="inlineStr">
        <is>
          <t>I-P-0189</t>
        </is>
      </c>
      <c r="B5069" s="12" t="inlineStr">
        <is>
          <t>I</t>
        </is>
      </c>
      <c r="C5069" s="12" t="inlineStr">
        <is>
          <t>Modular / portable power</t>
        </is>
      </c>
      <c r="D5069" s="12" t="inlineStr">
        <is>
          <t>Motor 1 of 4, 15 kW</t>
        </is>
      </c>
      <c r="E5069" s="12" t="inlineStr"/>
      <c r="F5069" s="12" t="inlineStr">
        <is>
          <t>MOD-LV 480 V board + 480 V : 13.8 kV step-up</t>
        </is>
      </c>
      <c r="G5069" s="12" t="inlineStr"/>
      <c r="H5069" s="12" t="inlineStr">
        <is>
          <t>SC-2 lube-oil fin-fan cooler</t>
        </is>
      </c>
      <c r="I5069" s="12" t="inlineStr">
        <is>
          <t>LV 600 V</t>
        </is>
      </c>
      <c r="J5069" s="12" t="inlineStr">
        <is>
          <t>Type TC-ER 600 V 3/C Cu XHHW-2 + ground, PVC jacket</t>
        </is>
      </c>
      <c r="K5069" s="12" t="inlineStr">
        <is>
          <t>LV|3/C+G|3/0</t>
        </is>
      </c>
      <c r="L5069" s="12" t="inlineStr">
        <is>
          <t>3/C+G</t>
        </is>
      </c>
      <c r="M5069" s="12" t="inlineStr">
        <is>
          <t>3/0</t>
        </is>
      </c>
      <c r="N5069" s="12" t="n">
        <v>1</v>
      </c>
      <c r="O5069" s="12" t="n">
        <v>1</v>
      </c>
      <c r="P5069" s="12" t="n">
        <v>480</v>
      </c>
      <c r="Q5069" s="12" t="n">
        <v>15</v>
      </c>
      <c r="R5069" s="12" t="n">
        <v>21.2</v>
      </c>
      <c r="S5069" s="12" t="inlineStr">
        <is>
          <t>HV duct bank</t>
        </is>
      </c>
      <c r="T5069" s="17" t="n">
        <v>4352</v>
      </c>
      <c r="U5069" s="17" t="n">
        <v>88</v>
      </c>
      <c r="V5069" s="17">
        <f>ROUNDUP((T5069+U5069+2*'Read Me'!$B$13)*(1+'Read Me'!$B$12),-1)</f>
        <v/>
      </c>
      <c r="W5069" s="17">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I-P-0190</t>
        </is>
      </c>
      <c r="B5070" s="12" t="inlineStr">
        <is>
          <t>I</t>
        </is>
      </c>
      <c r="C5070" s="12" t="inlineStr">
        <is>
          <t>Modular / portable power</t>
        </is>
      </c>
      <c r="D5070" s="12" t="inlineStr">
        <is>
          <t>Motor 2 of 4, 15 kW</t>
        </is>
      </c>
      <c r="E5070" s="12" t="inlineStr"/>
      <c r="F5070" s="12" t="inlineStr">
        <is>
          <t>MOD-LV 480 V board + 480 V : 13.8 kV step-up</t>
        </is>
      </c>
      <c r="G5070" s="12" t="inlineStr"/>
      <c r="H5070" s="12" t="inlineStr">
        <is>
          <t>SC-2 lube-oil fin-fan cooler</t>
        </is>
      </c>
      <c r="I5070" s="12" t="inlineStr">
        <is>
          <t>LV 600 V</t>
        </is>
      </c>
      <c r="J5070" s="12" t="inlineStr">
        <is>
          <t>Type TC-ER 600 V 3/C Cu XHHW-2 + ground, PVC jacket</t>
        </is>
      </c>
      <c r="K5070" s="12" t="inlineStr">
        <is>
          <t>LV|3/C+G|3/0</t>
        </is>
      </c>
      <c r="L5070" s="12" t="inlineStr">
        <is>
          <t>3/C+G</t>
        </is>
      </c>
      <c r="M5070" s="12" t="inlineStr">
        <is>
          <t>3/0</t>
        </is>
      </c>
      <c r="N5070" s="12" t="n">
        <v>1</v>
      </c>
      <c r="O5070" s="12" t="n">
        <v>1</v>
      </c>
      <c r="P5070" s="12" t="n">
        <v>480</v>
      </c>
      <c r="Q5070" s="12" t="n">
        <v>15</v>
      </c>
      <c r="R5070" s="12" t="n">
        <v>21.2</v>
      </c>
      <c r="S5070" s="12" t="inlineStr">
        <is>
          <t>HV duct bank</t>
        </is>
      </c>
      <c r="T5070" s="17" t="n">
        <v>4352</v>
      </c>
      <c r="U5070" s="17" t="n">
        <v>88</v>
      </c>
      <c r="V5070" s="17">
        <f>ROUNDUP((T5070+U5070+2*'Read Me'!$B$13)*(1+'Read Me'!$B$12),-1)</f>
        <v/>
      </c>
      <c r="W5070" s="17">
        <f>V5070*N5070*O5070</f>
        <v/>
      </c>
      <c r="X5070" s="12">
        <f>IF(LEFT(I5070,2)="MV",2*N5070*IF(L5070="1/C",O5070,1),0)</f>
        <v/>
      </c>
      <c r="Y5070" s="12">
        <f>IF(OR(LEFT(K5070,4)="LVAX",LEFT(K5070,6)="MV15AX",LEFT(K5070,4)="CTAX",LEFT(K5070,2)="W|"),2*N5070*O5070,0)</f>
        <v/>
      </c>
      <c r="Z5070" s="12" t="inlineStr">
        <is>
          <t>VD 2.9 %</t>
        </is>
      </c>
      <c r="AA5070" s="12">
        <f>N5070*O5070</f>
        <v/>
      </c>
    </row>
    <row r="5071">
      <c r="A5071" s="12" t="inlineStr">
        <is>
          <t>I-P-0191</t>
        </is>
      </c>
      <c r="B5071" s="12" t="inlineStr">
        <is>
          <t>I</t>
        </is>
      </c>
      <c r="C5071" s="12" t="inlineStr">
        <is>
          <t>Modular / portable power</t>
        </is>
      </c>
      <c r="D5071" s="12" t="inlineStr">
        <is>
          <t>Motor 3 of 4, 15 kW</t>
        </is>
      </c>
      <c r="E5071" s="12" t="inlineStr"/>
      <c r="F5071" s="12" t="inlineStr">
        <is>
          <t>MOD-LV 480 V board + 480 V : 13.8 kV step-up</t>
        </is>
      </c>
      <c r="G5071" s="12" t="inlineStr"/>
      <c r="H5071" s="12" t="inlineStr">
        <is>
          <t>SC-2 lube-oil fin-fan cooler</t>
        </is>
      </c>
      <c r="I5071" s="12" t="inlineStr">
        <is>
          <t>LV 600 V</t>
        </is>
      </c>
      <c r="J5071" s="12" t="inlineStr">
        <is>
          <t>Type TC-ER 600 V 3/C Cu XHHW-2 + ground, PVC jacket</t>
        </is>
      </c>
      <c r="K5071" s="12" t="inlineStr">
        <is>
          <t>LV|3/C+G|3/0</t>
        </is>
      </c>
      <c r="L5071" s="12" t="inlineStr">
        <is>
          <t>3/C+G</t>
        </is>
      </c>
      <c r="M5071" s="12" t="inlineStr">
        <is>
          <t>3/0</t>
        </is>
      </c>
      <c r="N5071" s="12" t="n">
        <v>1</v>
      </c>
      <c r="O5071" s="12" t="n">
        <v>1</v>
      </c>
      <c r="P5071" s="12" t="n">
        <v>480</v>
      </c>
      <c r="Q5071" s="12" t="n">
        <v>15</v>
      </c>
      <c r="R5071" s="12" t="n">
        <v>21.2</v>
      </c>
      <c r="S5071" s="12" t="inlineStr">
        <is>
          <t>HV duct bank</t>
        </is>
      </c>
      <c r="T5071" s="17" t="n">
        <v>4352</v>
      </c>
      <c r="U5071" s="17" t="n">
        <v>88</v>
      </c>
      <c r="V5071" s="17">
        <f>ROUNDUP((T5071+U5071+2*'Read Me'!$B$13)*(1+'Read Me'!$B$12),-1)</f>
        <v/>
      </c>
      <c r="W5071" s="17">
        <f>V5071*N5071*O5071</f>
        <v/>
      </c>
      <c r="X5071" s="12">
        <f>IF(LEFT(I5071,2)="MV",2*N5071*IF(L5071="1/C",O5071,1),0)</f>
        <v/>
      </c>
      <c r="Y5071" s="12">
        <f>IF(OR(LEFT(K5071,4)="LVAX",LEFT(K5071,6)="MV15AX",LEFT(K5071,4)="CTAX",LEFT(K5071,2)="W|"),2*N5071*O5071,0)</f>
        <v/>
      </c>
      <c r="Z5071" s="12" t="inlineStr">
        <is>
          <t>VD 2.9 %</t>
        </is>
      </c>
      <c r="AA5071" s="12">
        <f>N5071*O5071</f>
        <v/>
      </c>
    </row>
    <row r="5072">
      <c r="A5072" s="12" t="inlineStr">
        <is>
          <t>I-P-0192</t>
        </is>
      </c>
      <c r="B5072" s="12" t="inlineStr">
        <is>
          <t>I</t>
        </is>
      </c>
      <c r="C5072" s="12" t="inlineStr">
        <is>
          <t>Modular / portable power</t>
        </is>
      </c>
      <c r="D5072" s="12" t="inlineStr">
        <is>
          <t>Motor 4 of 4, 15 kW</t>
        </is>
      </c>
      <c r="E5072" s="12" t="inlineStr"/>
      <c r="F5072" s="12" t="inlineStr">
        <is>
          <t>MOD-LV 480 V board + 480 V : 13.8 kV step-up</t>
        </is>
      </c>
      <c r="G5072" s="12" t="inlineStr"/>
      <c r="H5072" s="12" t="inlineStr">
        <is>
          <t>SC-2 lube-oil fin-fan cooler</t>
        </is>
      </c>
      <c r="I5072" s="12" t="inlineStr">
        <is>
          <t>LV 600 V</t>
        </is>
      </c>
      <c r="J5072" s="12" t="inlineStr">
        <is>
          <t>Type TC-ER 600 V 3/C Cu XHHW-2 + ground, PVC jacket</t>
        </is>
      </c>
      <c r="K5072" s="12" t="inlineStr">
        <is>
          <t>LV|3/C+G|3/0</t>
        </is>
      </c>
      <c r="L5072" s="12" t="inlineStr">
        <is>
          <t>3/C+G</t>
        </is>
      </c>
      <c r="M5072" s="12" t="inlineStr">
        <is>
          <t>3/0</t>
        </is>
      </c>
      <c r="N5072" s="12" t="n">
        <v>1</v>
      </c>
      <c r="O5072" s="12" t="n">
        <v>1</v>
      </c>
      <c r="P5072" s="12" t="n">
        <v>480</v>
      </c>
      <c r="Q5072" s="12" t="n">
        <v>15</v>
      </c>
      <c r="R5072" s="12" t="n">
        <v>21.2</v>
      </c>
      <c r="S5072" s="12" t="inlineStr">
        <is>
          <t>HV duct bank</t>
        </is>
      </c>
      <c r="T5072" s="17" t="n">
        <v>4352</v>
      </c>
      <c r="U5072" s="17" t="n">
        <v>88</v>
      </c>
      <c r="V5072" s="17">
        <f>ROUNDUP((T5072+U5072+2*'Read Me'!$B$13)*(1+'Read Me'!$B$12),-1)</f>
        <v/>
      </c>
      <c r="W5072" s="17">
        <f>V5072*N5072*O5072</f>
        <v/>
      </c>
      <c r="X5072" s="12">
        <f>IF(LEFT(I5072,2)="MV",2*N5072*IF(L5072="1/C",O5072,1),0)</f>
        <v/>
      </c>
      <c r="Y5072" s="12">
        <f>IF(OR(LEFT(K5072,4)="LVAX",LEFT(K5072,6)="MV15AX",LEFT(K5072,4)="CTAX",LEFT(K5072,2)="W|"),2*N5072*O5072,0)</f>
        <v/>
      </c>
      <c r="Z5072" s="12" t="inlineStr">
        <is>
          <t>VD 2.9 %</t>
        </is>
      </c>
      <c r="AA5072" s="12">
        <f>N5072*O5072</f>
        <v/>
      </c>
    </row>
    <row r="5073">
      <c r="A5073" s="12" t="inlineStr">
        <is>
          <t>I-P-0193</t>
        </is>
      </c>
      <c r="B5073" s="12" t="inlineStr">
        <is>
          <t>I</t>
        </is>
      </c>
      <c r="C5073" s="12" t="inlineStr">
        <is>
          <t>Modular / portable power</t>
        </is>
      </c>
      <c r="D5073" s="12" t="inlineStr">
        <is>
          <t>Area / platform lighting circuit 1 (4 fixtures)</t>
        </is>
      </c>
      <c r="E5073" s="12" t="inlineStr"/>
      <c r="F5073" s="12" t="inlineStr">
        <is>
          <t>MOD-LV 480 V board + 480 V : 13.8 kV step-up</t>
        </is>
      </c>
      <c r="G5073" s="12" t="inlineStr"/>
      <c r="H5073" s="12" t="inlineStr">
        <is>
          <t>SC-2 stack (80 ft)</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3</v>
      </c>
      <c r="R5073" s="12" t="n">
        <v>5</v>
      </c>
      <c r="S5073" s="12" t="inlineStr">
        <is>
          <t>HV duct bank</t>
        </is>
      </c>
      <c r="T5073" s="17" t="n">
        <v>4684</v>
      </c>
      <c r="U5073" s="17" t="n">
        <v>182</v>
      </c>
      <c r="V5073" s="17">
        <f>ROUNDUP((T5073+U5073+2*'Read Me'!$B$13)*(1+'Read Me'!$B$12),-1)</f>
        <v/>
      </c>
      <c r="W5073" s="17">
        <f>V5073*N5073*O5073</f>
        <v/>
      </c>
      <c r="X5073" s="12">
        <f>IF(LEFT(I5073,2)="MV",2*N5073*IF(L5073="1/C",O5073,1),0)</f>
        <v/>
      </c>
      <c r="Y5073" s="12">
        <f>IF(OR(LEFT(K5073,4)="LVAX",LEFT(K5073,6)="MV15AX",LEFT(K5073,4)="CTAX",LEFT(K5073,2)="W|"),2*N5073*O5073,0)</f>
        <v/>
      </c>
      <c r="Z5073" s="12" t="inlineStr">
        <is>
          <t>fixture-to-fixture run included</t>
        </is>
      </c>
      <c r="AA5073" s="12">
        <f>N5073*O5073</f>
        <v/>
      </c>
    </row>
    <row r="5074">
      <c r="A5074" s="12" t="inlineStr">
        <is>
          <t>I-P-0194</t>
        </is>
      </c>
      <c r="B5074" s="12" t="inlineStr">
        <is>
          <t>I</t>
        </is>
      </c>
      <c r="C5074" s="12" t="inlineStr">
        <is>
          <t>Modular / portable power</t>
        </is>
      </c>
      <c r="D5074" s="12" t="inlineStr">
        <is>
          <t>Motor 1 of 10, 30 kW</t>
        </is>
      </c>
      <c r="E5074" s="12" t="inlineStr"/>
      <c r="F5074" s="12" t="inlineStr">
        <is>
          <t>MOD-LV 480 V board + 480 V : 13.8 kV step-up</t>
        </is>
      </c>
      <c r="G5074" s="12" t="inlineStr">
        <is>
          <t>SC-2</t>
        </is>
      </c>
      <c r="H5074" s="12" t="inlineStr">
        <is>
          <t>SC-2: aeroderivative simple-cycle unit (LM6000 class)</t>
        </is>
      </c>
      <c r="I5074" s="12" t="inlineStr">
        <is>
          <t>LV 600 V</t>
        </is>
      </c>
      <c r="J5074" s="12" t="inlineStr">
        <is>
          <t>Type TC-ER 600 V 3/C Cu XHHW-2 + ground, PVC jacket</t>
        </is>
      </c>
      <c r="K5074" s="12" t="inlineStr">
        <is>
          <t>LV|3/C+G|350</t>
        </is>
      </c>
      <c r="L5074" s="12" t="inlineStr">
        <is>
          <t>3/C+G</t>
        </is>
      </c>
      <c r="M5074" s="12" t="inlineStr">
        <is>
          <t>350 kcmil</t>
        </is>
      </c>
      <c r="N5074" s="12" t="n">
        <v>1</v>
      </c>
      <c r="O5074" s="12" t="n">
        <v>1</v>
      </c>
      <c r="P5074" s="12" t="n">
        <v>480</v>
      </c>
      <c r="Q5074" s="12" t="n">
        <v>30</v>
      </c>
      <c r="R5074" s="12" t="n">
        <v>42.5</v>
      </c>
      <c r="S5074" s="12" t="inlineStr">
        <is>
          <t>HV duct bank</t>
        </is>
      </c>
      <c r="T5074" s="17" t="n">
        <v>4384</v>
      </c>
      <c r="U5074" s="17" t="n">
        <v>38</v>
      </c>
      <c r="V5074" s="17">
        <f>ROUNDUP((T5074+U5074+2*'Read Me'!$B$13)*(1+'Read Me'!$B$12),-1)</f>
        <v/>
      </c>
      <c r="W5074" s="17">
        <f>V5074*N5074*O5074</f>
        <v/>
      </c>
      <c r="X5074" s="12">
        <f>IF(LEFT(I5074,2)="MV",2*N5074*IF(L5074="1/C",O5074,1),0)</f>
        <v/>
      </c>
      <c r="Y5074" s="12">
        <f>IF(OR(LEFT(K5074,4)="LVAX",LEFT(K5074,6)="MV15AX",LEFT(K5074,4)="CTAX",LEFT(K5074,2)="W|"),2*N5074*O5074,0)</f>
        <v/>
      </c>
      <c r="Z5074" s="12" t="inlineStr">
        <is>
          <t>VD 2.7 %</t>
        </is>
      </c>
      <c r="AA5074" s="12">
        <f>N5074*O5074</f>
        <v/>
      </c>
    </row>
    <row r="5075">
      <c r="A5075" s="12" t="inlineStr">
        <is>
          <t>I-P-0195</t>
        </is>
      </c>
      <c r="B5075" s="12" t="inlineStr">
        <is>
          <t>I</t>
        </is>
      </c>
      <c r="C5075" s="12" t="inlineStr">
        <is>
          <t>Modular / portable power</t>
        </is>
      </c>
      <c r="D5075" s="12" t="inlineStr">
        <is>
          <t>Motor 2 of 10, 30 kW</t>
        </is>
      </c>
      <c r="E5075" s="12" t="inlineStr"/>
      <c r="F5075" s="12" t="inlineStr">
        <is>
          <t>MOD-LV 480 V board + 480 V : 13.8 kV step-up</t>
        </is>
      </c>
      <c r="G5075" s="12" t="inlineStr">
        <is>
          <t>SC-2</t>
        </is>
      </c>
      <c r="H5075" s="12" t="inlineStr">
        <is>
          <t>SC-2: aeroderivative simple-cycle unit (LM6000 class)</t>
        </is>
      </c>
      <c r="I5075" s="12" t="inlineStr">
        <is>
          <t>LV 600 V</t>
        </is>
      </c>
      <c r="J5075" s="12" t="inlineStr">
        <is>
          <t>Type TC-ER 600 V 3/C Cu XHHW-2 + ground, PVC jacket</t>
        </is>
      </c>
      <c r="K5075" s="12" t="inlineStr">
        <is>
          <t>LV|3/C+G|350</t>
        </is>
      </c>
      <c r="L5075" s="12" t="inlineStr">
        <is>
          <t>3/C+G</t>
        </is>
      </c>
      <c r="M5075" s="12" t="inlineStr">
        <is>
          <t>350 kcmil</t>
        </is>
      </c>
      <c r="N5075" s="12" t="n">
        <v>1</v>
      </c>
      <c r="O5075" s="12" t="n">
        <v>1</v>
      </c>
      <c r="P5075" s="12" t="n">
        <v>480</v>
      </c>
      <c r="Q5075" s="12" t="n">
        <v>30</v>
      </c>
      <c r="R5075" s="12" t="n">
        <v>42.5</v>
      </c>
      <c r="S5075" s="12" t="inlineStr">
        <is>
          <t>HV duct bank</t>
        </is>
      </c>
      <c r="T5075" s="17" t="n">
        <v>4384</v>
      </c>
      <c r="U5075" s="17" t="n">
        <v>38</v>
      </c>
      <c r="V5075" s="17">
        <f>ROUNDUP((T5075+U5075+2*'Read Me'!$B$13)*(1+'Read Me'!$B$12),-1)</f>
        <v/>
      </c>
      <c r="W5075" s="17">
        <f>V5075*N5075*O5075</f>
        <v/>
      </c>
      <c r="X5075" s="12">
        <f>IF(LEFT(I5075,2)="MV",2*N5075*IF(L5075="1/C",O5075,1),0)</f>
        <v/>
      </c>
      <c r="Y5075" s="12">
        <f>IF(OR(LEFT(K5075,4)="LVAX",LEFT(K5075,6)="MV15AX",LEFT(K5075,4)="CTAX",LEFT(K5075,2)="W|"),2*N5075*O5075,0)</f>
        <v/>
      </c>
      <c r="Z5075" s="12" t="inlineStr">
        <is>
          <t>VD 2.7 %</t>
        </is>
      </c>
      <c r="AA5075" s="12">
        <f>N5075*O5075</f>
        <v/>
      </c>
    </row>
    <row r="5076">
      <c r="A5076" s="12" t="inlineStr">
        <is>
          <t>I-P-0196</t>
        </is>
      </c>
      <c r="B5076" s="12" t="inlineStr">
        <is>
          <t>I</t>
        </is>
      </c>
      <c r="C5076" s="12" t="inlineStr">
        <is>
          <t>Modular / portable power</t>
        </is>
      </c>
      <c r="D5076" s="12" t="inlineStr">
        <is>
          <t>Motor 3 of 10, 30 kW</t>
        </is>
      </c>
      <c r="E5076" s="12" t="inlineStr"/>
      <c r="F5076" s="12" t="inlineStr">
        <is>
          <t>MOD-LV 480 V board + 480 V : 13.8 kV step-up</t>
        </is>
      </c>
      <c r="G5076" s="12" t="inlineStr">
        <is>
          <t>SC-2</t>
        </is>
      </c>
      <c r="H5076" s="12" t="inlineStr">
        <is>
          <t>SC-2: aeroderivative simple-cycle unit (LM6000 class)</t>
        </is>
      </c>
      <c r="I5076" s="12" t="inlineStr">
        <is>
          <t>LV 600 V</t>
        </is>
      </c>
      <c r="J5076" s="12" t="inlineStr">
        <is>
          <t>Type TC-ER 600 V 3/C Cu XHHW-2 + ground, PVC jacket</t>
        </is>
      </c>
      <c r="K5076" s="12" t="inlineStr">
        <is>
          <t>LV|3/C+G|350</t>
        </is>
      </c>
      <c r="L5076" s="12" t="inlineStr">
        <is>
          <t>3/C+G</t>
        </is>
      </c>
      <c r="M5076" s="12" t="inlineStr">
        <is>
          <t>350 kcmil</t>
        </is>
      </c>
      <c r="N5076" s="12" t="n">
        <v>1</v>
      </c>
      <c r="O5076" s="12" t="n">
        <v>1</v>
      </c>
      <c r="P5076" s="12" t="n">
        <v>480</v>
      </c>
      <c r="Q5076" s="12" t="n">
        <v>30</v>
      </c>
      <c r="R5076" s="12" t="n">
        <v>42.5</v>
      </c>
      <c r="S5076" s="12" t="inlineStr">
        <is>
          <t>HV duct bank</t>
        </is>
      </c>
      <c r="T5076" s="17" t="n">
        <v>4384</v>
      </c>
      <c r="U5076" s="17" t="n">
        <v>38</v>
      </c>
      <c r="V5076" s="17">
        <f>ROUNDUP((T5076+U5076+2*'Read Me'!$B$13)*(1+'Read Me'!$B$12),-1)</f>
        <v/>
      </c>
      <c r="W5076" s="17">
        <f>V5076*N5076*O5076</f>
        <v/>
      </c>
      <c r="X5076" s="12">
        <f>IF(LEFT(I5076,2)="MV",2*N5076*IF(L5076="1/C",O5076,1),0)</f>
        <v/>
      </c>
      <c r="Y5076" s="12">
        <f>IF(OR(LEFT(K5076,4)="LVAX",LEFT(K5076,6)="MV15AX",LEFT(K5076,4)="CTAX",LEFT(K5076,2)="W|"),2*N5076*O5076,0)</f>
        <v/>
      </c>
      <c r="Z5076" s="12" t="inlineStr">
        <is>
          <t>VD 2.7 %</t>
        </is>
      </c>
      <c r="AA5076" s="12">
        <f>N5076*O5076</f>
        <v/>
      </c>
    </row>
    <row r="5077">
      <c r="A5077" s="12" t="inlineStr">
        <is>
          <t>I-P-0197</t>
        </is>
      </c>
      <c r="B5077" s="12" t="inlineStr">
        <is>
          <t>I</t>
        </is>
      </c>
      <c r="C5077" s="12" t="inlineStr">
        <is>
          <t>Modular / portable power</t>
        </is>
      </c>
      <c r="D5077" s="12" t="inlineStr">
        <is>
          <t>Motor 4 of 10, 30 kW</t>
        </is>
      </c>
      <c r="E5077" s="12" t="inlineStr"/>
      <c r="F5077" s="12" t="inlineStr">
        <is>
          <t>MOD-LV 480 V board + 480 V : 13.8 kV step-up</t>
        </is>
      </c>
      <c r="G5077" s="12" t="inlineStr">
        <is>
          <t>SC-2</t>
        </is>
      </c>
      <c r="H5077" s="12" t="inlineStr">
        <is>
          <t>SC-2: aeroderivative simple-cycle unit (LM6000 class)</t>
        </is>
      </c>
      <c r="I5077" s="12" t="inlineStr">
        <is>
          <t>LV 600 V</t>
        </is>
      </c>
      <c r="J5077" s="12" t="inlineStr">
        <is>
          <t>Type TC-ER 600 V 3/C Cu XHHW-2 + ground, PVC jacket</t>
        </is>
      </c>
      <c r="K5077" s="12" t="inlineStr">
        <is>
          <t>LV|3/C+G|350</t>
        </is>
      </c>
      <c r="L5077" s="12" t="inlineStr">
        <is>
          <t>3/C+G</t>
        </is>
      </c>
      <c r="M5077" s="12" t="inlineStr">
        <is>
          <t>350 kcmil</t>
        </is>
      </c>
      <c r="N5077" s="12" t="n">
        <v>1</v>
      </c>
      <c r="O5077" s="12" t="n">
        <v>1</v>
      </c>
      <c r="P5077" s="12" t="n">
        <v>480</v>
      </c>
      <c r="Q5077" s="12" t="n">
        <v>30</v>
      </c>
      <c r="R5077" s="12" t="n">
        <v>42.5</v>
      </c>
      <c r="S5077" s="12" t="inlineStr">
        <is>
          <t>HV duct bank</t>
        </is>
      </c>
      <c r="T5077" s="17" t="n">
        <v>4384</v>
      </c>
      <c r="U5077" s="17" t="n">
        <v>38</v>
      </c>
      <c r="V5077" s="17">
        <f>ROUNDUP((T5077+U5077+2*'Read Me'!$B$13)*(1+'Read Me'!$B$12),-1)</f>
        <v/>
      </c>
      <c r="W5077" s="17">
        <f>V5077*N5077*O5077</f>
        <v/>
      </c>
      <c r="X5077" s="12">
        <f>IF(LEFT(I5077,2)="MV",2*N5077*IF(L5077="1/C",O5077,1),0)</f>
        <v/>
      </c>
      <c r="Y5077" s="12">
        <f>IF(OR(LEFT(K5077,4)="LVAX",LEFT(K5077,6)="MV15AX",LEFT(K5077,4)="CTAX",LEFT(K5077,2)="W|"),2*N5077*O5077,0)</f>
        <v/>
      </c>
      <c r="Z5077" s="12" t="inlineStr">
        <is>
          <t>VD 2.7 %</t>
        </is>
      </c>
      <c r="AA5077" s="12">
        <f>N5077*O5077</f>
        <v/>
      </c>
    </row>
    <row r="5078">
      <c r="A5078" s="12" t="inlineStr">
        <is>
          <t>I-P-0198</t>
        </is>
      </c>
      <c r="B5078" s="12" t="inlineStr">
        <is>
          <t>I</t>
        </is>
      </c>
      <c r="C5078" s="12" t="inlineStr">
        <is>
          <t>Modular / portable power</t>
        </is>
      </c>
      <c r="D5078" s="12" t="inlineStr">
        <is>
          <t>Motor 5 of 10, 30 kW</t>
        </is>
      </c>
      <c r="E5078" s="12" t="inlineStr"/>
      <c r="F5078" s="12" t="inlineStr">
        <is>
          <t>MOD-LV 480 V board + 480 V : 13.8 kV step-up</t>
        </is>
      </c>
      <c r="G5078" s="12" t="inlineStr">
        <is>
          <t>SC-2</t>
        </is>
      </c>
      <c r="H5078" s="12" t="inlineStr">
        <is>
          <t>SC-2: aeroderivative simple-cycle unit (LM6000 class)</t>
        </is>
      </c>
      <c r="I5078" s="12" t="inlineStr">
        <is>
          <t>LV 600 V</t>
        </is>
      </c>
      <c r="J5078" s="12" t="inlineStr">
        <is>
          <t>Type TC-ER 600 V 3/C Cu XHHW-2 + ground, PVC jacket</t>
        </is>
      </c>
      <c r="K5078" s="12" t="inlineStr">
        <is>
          <t>LV|3/C+G|350</t>
        </is>
      </c>
      <c r="L5078" s="12" t="inlineStr">
        <is>
          <t>3/C+G</t>
        </is>
      </c>
      <c r="M5078" s="12" t="inlineStr">
        <is>
          <t>350 kcmil</t>
        </is>
      </c>
      <c r="N5078" s="12" t="n">
        <v>1</v>
      </c>
      <c r="O5078" s="12" t="n">
        <v>1</v>
      </c>
      <c r="P5078" s="12" t="n">
        <v>480</v>
      </c>
      <c r="Q5078" s="12" t="n">
        <v>30</v>
      </c>
      <c r="R5078" s="12" t="n">
        <v>42.5</v>
      </c>
      <c r="S5078" s="12" t="inlineStr">
        <is>
          <t>HV duct bank</t>
        </is>
      </c>
      <c r="T5078" s="17" t="n">
        <v>4384</v>
      </c>
      <c r="U5078" s="17" t="n">
        <v>38</v>
      </c>
      <c r="V5078" s="17">
        <f>ROUNDUP((T5078+U5078+2*'Read Me'!$B$13)*(1+'Read Me'!$B$12),-1)</f>
        <v/>
      </c>
      <c r="W5078" s="17">
        <f>V5078*N5078*O5078</f>
        <v/>
      </c>
      <c r="X5078" s="12">
        <f>IF(LEFT(I5078,2)="MV",2*N5078*IF(L5078="1/C",O5078,1),0)</f>
        <v/>
      </c>
      <c r="Y5078" s="12">
        <f>IF(OR(LEFT(K5078,4)="LVAX",LEFT(K5078,6)="MV15AX",LEFT(K5078,4)="CTAX",LEFT(K5078,2)="W|"),2*N5078*O5078,0)</f>
        <v/>
      </c>
      <c r="Z5078" s="12" t="inlineStr">
        <is>
          <t>VD 2.7 %</t>
        </is>
      </c>
      <c r="AA5078" s="12">
        <f>N5078*O5078</f>
        <v/>
      </c>
    </row>
    <row r="5079">
      <c r="A5079" s="12" t="inlineStr">
        <is>
          <t>I-P-0199</t>
        </is>
      </c>
      <c r="B5079" s="12" t="inlineStr">
        <is>
          <t>I</t>
        </is>
      </c>
      <c r="C5079" s="12" t="inlineStr">
        <is>
          <t>Modular / portable power</t>
        </is>
      </c>
      <c r="D5079" s="12" t="inlineStr">
        <is>
          <t>Motor 6 of 10, 30 kW</t>
        </is>
      </c>
      <c r="E5079" s="12" t="inlineStr"/>
      <c r="F5079" s="12" t="inlineStr">
        <is>
          <t>MOD-LV 480 V board + 480 V : 13.8 kV step-up</t>
        </is>
      </c>
      <c r="G5079" s="12" t="inlineStr">
        <is>
          <t>SC-2</t>
        </is>
      </c>
      <c r="H5079" s="12" t="inlineStr">
        <is>
          <t>SC-2: aeroderivative simple-cycle unit (LM6000 class)</t>
        </is>
      </c>
      <c r="I5079" s="12" t="inlineStr">
        <is>
          <t>LV 600 V</t>
        </is>
      </c>
      <c r="J5079" s="12" t="inlineStr">
        <is>
          <t>Type TC-ER 600 V 3/C Cu XHHW-2 + ground, PVC jacket</t>
        </is>
      </c>
      <c r="K5079" s="12" t="inlineStr">
        <is>
          <t>LV|3/C+G|350</t>
        </is>
      </c>
      <c r="L5079" s="12" t="inlineStr">
        <is>
          <t>3/C+G</t>
        </is>
      </c>
      <c r="M5079" s="12" t="inlineStr">
        <is>
          <t>350 kcmil</t>
        </is>
      </c>
      <c r="N5079" s="12" t="n">
        <v>1</v>
      </c>
      <c r="O5079" s="12" t="n">
        <v>1</v>
      </c>
      <c r="P5079" s="12" t="n">
        <v>480</v>
      </c>
      <c r="Q5079" s="12" t="n">
        <v>30</v>
      </c>
      <c r="R5079" s="12" t="n">
        <v>42.5</v>
      </c>
      <c r="S5079" s="12" t="inlineStr">
        <is>
          <t>HV duct bank</t>
        </is>
      </c>
      <c r="T5079" s="17" t="n">
        <v>4384</v>
      </c>
      <c r="U5079" s="17" t="n">
        <v>38</v>
      </c>
      <c r="V5079" s="17">
        <f>ROUNDUP((T5079+U5079+2*'Read Me'!$B$13)*(1+'Read Me'!$B$12),-1)</f>
        <v/>
      </c>
      <c r="W5079" s="17">
        <f>V5079*N5079*O5079</f>
        <v/>
      </c>
      <c r="X5079" s="12">
        <f>IF(LEFT(I5079,2)="MV",2*N5079*IF(L5079="1/C",O5079,1),0)</f>
        <v/>
      </c>
      <c r="Y5079" s="12">
        <f>IF(OR(LEFT(K5079,4)="LVAX",LEFT(K5079,6)="MV15AX",LEFT(K5079,4)="CTAX",LEFT(K5079,2)="W|"),2*N5079*O5079,0)</f>
        <v/>
      </c>
      <c r="Z5079" s="12" t="inlineStr">
        <is>
          <t>VD 2.7 %</t>
        </is>
      </c>
      <c r="AA5079" s="12">
        <f>N5079*O5079</f>
        <v/>
      </c>
    </row>
    <row r="5080">
      <c r="A5080" s="12" t="inlineStr">
        <is>
          <t>I-P-0200</t>
        </is>
      </c>
      <c r="B5080" s="12" t="inlineStr">
        <is>
          <t>I</t>
        </is>
      </c>
      <c r="C5080" s="12" t="inlineStr">
        <is>
          <t>Modular / portable power</t>
        </is>
      </c>
      <c r="D5080" s="12" t="inlineStr">
        <is>
          <t>Motor 7 of 10, 30 kW</t>
        </is>
      </c>
      <c r="E5080" s="12" t="inlineStr"/>
      <c r="F5080" s="12" t="inlineStr">
        <is>
          <t>MOD-LV 480 V board + 480 V : 13.8 kV step-up</t>
        </is>
      </c>
      <c r="G5080" s="12" t="inlineStr">
        <is>
          <t>SC-2</t>
        </is>
      </c>
      <c r="H5080" s="12" t="inlineStr">
        <is>
          <t>SC-2: aeroderivative simple-cycle unit (LM6000 class)</t>
        </is>
      </c>
      <c r="I5080" s="12" t="inlineStr">
        <is>
          <t>LV 600 V</t>
        </is>
      </c>
      <c r="J5080" s="12" t="inlineStr">
        <is>
          <t>Type TC-ER 600 V 3/C Cu XHHW-2 + ground, PVC jacket</t>
        </is>
      </c>
      <c r="K5080" s="12" t="inlineStr">
        <is>
          <t>LV|3/C+G|350</t>
        </is>
      </c>
      <c r="L5080" s="12" t="inlineStr">
        <is>
          <t>3/C+G</t>
        </is>
      </c>
      <c r="M5080" s="12" t="inlineStr">
        <is>
          <t>350 kcmil</t>
        </is>
      </c>
      <c r="N5080" s="12" t="n">
        <v>1</v>
      </c>
      <c r="O5080" s="12" t="n">
        <v>1</v>
      </c>
      <c r="P5080" s="12" t="n">
        <v>480</v>
      </c>
      <c r="Q5080" s="12" t="n">
        <v>30</v>
      </c>
      <c r="R5080" s="12" t="n">
        <v>42.5</v>
      </c>
      <c r="S5080" s="12" t="inlineStr">
        <is>
          <t>HV duct bank</t>
        </is>
      </c>
      <c r="T5080" s="17" t="n">
        <v>4384</v>
      </c>
      <c r="U5080" s="17" t="n">
        <v>38</v>
      </c>
      <c r="V5080" s="17">
        <f>ROUNDUP((T5080+U5080+2*'Read Me'!$B$13)*(1+'Read Me'!$B$12),-1)</f>
        <v/>
      </c>
      <c r="W5080" s="17">
        <f>V5080*N5080*O5080</f>
        <v/>
      </c>
      <c r="X5080" s="12">
        <f>IF(LEFT(I5080,2)="MV",2*N5080*IF(L5080="1/C",O5080,1),0)</f>
        <v/>
      </c>
      <c r="Y5080" s="12">
        <f>IF(OR(LEFT(K5080,4)="LVAX",LEFT(K5080,6)="MV15AX",LEFT(K5080,4)="CTAX",LEFT(K5080,2)="W|"),2*N5080*O5080,0)</f>
        <v/>
      </c>
      <c r="Z5080" s="12" t="inlineStr">
        <is>
          <t>VD 2.7 %</t>
        </is>
      </c>
      <c r="AA5080" s="12">
        <f>N5080*O5080</f>
        <v/>
      </c>
    </row>
    <row r="5081">
      <c r="A5081" s="12" t="inlineStr">
        <is>
          <t>I-P-0201</t>
        </is>
      </c>
      <c r="B5081" s="12" t="inlineStr">
        <is>
          <t>I</t>
        </is>
      </c>
      <c r="C5081" s="12" t="inlineStr">
        <is>
          <t>Modular / portable power</t>
        </is>
      </c>
      <c r="D5081" s="12" t="inlineStr">
        <is>
          <t>Motor 8 of 10, 30 kW</t>
        </is>
      </c>
      <c r="E5081" s="12" t="inlineStr"/>
      <c r="F5081" s="12" t="inlineStr">
        <is>
          <t>MOD-LV 480 V board + 480 V : 13.8 kV step-up</t>
        </is>
      </c>
      <c r="G5081" s="12" t="inlineStr">
        <is>
          <t>SC-2</t>
        </is>
      </c>
      <c r="H5081" s="12" t="inlineStr">
        <is>
          <t>SC-2: aeroderivative simple-cycle unit (LM6000 class)</t>
        </is>
      </c>
      <c r="I5081" s="12" t="inlineStr">
        <is>
          <t>LV 600 V</t>
        </is>
      </c>
      <c r="J5081" s="12" t="inlineStr">
        <is>
          <t>Type TC-ER 600 V 3/C Cu XHHW-2 + ground, PVC jacket</t>
        </is>
      </c>
      <c r="K5081" s="12" t="inlineStr">
        <is>
          <t>LV|3/C+G|350</t>
        </is>
      </c>
      <c r="L5081" s="12" t="inlineStr">
        <is>
          <t>3/C+G</t>
        </is>
      </c>
      <c r="M5081" s="12" t="inlineStr">
        <is>
          <t>350 kcmil</t>
        </is>
      </c>
      <c r="N5081" s="12" t="n">
        <v>1</v>
      </c>
      <c r="O5081" s="12" t="n">
        <v>1</v>
      </c>
      <c r="P5081" s="12" t="n">
        <v>480</v>
      </c>
      <c r="Q5081" s="12" t="n">
        <v>30</v>
      </c>
      <c r="R5081" s="12" t="n">
        <v>42.5</v>
      </c>
      <c r="S5081" s="12" t="inlineStr">
        <is>
          <t>HV duct bank</t>
        </is>
      </c>
      <c r="T5081" s="17" t="n">
        <v>4384</v>
      </c>
      <c r="U5081" s="17" t="n">
        <v>38</v>
      </c>
      <c r="V5081" s="17">
        <f>ROUNDUP((T5081+U5081+2*'Read Me'!$B$13)*(1+'Read Me'!$B$12),-1)</f>
        <v/>
      </c>
      <c r="W5081" s="17">
        <f>V5081*N5081*O5081</f>
        <v/>
      </c>
      <c r="X5081" s="12">
        <f>IF(LEFT(I5081,2)="MV",2*N5081*IF(L5081="1/C",O5081,1),0)</f>
        <v/>
      </c>
      <c r="Y5081" s="12">
        <f>IF(OR(LEFT(K5081,4)="LVAX",LEFT(K5081,6)="MV15AX",LEFT(K5081,4)="CTAX",LEFT(K5081,2)="W|"),2*N5081*O5081,0)</f>
        <v/>
      </c>
      <c r="Z5081" s="12" t="inlineStr">
        <is>
          <t>VD 2.7 %</t>
        </is>
      </c>
      <c r="AA5081" s="12">
        <f>N5081*O5081</f>
        <v/>
      </c>
    </row>
    <row r="5082">
      <c r="A5082" s="12" t="inlineStr">
        <is>
          <t>I-P-0202</t>
        </is>
      </c>
      <c r="B5082" s="12" t="inlineStr">
        <is>
          <t>I</t>
        </is>
      </c>
      <c r="C5082" s="12" t="inlineStr">
        <is>
          <t>Modular / portable power</t>
        </is>
      </c>
      <c r="D5082" s="12" t="inlineStr">
        <is>
          <t>Motor 9 of 10, 30 kW</t>
        </is>
      </c>
      <c r="E5082" s="12" t="inlineStr"/>
      <c r="F5082" s="12" t="inlineStr">
        <is>
          <t>MOD-LV 480 V board + 480 V : 13.8 kV step-up</t>
        </is>
      </c>
      <c r="G5082" s="12" t="inlineStr">
        <is>
          <t>SC-2</t>
        </is>
      </c>
      <c r="H5082" s="12" t="inlineStr">
        <is>
          <t>SC-2: aeroderivative simple-cycle unit (LM6000 class)</t>
        </is>
      </c>
      <c r="I5082" s="12" t="inlineStr">
        <is>
          <t>LV 600 V</t>
        </is>
      </c>
      <c r="J5082" s="12" t="inlineStr">
        <is>
          <t>Type TC-ER 600 V 3/C Cu XHHW-2 + ground, PVC jacket</t>
        </is>
      </c>
      <c r="K5082" s="12" t="inlineStr">
        <is>
          <t>LV|3/C+G|350</t>
        </is>
      </c>
      <c r="L5082" s="12" t="inlineStr">
        <is>
          <t>3/C+G</t>
        </is>
      </c>
      <c r="M5082" s="12" t="inlineStr">
        <is>
          <t>350 kcmil</t>
        </is>
      </c>
      <c r="N5082" s="12" t="n">
        <v>1</v>
      </c>
      <c r="O5082" s="12" t="n">
        <v>1</v>
      </c>
      <c r="P5082" s="12" t="n">
        <v>480</v>
      </c>
      <c r="Q5082" s="12" t="n">
        <v>30</v>
      </c>
      <c r="R5082" s="12" t="n">
        <v>42.5</v>
      </c>
      <c r="S5082" s="12" t="inlineStr">
        <is>
          <t>HV duct bank</t>
        </is>
      </c>
      <c r="T5082" s="17" t="n">
        <v>4384</v>
      </c>
      <c r="U5082" s="17" t="n">
        <v>38</v>
      </c>
      <c r="V5082" s="17">
        <f>ROUNDUP((T5082+U5082+2*'Read Me'!$B$13)*(1+'Read Me'!$B$12),-1)</f>
        <v/>
      </c>
      <c r="W5082" s="17">
        <f>V5082*N5082*O5082</f>
        <v/>
      </c>
      <c r="X5082" s="12">
        <f>IF(LEFT(I5082,2)="MV",2*N5082*IF(L5082="1/C",O5082,1),0)</f>
        <v/>
      </c>
      <c r="Y5082" s="12">
        <f>IF(OR(LEFT(K5082,4)="LVAX",LEFT(K5082,6)="MV15AX",LEFT(K5082,4)="CTAX",LEFT(K5082,2)="W|"),2*N5082*O5082,0)</f>
        <v/>
      </c>
      <c r="Z5082" s="12" t="inlineStr">
        <is>
          <t>VD 2.7 %</t>
        </is>
      </c>
      <c r="AA5082" s="12">
        <f>N5082*O5082</f>
        <v/>
      </c>
    </row>
    <row r="5083">
      <c r="A5083" s="12" t="inlineStr">
        <is>
          <t>I-P-0203</t>
        </is>
      </c>
      <c r="B5083" s="12" t="inlineStr">
        <is>
          <t>I</t>
        </is>
      </c>
      <c r="C5083" s="12" t="inlineStr">
        <is>
          <t>Modular / portable power</t>
        </is>
      </c>
      <c r="D5083" s="12" t="inlineStr">
        <is>
          <t>Motor 10 of 10, 30 kW</t>
        </is>
      </c>
      <c r="E5083" s="12" t="inlineStr"/>
      <c r="F5083" s="12" t="inlineStr">
        <is>
          <t>MOD-LV 480 V board + 480 V : 13.8 kV step-up</t>
        </is>
      </c>
      <c r="G5083" s="12" t="inlineStr">
        <is>
          <t>SC-2</t>
        </is>
      </c>
      <c r="H5083" s="12" t="inlineStr">
        <is>
          <t>SC-2: aeroderivative simple-cycle unit (LM6000 class)</t>
        </is>
      </c>
      <c r="I5083" s="12" t="inlineStr">
        <is>
          <t>LV 600 V</t>
        </is>
      </c>
      <c r="J5083" s="12" t="inlineStr">
        <is>
          <t>Type TC-ER 600 V 3/C Cu XHHW-2 + ground, PVC jacket</t>
        </is>
      </c>
      <c r="K5083" s="12" t="inlineStr">
        <is>
          <t>LV|3/C+G|350</t>
        </is>
      </c>
      <c r="L5083" s="12" t="inlineStr">
        <is>
          <t>3/C+G</t>
        </is>
      </c>
      <c r="M5083" s="12" t="inlineStr">
        <is>
          <t>350 kcmil</t>
        </is>
      </c>
      <c r="N5083" s="12" t="n">
        <v>1</v>
      </c>
      <c r="O5083" s="12" t="n">
        <v>1</v>
      </c>
      <c r="P5083" s="12" t="n">
        <v>480</v>
      </c>
      <c r="Q5083" s="12" t="n">
        <v>30</v>
      </c>
      <c r="R5083" s="12" t="n">
        <v>42.5</v>
      </c>
      <c r="S5083" s="12" t="inlineStr">
        <is>
          <t>HV duct bank</t>
        </is>
      </c>
      <c r="T5083" s="17" t="n">
        <v>4384</v>
      </c>
      <c r="U5083" s="17" t="n">
        <v>38</v>
      </c>
      <c r="V5083" s="17">
        <f>ROUNDUP((T5083+U5083+2*'Read Me'!$B$13)*(1+'Read Me'!$B$12),-1)</f>
        <v/>
      </c>
      <c r="W5083" s="17">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I-P-0204</t>
        </is>
      </c>
      <c r="B5084" s="12" t="inlineStr">
        <is>
          <t>I</t>
        </is>
      </c>
      <c r="C5084" s="12" t="inlineStr">
        <is>
          <t>Modular / portable power</t>
        </is>
      </c>
      <c r="D5084" s="12" t="inlineStr">
        <is>
          <t>Motor 1 of 6, 2 kW</t>
        </is>
      </c>
      <c r="E5084" s="12" t="inlineStr"/>
      <c r="F5084" s="12" t="inlineStr">
        <is>
          <t>MOD-LV 480 V board + 480 V : 13.8 kV step-up</t>
        </is>
      </c>
      <c r="G5084" s="12" t="inlineStr"/>
      <c r="H5084" s="12" t="inlineStr">
        <is>
          <t>T-MOD 230 kV take-off gantry with arresters</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2</v>
      </c>
      <c r="R5084" s="12" t="n">
        <v>2.8</v>
      </c>
      <c r="S5084" s="12" t="inlineStr">
        <is>
          <t>Duct bank</t>
        </is>
      </c>
      <c r="T5084" s="17" t="n">
        <v>370</v>
      </c>
      <c r="U5084" s="17" t="n">
        <v>128</v>
      </c>
      <c r="V5084" s="17">
        <f>ROUNDUP((T5084+U5084+2*'Read Me'!$B$13)*(1+'Read Me'!$B$12),-1)</f>
        <v/>
      </c>
      <c r="W5084" s="17">
        <f>V5084*N5084*O5084</f>
        <v/>
      </c>
      <c r="X5084" s="12">
        <f>IF(LEFT(I5084,2)="MV",2*N5084*IF(L5084="1/C",O5084,1),0)</f>
        <v/>
      </c>
      <c r="Y5084" s="12">
        <f>IF(OR(LEFT(K5084,4)="LVAX",LEFT(K5084,6)="MV15AX",LEFT(K5084,4)="CTAX",LEFT(K5084,2)="W|"),2*N5084*O5084,0)</f>
        <v/>
      </c>
      <c r="Z5084" s="12" t="inlineStr">
        <is>
          <t>VD 0.7 %</t>
        </is>
      </c>
      <c r="AA5084" s="12">
        <f>N5084*O5084</f>
        <v/>
      </c>
    </row>
    <row r="5085">
      <c r="A5085" s="12" t="inlineStr">
        <is>
          <t>I-P-0205</t>
        </is>
      </c>
      <c r="B5085" s="12" t="inlineStr">
        <is>
          <t>I</t>
        </is>
      </c>
      <c r="C5085" s="12" t="inlineStr">
        <is>
          <t>Modular / portable power</t>
        </is>
      </c>
      <c r="D5085" s="12" t="inlineStr">
        <is>
          <t>Motor 2 of 6, 2 kW</t>
        </is>
      </c>
      <c r="E5085" s="12" t="inlineStr"/>
      <c r="F5085" s="12" t="inlineStr">
        <is>
          <t>MOD-LV 480 V board + 480 V : 13.8 kV step-up</t>
        </is>
      </c>
      <c r="G5085" s="12" t="inlineStr"/>
      <c r="H5085" s="12" t="inlineStr">
        <is>
          <t>T-MOD 230 kV take-off gantry with arresters</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2</v>
      </c>
      <c r="R5085" s="12" t="n">
        <v>2.8</v>
      </c>
      <c r="S5085" s="12" t="inlineStr">
        <is>
          <t>Duct bank</t>
        </is>
      </c>
      <c r="T5085" s="17" t="n">
        <v>370</v>
      </c>
      <c r="U5085" s="17" t="n">
        <v>128</v>
      </c>
      <c r="V5085" s="17">
        <f>ROUNDUP((T5085+U5085+2*'Read Me'!$B$13)*(1+'Read Me'!$B$12),-1)</f>
        <v/>
      </c>
      <c r="W5085" s="17">
        <f>V5085*N5085*O5085</f>
        <v/>
      </c>
      <c r="X5085" s="12">
        <f>IF(LEFT(I5085,2)="MV",2*N5085*IF(L5085="1/C",O5085,1),0)</f>
        <v/>
      </c>
      <c r="Y5085" s="12">
        <f>IF(OR(LEFT(K5085,4)="LVAX",LEFT(K5085,6)="MV15AX",LEFT(K5085,4)="CTAX",LEFT(K5085,2)="W|"),2*N5085*O5085,0)</f>
        <v/>
      </c>
      <c r="Z5085" s="12" t="inlineStr">
        <is>
          <t>VD 0.7 %</t>
        </is>
      </c>
      <c r="AA5085" s="12">
        <f>N5085*O5085</f>
        <v/>
      </c>
    </row>
    <row r="5086">
      <c r="A5086" s="12" t="inlineStr">
        <is>
          <t>I-P-0206</t>
        </is>
      </c>
      <c r="B5086" s="12" t="inlineStr">
        <is>
          <t>I</t>
        </is>
      </c>
      <c r="C5086" s="12" t="inlineStr">
        <is>
          <t>Modular / portable power</t>
        </is>
      </c>
      <c r="D5086" s="12" t="inlineStr">
        <is>
          <t>Motor 3 of 6, 2 kW</t>
        </is>
      </c>
      <c r="E5086" s="12" t="inlineStr"/>
      <c r="F5086" s="12" t="inlineStr">
        <is>
          <t>MOD-LV 480 V board + 480 V : 13.8 kV step-up</t>
        </is>
      </c>
      <c r="G5086" s="12" t="inlineStr"/>
      <c r="H5086" s="12" t="inlineStr">
        <is>
          <t>T-MOD 230 kV take-off gantry with arresters</t>
        </is>
      </c>
      <c r="I5086" s="12" t="inlineStr">
        <is>
          <t>LV 600 V</t>
        </is>
      </c>
      <c r="J5086" s="12" t="inlineStr">
        <is>
          <t>Type TC-ER 600 V 3/C Cu XHHW-2 + ground, PVC jacket</t>
        </is>
      </c>
      <c r="K5086" s="12" t="inlineStr">
        <is>
          <t>LV|3/C+G|10</t>
        </is>
      </c>
      <c r="L5086" s="12" t="inlineStr">
        <is>
          <t>3/C+G</t>
        </is>
      </c>
      <c r="M5086" s="12" t="inlineStr">
        <is>
          <t>10</t>
        </is>
      </c>
      <c r="N5086" s="12" t="n">
        <v>1</v>
      </c>
      <c r="O5086" s="12" t="n">
        <v>1</v>
      </c>
      <c r="P5086" s="12" t="n">
        <v>480</v>
      </c>
      <c r="Q5086" s="12" t="n">
        <v>2</v>
      </c>
      <c r="R5086" s="12" t="n">
        <v>2.8</v>
      </c>
      <c r="S5086" s="12" t="inlineStr">
        <is>
          <t>Duct bank</t>
        </is>
      </c>
      <c r="T5086" s="17" t="n">
        <v>370</v>
      </c>
      <c r="U5086" s="17" t="n">
        <v>128</v>
      </c>
      <c r="V5086" s="17">
        <f>ROUNDUP((T5086+U5086+2*'Read Me'!$B$13)*(1+'Read Me'!$B$12),-1)</f>
        <v/>
      </c>
      <c r="W5086" s="17">
        <f>V5086*N5086*O5086</f>
        <v/>
      </c>
      <c r="X5086" s="12">
        <f>IF(LEFT(I5086,2)="MV",2*N5086*IF(L5086="1/C",O5086,1),0)</f>
        <v/>
      </c>
      <c r="Y5086" s="12">
        <f>IF(OR(LEFT(K5086,4)="LVAX",LEFT(K5086,6)="MV15AX",LEFT(K5086,4)="CTAX",LEFT(K5086,2)="W|"),2*N5086*O5086,0)</f>
        <v/>
      </c>
      <c r="Z5086" s="12" t="inlineStr">
        <is>
          <t>VD 0.7 %</t>
        </is>
      </c>
      <c r="AA5086" s="12">
        <f>N5086*O5086</f>
        <v/>
      </c>
    </row>
    <row r="5087">
      <c r="A5087" s="12" t="inlineStr">
        <is>
          <t>I-P-0207</t>
        </is>
      </c>
      <c r="B5087" s="12" t="inlineStr">
        <is>
          <t>I</t>
        </is>
      </c>
      <c r="C5087" s="12" t="inlineStr">
        <is>
          <t>Modular / portable power</t>
        </is>
      </c>
      <c r="D5087" s="12" t="inlineStr">
        <is>
          <t>Motor 4 of 6, 2 kW</t>
        </is>
      </c>
      <c r="E5087" s="12" t="inlineStr"/>
      <c r="F5087" s="12" t="inlineStr">
        <is>
          <t>MOD-LV 480 V board + 480 V : 13.8 kV step-up</t>
        </is>
      </c>
      <c r="G5087" s="12" t="inlineStr"/>
      <c r="H5087" s="12" t="inlineStr">
        <is>
          <t>T-MOD 230 kV take-off gantry with arresters</t>
        </is>
      </c>
      <c r="I5087" s="12" t="inlineStr">
        <is>
          <t>LV 600 V</t>
        </is>
      </c>
      <c r="J5087" s="12" t="inlineStr">
        <is>
          <t>Type TC-ER 600 V 3/C Cu XHHW-2 + ground, PVC jacket</t>
        </is>
      </c>
      <c r="K5087" s="12" t="inlineStr">
        <is>
          <t>LV|3/C+G|10</t>
        </is>
      </c>
      <c r="L5087" s="12" t="inlineStr">
        <is>
          <t>3/C+G</t>
        </is>
      </c>
      <c r="M5087" s="12" t="inlineStr">
        <is>
          <t>10</t>
        </is>
      </c>
      <c r="N5087" s="12" t="n">
        <v>1</v>
      </c>
      <c r="O5087" s="12" t="n">
        <v>1</v>
      </c>
      <c r="P5087" s="12" t="n">
        <v>480</v>
      </c>
      <c r="Q5087" s="12" t="n">
        <v>2</v>
      </c>
      <c r="R5087" s="12" t="n">
        <v>2.8</v>
      </c>
      <c r="S5087" s="12" t="inlineStr">
        <is>
          <t>Duct bank</t>
        </is>
      </c>
      <c r="T5087" s="17" t="n">
        <v>370</v>
      </c>
      <c r="U5087" s="17" t="n">
        <v>128</v>
      </c>
      <c r="V5087" s="17">
        <f>ROUNDUP((T5087+U5087+2*'Read Me'!$B$13)*(1+'Read Me'!$B$12),-1)</f>
        <v/>
      </c>
      <c r="W5087" s="17">
        <f>V5087*N5087*O5087</f>
        <v/>
      </c>
      <c r="X5087" s="12">
        <f>IF(LEFT(I5087,2)="MV",2*N5087*IF(L5087="1/C",O5087,1),0)</f>
        <v/>
      </c>
      <c r="Y5087" s="12">
        <f>IF(OR(LEFT(K5087,4)="LVAX",LEFT(K5087,6)="MV15AX",LEFT(K5087,4)="CTAX",LEFT(K5087,2)="W|"),2*N5087*O5087,0)</f>
        <v/>
      </c>
      <c r="Z5087" s="12" t="inlineStr">
        <is>
          <t>VD 0.7 %</t>
        </is>
      </c>
      <c r="AA5087" s="12">
        <f>N5087*O5087</f>
        <v/>
      </c>
    </row>
    <row r="5088">
      <c r="A5088" s="12" t="inlineStr">
        <is>
          <t>I-P-0208</t>
        </is>
      </c>
      <c r="B5088" s="12" t="inlineStr">
        <is>
          <t>I</t>
        </is>
      </c>
      <c r="C5088" s="12" t="inlineStr">
        <is>
          <t>Modular / portable power</t>
        </is>
      </c>
      <c r="D5088" s="12" t="inlineStr">
        <is>
          <t>Motor 5 of 6, 2 kW</t>
        </is>
      </c>
      <c r="E5088" s="12" t="inlineStr"/>
      <c r="F5088" s="12" t="inlineStr">
        <is>
          <t>MOD-LV 480 V board + 480 V : 13.8 kV step-up</t>
        </is>
      </c>
      <c r="G5088" s="12" t="inlineStr"/>
      <c r="H5088" s="12" t="inlineStr">
        <is>
          <t>T-MOD 230 kV take-off gantry with arresters</t>
        </is>
      </c>
      <c r="I5088" s="12" t="inlineStr">
        <is>
          <t>LV 600 V</t>
        </is>
      </c>
      <c r="J5088" s="12" t="inlineStr">
        <is>
          <t>Type TC-ER 600 V 3/C Cu XHHW-2 + ground, PVC jacket</t>
        </is>
      </c>
      <c r="K5088" s="12" t="inlineStr">
        <is>
          <t>LV|3/C+G|10</t>
        </is>
      </c>
      <c r="L5088" s="12" t="inlineStr">
        <is>
          <t>3/C+G</t>
        </is>
      </c>
      <c r="M5088" s="12" t="inlineStr">
        <is>
          <t>10</t>
        </is>
      </c>
      <c r="N5088" s="12" t="n">
        <v>1</v>
      </c>
      <c r="O5088" s="12" t="n">
        <v>1</v>
      </c>
      <c r="P5088" s="12" t="n">
        <v>480</v>
      </c>
      <c r="Q5088" s="12" t="n">
        <v>2</v>
      </c>
      <c r="R5088" s="12" t="n">
        <v>2.8</v>
      </c>
      <c r="S5088" s="12" t="inlineStr">
        <is>
          <t>Duct bank</t>
        </is>
      </c>
      <c r="T5088" s="17" t="n">
        <v>370</v>
      </c>
      <c r="U5088" s="17" t="n">
        <v>128</v>
      </c>
      <c r="V5088" s="17">
        <f>ROUNDUP((T5088+U5088+2*'Read Me'!$B$13)*(1+'Read Me'!$B$12),-1)</f>
        <v/>
      </c>
      <c r="W5088" s="17">
        <f>V5088*N5088*O5088</f>
        <v/>
      </c>
      <c r="X5088" s="12">
        <f>IF(LEFT(I5088,2)="MV",2*N5088*IF(L5088="1/C",O5088,1),0)</f>
        <v/>
      </c>
      <c r="Y5088" s="12">
        <f>IF(OR(LEFT(K5088,4)="LVAX",LEFT(K5088,6)="MV15AX",LEFT(K5088,4)="CTAX",LEFT(K5088,2)="W|"),2*N5088*O5088,0)</f>
        <v/>
      </c>
      <c r="Z5088" s="12" t="inlineStr">
        <is>
          <t>VD 0.7 %</t>
        </is>
      </c>
      <c r="AA5088" s="12">
        <f>N5088*O5088</f>
        <v/>
      </c>
    </row>
    <row r="5089">
      <c r="A5089" s="12" t="inlineStr">
        <is>
          <t>I-P-0209</t>
        </is>
      </c>
      <c r="B5089" s="12" t="inlineStr">
        <is>
          <t>I</t>
        </is>
      </c>
      <c r="C5089" s="12" t="inlineStr">
        <is>
          <t>Modular / portable power</t>
        </is>
      </c>
      <c r="D5089" s="12" t="inlineStr">
        <is>
          <t>Motor 6 of 6, 2 kW</t>
        </is>
      </c>
      <c r="E5089" s="12" t="inlineStr"/>
      <c r="F5089" s="12" t="inlineStr">
        <is>
          <t>MOD-LV 480 V board + 480 V : 13.8 kV step-up</t>
        </is>
      </c>
      <c r="G5089" s="12" t="inlineStr"/>
      <c r="H5089" s="12" t="inlineStr">
        <is>
          <t>T-MOD 230 kV take-off gantry with arresters</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2</v>
      </c>
      <c r="R5089" s="12" t="n">
        <v>2.8</v>
      </c>
      <c r="S5089" s="12" t="inlineStr">
        <is>
          <t>Duct bank</t>
        </is>
      </c>
      <c r="T5089" s="17" t="n">
        <v>370</v>
      </c>
      <c r="U5089" s="17" t="n">
        <v>128</v>
      </c>
      <c r="V5089" s="17">
        <f>ROUNDUP((T5089+U5089+2*'Read Me'!$B$13)*(1+'Read Me'!$B$12),-1)</f>
        <v/>
      </c>
      <c r="W5089" s="17">
        <f>V5089*N5089*O5089</f>
        <v/>
      </c>
      <c r="X5089" s="12">
        <f>IF(LEFT(I5089,2)="MV",2*N5089*IF(L5089="1/C",O5089,1),0)</f>
        <v/>
      </c>
      <c r="Y5089" s="12">
        <f>IF(OR(LEFT(K5089,4)="LVAX",LEFT(K5089,6)="MV15AX",LEFT(K5089,4)="CTAX",LEFT(K5089,2)="W|"),2*N5089*O5089,0)</f>
        <v/>
      </c>
      <c r="Z5089" s="12" t="inlineStr">
        <is>
          <t>VD 0.7 %</t>
        </is>
      </c>
      <c r="AA5089" s="12">
        <f>N5089*O5089</f>
        <v/>
      </c>
    </row>
    <row r="5090">
      <c r="A5090" s="12" t="inlineStr">
        <is>
          <t>I-P-0210</t>
        </is>
      </c>
      <c r="B5090" s="12" t="inlineStr">
        <is>
          <t>I</t>
        </is>
      </c>
      <c r="C5090" s="12" t="inlineStr">
        <is>
          <t>Modular / portable power</t>
        </is>
      </c>
      <c r="D5090" s="12" t="inlineStr">
        <is>
          <t>Motor 1 of 6, 2 kW</t>
        </is>
      </c>
      <c r="E5090" s="12" t="inlineStr"/>
      <c r="F5090" s="12" t="inlineStr">
        <is>
          <t>MOD-LV 480 V board + 480 V : 13.8 kV step-up</t>
        </is>
      </c>
      <c r="G5090" s="12" t="inlineStr"/>
      <c r="H5090" s="12" t="inlineStr">
        <is>
          <t>T-MOD-1 / T-MOD-2 firewall</t>
        </is>
      </c>
      <c r="I5090" s="12" t="inlineStr">
        <is>
          <t>LV 600 V</t>
        </is>
      </c>
      <c r="J5090" s="12" t="inlineStr">
        <is>
          <t>Type TC-ER 600 V 3/C Cu XHHW-2 + ground, PVC jacket</t>
        </is>
      </c>
      <c r="K5090" s="12" t="inlineStr">
        <is>
          <t>LV|3/C+G|10</t>
        </is>
      </c>
      <c r="L5090" s="12" t="inlineStr">
        <is>
          <t>3/C+G</t>
        </is>
      </c>
      <c r="M5090" s="12" t="inlineStr">
        <is>
          <t>10</t>
        </is>
      </c>
      <c r="N5090" s="12" t="n">
        <v>1</v>
      </c>
      <c r="O5090" s="12" t="n">
        <v>1</v>
      </c>
      <c r="P5090" s="12" t="n">
        <v>480</v>
      </c>
      <c r="Q5090" s="12" t="n">
        <v>2</v>
      </c>
      <c r="R5090" s="12" t="n">
        <v>2.8</v>
      </c>
      <c r="S5090" s="12" t="inlineStr">
        <is>
          <t>Duct bank</t>
        </is>
      </c>
      <c r="T5090" s="17" t="n">
        <v>362</v>
      </c>
      <c r="U5090" s="17" t="n">
        <v>130</v>
      </c>
      <c r="V5090" s="17">
        <f>ROUNDUP((T5090+U5090+2*'Read Me'!$B$13)*(1+'Read Me'!$B$12),-1)</f>
        <v/>
      </c>
      <c r="W5090" s="17">
        <f>V5090*N5090*O5090</f>
        <v/>
      </c>
      <c r="X5090" s="12">
        <f>IF(LEFT(I5090,2)="MV",2*N5090*IF(L5090="1/C",O5090,1),0)</f>
        <v/>
      </c>
      <c r="Y5090" s="12">
        <f>IF(OR(LEFT(K5090,4)="LVAX",LEFT(K5090,6)="MV15AX",LEFT(K5090,4)="CTAX",LEFT(K5090,2)="W|"),2*N5090*O5090,0)</f>
        <v/>
      </c>
      <c r="Z5090" s="12" t="inlineStr">
        <is>
          <t>VD 0.7 %</t>
        </is>
      </c>
      <c r="AA5090" s="12">
        <f>N5090*O5090</f>
        <v/>
      </c>
    </row>
    <row r="5091">
      <c r="A5091" s="12" t="inlineStr">
        <is>
          <t>I-P-0211</t>
        </is>
      </c>
      <c r="B5091" s="12" t="inlineStr">
        <is>
          <t>I</t>
        </is>
      </c>
      <c r="C5091" s="12" t="inlineStr">
        <is>
          <t>Modular / portable power</t>
        </is>
      </c>
      <c r="D5091" s="12" t="inlineStr">
        <is>
          <t>Motor 2 of 6, 2 kW</t>
        </is>
      </c>
      <c r="E5091" s="12" t="inlineStr"/>
      <c r="F5091" s="12" t="inlineStr">
        <is>
          <t>MOD-LV 480 V board + 480 V : 13.8 kV step-up</t>
        </is>
      </c>
      <c r="G5091" s="12" t="inlineStr"/>
      <c r="H5091" s="12" t="inlineStr">
        <is>
          <t>T-MOD-1 / T-MOD-2 firewall</t>
        </is>
      </c>
      <c r="I5091" s="12" t="inlineStr">
        <is>
          <t>LV 600 V</t>
        </is>
      </c>
      <c r="J5091" s="12" t="inlineStr">
        <is>
          <t>Type TC-ER 600 V 3/C Cu XHHW-2 + ground, PVC jacket</t>
        </is>
      </c>
      <c r="K5091" s="12" t="inlineStr">
        <is>
          <t>LV|3/C+G|10</t>
        </is>
      </c>
      <c r="L5091" s="12" t="inlineStr">
        <is>
          <t>3/C+G</t>
        </is>
      </c>
      <c r="M5091" s="12" t="inlineStr">
        <is>
          <t>10</t>
        </is>
      </c>
      <c r="N5091" s="12" t="n">
        <v>1</v>
      </c>
      <c r="O5091" s="12" t="n">
        <v>1</v>
      </c>
      <c r="P5091" s="12" t="n">
        <v>480</v>
      </c>
      <c r="Q5091" s="12" t="n">
        <v>2</v>
      </c>
      <c r="R5091" s="12" t="n">
        <v>2.8</v>
      </c>
      <c r="S5091" s="12" t="inlineStr">
        <is>
          <t>Duct bank</t>
        </is>
      </c>
      <c r="T5091" s="17" t="n">
        <v>362</v>
      </c>
      <c r="U5091" s="17" t="n">
        <v>130</v>
      </c>
      <c r="V5091" s="17">
        <f>ROUNDUP((T5091+U5091+2*'Read Me'!$B$13)*(1+'Read Me'!$B$12),-1)</f>
        <v/>
      </c>
      <c r="W5091" s="17">
        <f>V5091*N5091*O5091</f>
        <v/>
      </c>
      <c r="X5091" s="12">
        <f>IF(LEFT(I5091,2)="MV",2*N5091*IF(L5091="1/C",O5091,1),0)</f>
        <v/>
      </c>
      <c r="Y5091" s="12">
        <f>IF(OR(LEFT(K5091,4)="LVAX",LEFT(K5091,6)="MV15AX",LEFT(K5091,4)="CTAX",LEFT(K5091,2)="W|"),2*N5091*O5091,0)</f>
        <v/>
      </c>
      <c r="Z5091" s="12" t="inlineStr">
        <is>
          <t>VD 0.7 %</t>
        </is>
      </c>
      <c r="AA5091" s="12">
        <f>N5091*O5091</f>
        <v/>
      </c>
    </row>
    <row r="5092">
      <c r="A5092" s="12" t="inlineStr">
        <is>
          <t>I-P-0212</t>
        </is>
      </c>
      <c r="B5092" s="12" t="inlineStr">
        <is>
          <t>I</t>
        </is>
      </c>
      <c r="C5092" s="12" t="inlineStr">
        <is>
          <t>Modular / portable power</t>
        </is>
      </c>
      <c r="D5092" s="12" t="inlineStr">
        <is>
          <t>Motor 3 of 6, 2 kW</t>
        </is>
      </c>
      <c r="E5092" s="12" t="inlineStr"/>
      <c r="F5092" s="12" t="inlineStr">
        <is>
          <t>MOD-LV 480 V board + 480 V : 13.8 kV step-up</t>
        </is>
      </c>
      <c r="G5092" s="12" t="inlineStr"/>
      <c r="H5092" s="12" t="inlineStr">
        <is>
          <t>T-MOD-1 / T-MOD-2 firewall</t>
        </is>
      </c>
      <c r="I5092" s="12" t="inlineStr">
        <is>
          <t>LV 600 V</t>
        </is>
      </c>
      <c r="J5092" s="12" t="inlineStr">
        <is>
          <t>Type TC-ER 600 V 3/C Cu XHHW-2 + ground, PVC jacket</t>
        </is>
      </c>
      <c r="K5092" s="12" t="inlineStr">
        <is>
          <t>LV|3/C+G|10</t>
        </is>
      </c>
      <c r="L5092" s="12" t="inlineStr">
        <is>
          <t>3/C+G</t>
        </is>
      </c>
      <c r="M5092" s="12" t="inlineStr">
        <is>
          <t>10</t>
        </is>
      </c>
      <c r="N5092" s="12" t="n">
        <v>1</v>
      </c>
      <c r="O5092" s="12" t="n">
        <v>1</v>
      </c>
      <c r="P5092" s="12" t="n">
        <v>480</v>
      </c>
      <c r="Q5092" s="12" t="n">
        <v>2</v>
      </c>
      <c r="R5092" s="12" t="n">
        <v>2.8</v>
      </c>
      <c r="S5092" s="12" t="inlineStr">
        <is>
          <t>Duct bank</t>
        </is>
      </c>
      <c r="T5092" s="17" t="n">
        <v>362</v>
      </c>
      <c r="U5092" s="17" t="n">
        <v>130</v>
      </c>
      <c r="V5092" s="17">
        <f>ROUNDUP((T5092+U5092+2*'Read Me'!$B$13)*(1+'Read Me'!$B$12),-1)</f>
        <v/>
      </c>
      <c r="W5092" s="17">
        <f>V5092*N5092*O5092</f>
        <v/>
      </c>
      <c r="X5092" s="12">
        <f>IF(LEFT(I5092,2)="MV",2*N5092*IF(L5092="1/C",O5092,1),0)</f>
        <v/>
      </c>
      <c r="Y5092" s="12">
        <f>IF(OR(LEFT(K5092,4)="LVAX",LEFT(K5092,6)="MV15AX",LEFT(K5092,4)="CTAX",LEFT(K5092,2)="W|"),2*N5092*O5092,0)</f>
        <v/>
      </c>
      <c r="Z5092" s="12" t="inlineStr">
        <is>
          <t>VD 0.7 %</t>
        </is>
      </c>
      <c r="AA5092" s="12">
        <f>N5092*O5092</f>
        <v/>
      </c>
    </row>
    <row r="5093">
      <c r="A5093" s="12" t="inlineStr">
        <is>
          <t>I-P-0213</t>
        </is>
      </c>
      <c r="B5093" s="12" t="inlineStr">
        <is>
          <t>I</t>
        </is>
      </c>
      <c r="C5093" s="12" t="inlineStr">
        <is>
          <t>Modular / portable power</t>
        </is>
      </c>
      <c r="D5093" s="12" t="inlineStr">
        <is>
          <t>Motor 4 of 6, 2 kW</t>
        </is>
      </c>
      <c r="E5093" s="12" t="inlineStr"/>
      <c r="F5093" s="12" t="inlineStr">
        <is>
          <t>MOD-LV 480 V board + 480 V : 13.8 kV step-up</t>
        </is>
      </c>
      <c r="G5093" s="12" t="inlineStr"/>
      <c r="H5093" s="12" t="inlineStr">
        <is>
          <t>T-MOD-1 / T-MOD-2 firewall</t>
        </is>
      </c>
      <c r="I5093" s="12" t="inlineStr">
        <is>
          <t>LV 600 V</t>
        </is>
      </c>
      <c r="J5093" s="12" t="inlineStr">
        <is>
          <t>Type TC-ER 600 V 3/C Cu XHHW-2 + ground, PVC jacket</t>
        </is>
      </c>
      <c r="K5093" s="12" t="inlineStr">
        <is>
          <t>LV|3/C+G|10</t>
        </is>
      </c>
      <c r="L5093" s="12" t="inlineStr">
        <is>
          <t>3/C+G</t>
        </is>
      </c>
      <c r="M5093" s="12" t="inlineStr">
        <is>
          <t>10</t>
        </is>
      </c>
      <c r="N5093" s="12" t="n">
        <v>1</v>
      </c>
      <c r="O5093" s="12" t="n">
        <v>1</v>
      </c>
      <c r="P5093" s="12" t="n">
        <v>480</v>
      </c>
      <c r="Q5093" s="12" t="n">
        <v>2</v>
      </c>
      <c r="R5093" s="12" t="n">
        <v>2.8</v>
      </c>
      <c r="S5093" s="12" t="inlineStr">
        <is>
          <t>Duct bank</t>
        </is>
      </c>
      <c r="T5093" s="17" t="n">
        <v>362</v>
      </c>
      <c r="U5093" s="17" t="n">
        <v>130</v>
      </c>
      <c r="V5093" s="17">
        <f>ROUNDUP((T5093+U5093+2*'Read Me'!$B$13)*(1+'Read Me'!$B$12),-1)</f>
        <v/>
      </c>
      <c r="W5093" s="17">
        <f>V5093*N5093*O5093</f>
        <v/>
      </c>
      <c r="X5093" s="12">
        <f>IF(LEFT(I5093,2)="MV",2*N5093*IF(L5093="1/C",O5093,1),0)</f>
        <v/>
      </c>
      <c r="Y5093" s="12">
        <f>IF(OR(LEFT(K5093,4)="LVAX",LEFT(K5093,6)="MV15AX",LEFT(K5093,4)="CTAX",LEFT(K5093,2)="W|"),2*N5093*O5093,0)</f>
        <v/>
      </c>
      <c r="Z5093" s="12" t="inlineStr">
        <is>
          <t>VD 0.7 %</t>
        </is>
      </c>
      <c r="AA5093" s="12">
        <f>N5093*O5093</f>
        <v/>
      </c>
    </row>
    <row r="5094">
      <c r="A5094" s="12" t="inlineStr">
        <is>
          <t>I-P-0214</t>
        </is>
      </c>
      <c r="B5094" s="12" t="inlineStr">
        <is>
          <t>I</t>
        </is>
      </c>
      <c r="C5094" s="12" t="inlineStr">
        <is>
          <t>Modular / portable power</t>
        </is>
      </c>
      <c r="D5094" s="12" t="inlineStr">
        <is>
          <t>Motor 5 of 6, 2 kW</t>
        </is>
      </c>
      <c r="E5094" s="12" t="inlineStr"/>
      <c r="F5094" s="12" t="inlineStr">
        <is>
          <t>MOD-LV 480 V board + 480 V : 13.8 kV step-up</t>
        </is>
      </c>
      <c r="G5094" s="12" t="inlineStr"/>
      <c r="H5094" s="12" t="inlineStr">
        <is>
          <t>T-MOD-1 / T-MOD-2 firewall</t>
        </is>
      </c>
      <c r="I5094" s="12" t="inlineStr">
        <is>
          <t>LV 600 V</t>
        </is>
      </c>
      <c r="J5094" s="12" t="inlineStr">
        <is>
          <t>Type TC-ER 600 V 3/C Cu XHHW-2 + ground, PVC jacket</t>
        </is>
      </c>
      <c r="K5094" s="12" t="inlineStr">
        <is>
          <t>LV|3/C+G|10</t>
        </is>
      </c>
      <c r="L5094" s="12" t="inlineStr">
        <is>
          <t>3/C+G</t>
        </is>
      </c>
      <c r="M5094" s="12" t="inlineStr">
        <is>
          <t>10</t>
        </is>
      </c>
      <c r="N5094" s="12" t="n">
        <v>1</v>
      </c>
      <c r="O5094" s="12" t="n">
        <v>1</v>
      </c>
      <c r="P5094" s="12" t="n">
        <v>480</v>
      </c>
      <c r="Q5094" s="12" t="n">
        <v>2</v>
      </c>
      <c r="R5094" s="12" t="n">
        <v>2.8</v>
      </c>
      <c r="S5094" s="12" t="inlineStr">
        <is>
          <t>Duct bank</t>
        </is>
      </c>
      <c r="T5094" s="17" t="n">
        <v>362</v>
      </c>
      <c r="U5094" s="17" t="n">
        <v>130</v>
      </c>
      <c r="V5094" s="17">
        <f>ROUNDUP((T5094+U5094+2*'Read Me'!$B$13)*(1+'Read Me'!$B$12),-1)</f>
        <v/>
      </c>
      <c r="W5094" s="17">
        <f>V5094*N5094*O5094</f>
        <v/>
      </c>
      <c r="X5094" s="12">
        <f>IF(LEFT(I5094,2)="MV",2*N5094*IF(L5094="1/C",O5094,1),0)</f>
        <v/>
      </c>
      <c r="Y5094" s="12">
        <f>IF(OR(LEFT(K5094,4)="LVAX",LEFT(K5094,6)="MV15AX",LEFT(K5094,4)="CTAX",LEFT(K5094,2)="W|"),2*N5094*O5094,0)</f>
        <v/>
      </c>
      <c r="Z5094" s="12" t="inlineStr">
        <is>
          <t>VD 0.7 %</t>
        </is>
      </c>
      <c r="AA5094" s="12">
        <f>N5094*O5094</f>
        <v/>
      </c>
    </row>
    <row r="5095">
      <c r="A5095" s="12" t="inlineStr">
        <is>
          <t>I-P-0215</t>
        </is>
      </c>
      <c r="B5095" s="12" t="inlineStr">
        <is>
          <t>I</t>
        </is>
      </c>
      <c r="C5095" s="12" t="inlineStr">
        <is>
          <t>Modular / portable power</t>
        </is>
      </c>
      <c r="D5095" s="12" t="inlineStr">
        <is>
          <t>Motor 6 of 6, 2 kW</t>
        </is>
      </c>
      <c r="E5095" s="12" t="inlineStr"/>
      <c r="F5095" s="12" t="inlineStr">
        <is>
          <t>MOD-LV 480 V board + 480 V : 13.8 kV step-up</t>
        </is>
      </c>
      <c r="G5095" s="12" t="inlineStr"/>
      <c r="H5095" s="12" t="inlineStr">
        <is>
          <t>T-MOD-1 / T-MOD-2 firewall</t>
        </is>
      </c>
      <c r="I5095" s="12" t="inlineStr">
        <is>
          <t>LV 600 V</t>
        </is>
      </c>
      <c r="J5095" s="12" t="inlineStr">
        <is>
          <t>Type TC-ER 600 V 3/C Cu XHHW-2 + ground, PVC jacket</t>
        </is>
      </c>
      <c r="K5095" s="12" t="inlineStr">
        <is>
          <t>LV|3/C+G|10</t>
        </is>
      </c>
      <c r="L5095" s="12" t="inlineStr">
        <is>
          <t>3/C+G</t>
        </is>
      </c>
      <c r="M5095" s="12" t="inlineStr">
        <is>
          <t>10</t>
        </is>
      </c>
      <c r="N5095" s="12" t="n">
        <v>1</v>
      </c>
      <c r="O5095" s="12" t="n">
        <v>1</v>
      </c>
      <c r="P5095" s="12" t="n">
        <v>480</v>
      </c>
      <c r="Q5095" s="12" t="n">
        <v>2</v>
      </c>
      <c r="R5095" s="12" t="n">
        <v>2.8</v>
      </c>
      <c r="S5095" s="12" t="inlineStr">
        <is>
          <t>Duct bank</t>
        </is>
      </c>
      <c r="T5095" s="17" t="n">
        <v>362</v>
      </c>
      <c r="U5095" s="17" t="n">
        <v>130</v>
      </c>
      <c r="V5095" s="17">
        <f>ROUNDUP((T5095+U5095+2*'Read Me'!$B$13)*(1+'Read Me'!$B$12),-1)</f>
        <v/>
      </c>
      <c r="W5095" s="17">
        <f>V5095*N5095*O5095</f>
        <v/>
      </c>
      <c r="X5095" s="12">
        <f>IF(LEFT(I5095,2)="MV",2*N5095*IF(L5095="1/C",O5095,1),0)</f>
        <v/>
      </c>
      <c r="Y5095" s="12">
        <f>IF(OR(LEFT(K5095,4)="LVAX",LEFT(K5095,6)="MV15AX",LEFT(K5095,4)="CTAX",LEFT(K5095,2)="W|"),2*N5095*O5095,0)</f>
        <v/>
      </c>
      <c r="Z5095" s="12" t="inlineStr">
        <is>
          <t>VD 0.7 %</t>
        </is>
      </c>
      <c r="AA5095" s="12">
        <f>N5095*O5095</f>
        <v/>
      </c>
    </row>
    <row r="5096">
      <c r="A5096" s="12" t="inlineStr">
        <is>
          <t>I-P-0216</t>
        </is>
      </c>
      <c r="B5096" s="12" t="inlineStr">
        <is>
          <t>I</t>
        </is>
      </c>
      <c r="C5096" s="12" t="inlineStr">
        <is>
          <t>Modular / portable power</t>
        </is>
      </c>
      <c r="D5096" s="12" t="inlineStr">
        <is>
          <t>Motor 1 of 6, 2 kW</t>
        </is>
      </c>
      <c r="E5096" s="12" t="inlineStr"/>
      <c r="F5096" s="12" t="inlineStr">
        <is>
          <t>MOD-LV 480 V board + 480 V : 13.8 kV step-up</t>
        </is>
      </c>
      <c r="G5096" s="12" t="inlineStr">
        <is>
          <t>T-MOD-1</t>
        </is>
      </c>
      <c r="H5096" s="12" t="inlineStr">
        <is>
          <t>T-MOD-1: 13.8/230 kV</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2</v>
      </c>
      <c r="R5096" s="12" t="n">
        <v>2.8</v>
      </c>
      <c r="S5096" s="12" t="inlineStr">
        <is>
          <t>Duct bank</t>
        </is>
      </c>
      <c r="T5096" s="17" t="n">
        <v>362</v>
      </c>
      <c r="U5096" s="17" t="n">
        <v>82</v>
      </c>
      <c r="V5096" s="17">
        <f>ROUNDUP((T5096+U5096+2*'Read Me'!$B$13)*(1+'Read Me'!$B$12),-1)</f>
        <v/>
      </c>
      <c r="W5096" s="17">
        <f>V5096*N5096*O5096</f>
        <v/>
      </c>
      <c r="X5096" s="12">
        <f>IF(LEFT(I5096,2)="MV",2*N5096*IF(L5096="1/C",O5096,1),0)</f>
        <v/>
      </c>
      <c r="Y5096" s="12">
        <f>IF(OR(LEFT(K5096,4)="LVAX",LEFT(K5096,6)="MV15AX",LEFT(K5096,4)="CTAX",LEFT(K5096,2)="W|"),2*N5096*O5096,0)</f>
        <v/>
      </c>
      <c r="Z5096" s="12" t="inlineStr">
        <is>
          <t>VD 0.6 %</t>
        </is>
      </c>
      <c r="AA5096" s="12">
        <f>N5096*O5096</f>
        <v/>
      </c>
    </row>
    <row r="5097">
      <c r="A5097" s="12" t="inlineStr">
        <is>
          <t>I-P-0217</t>
        </is>
      </c>
      <c r="B5097" s="12" t="inlineStr">
        <is>
          <t>I</t>
        </is>
      </c>
      <c r="C5097" s="12" t="inlineStr">
        <is>
          <t>Modular / portable power</t>
        </is>
      </c>
      <c r="D5097" s="12" t="inlineStr">
        <is>
          <t>Motor 2 of 6, 2 kW</t>
        </is>
      </c>
      <c r="E5097" s="12" t="inlineStr"/>
      <c r="F5097" s="12" t="inlineStr">
        <is>
          <t>MOD-LV 480 V board + 480 V : 13.8 kV step-up</t>
        </is>
      </c>
      <c r="G5097" s="12" t="inlineStr">
        <is>
          <t>T-MOD-1</t>
        </is>
      </c>
      <c r="H5097" s="12" t="inlineStr">
        <is>
          <t>T-MOD-1: 13.8/230 kV</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2</v>
      </c>
      <c r="R5097" s="12" t="n">
        <v>2.8</v>
      </c>
      <c r="S5097" s="12" t="inlineStr">
        <is>
          <t>Duct bank</t>
        </is>
      </c>
      <c r="T5097" s="17" t="n">
        <v>362</v>
      </c>
      <c r="U5097" s="17" t="n">
        <v>82</v>
      </c>
      <c r="V5097" s="17">
        <f>ROUNDUP((T5097+U5097+2*'Read Me'!$B$13)*(1+'Read Me'!$B$12),-1)</f>
        <v/>
      </c>
      <c r="W5097" s="17">
        <f>V5097*N5097*O5097</f>
        <v/>
      </c>
      <c r="X5097" s="12">
        <f>IF(LEFT(I5097,2)="MV",2*N5097*IF(L5097="1/C",O5097,1),0)</f>
        <v/>
      </c>
      <c r="Y5097" s="12">
        <f>IF(OR(LEFT(K5097,4)="LVAX",LEFT(K5097,6)="MV15AX",LEFT(K5097,4)="CTAX",LEFT(K5097,2)="W|"),2*N5097*O5097,0)</f>
        <v/>
      </c>
      <c r="Z5097" s="12" t="inlineStr">
        <is>
          <t>VD 0.6 %</t>
        </is>
      </c>
      <c r="AA5097" s="12">
        <f>N5097*O5097</f>
        <v/>
      </c>
    </row>
    <row r="5098">
      <c r="A5098" s="12" t="inlineStr">
        <is>
          <t>I-P-0218</t>
        </is>
      </c>
      <c r="B5098" s="12" t="inlineStr">
        <is>
          <t>I</t>
        </is>
      </c>
      <c r="C5098" s="12" t="inlineStr">
        <is>
          <t>Modular / portable power</t>
        </is>
      </c>
      <c r="D5098" s="12" t="inlineStr">
        <is>
          <t>Motor 3 of 6, 2 kW</t>
        </is>
      </c>
      <c r="E5098" s="12" t="inlineStr"/>
      <c r="F5098" s="12" t="inlineStr">
        <is>
          <t>MOD-LV 480 V board + 480 V : 13.8 kV step-up</t>
        </is>
      </c>
      <c r="G5098" s="12" t="inlineStr">
        <is>
          <t>T-MOD-1</t>
        </is>
      </c>
      <c r="H5098" s="12" t="inlineStr">
        <is>
          <t>T-MOD-1: 13.8/230 kV</t>
        </is>
      </c>
      <c r="I5098" s="12" t="inlineStr">
        <is>
          <t>LV 600 V</t>
        </is>
      </c>
      <c r="J5098" s="12" t="inlineStr">
        <is>
          <t>Type TC-ER 600 V 3/C Cu XHHW-2 + ground, PVC jacket</t>
        </is>
      </c>
      <c r="K5098" s="12" t="inlineStr">
        <is>
          <t>LV|3/C+G|10</t>
        </is>
      </c>
      <c r="L5098" s="12" t="inlineStr">
        <is>
          <t>3/C+G</t>
        </is>
      </c>
      <c r="M5098" s="12" t="inlineStr">
        <is>
          <t>10</t>
        </is>
      </c>
      <c r="N5098" s="12" t="n">
        <v>1</v>
      </c>
      <c r="O5098" s="12" t="n">
        <v>1</v>
      </c>
      <c r="P5098" s="12" t="n">
        <v>480</v>
      </c>
      <c r="Q5098" s="12" t="n">
        <v>2</v>
      </c>
      <c r="R5098" s="12" t="n">
        <v>2.8</v>
      </c>
      <c r="S5098" s="12" t="inlineStr">
        <is>
          <t>Duct bank</t>
        </is>
      </c>
      <c r="T5098" s="17" t="n">
        <v>362</v>
      </c>
      <c r="U5098" s="17" t="n">
        <v>82</v>
      </c>
      <c r="V5098" s="17">
        <f>ROUNDUP((T5098+U5098+2*'Read Me'!$B$13)*(1+'Read Me'!$B$12),-1)</f>
        <v/>
      </c>
      <c r="W5098" s="17">
        <f>V5098*N5098*O5098</f>
        <v/>
      </c>
      <c r="X5098" s="12">
        <f>IF(LEFT(I5098,2)="MV",2*N5098*IF(L5098="1/C",O5098,1),0)</f>
        <v/>
      </c>
      <c r="Y5098" s="12">
        <f>IF(OR(LEFT(K5098,4)="LVAX",LEFT(K5098,6)="MV15AX",LEFT(K5098,4)="CTAX",LEFT(K5098,2)="W|"),2*N5098*O5098,0)</f>
        <v/>
      </c>
      <c r="Z5098" s="12" t="inlineStr">
        <is>
          <t>VD 0.6 %</t>
        </is>
      </c>
      <c r="AA5098" s="12">
        <f>N5098*O5098</f>
        <v/>
      </c>
    </row>
    <row r="5099">
      <c r="A5099" s="12" t="inlineStr">
        <is>
          <t>I-P-0219</t>
        </is>
      </c>
      <c r="B5099" s="12" t="inlineStr">
        <is>
          <t>I</t>
        </is>
      </c>
      <c r="C5099" s="12" t="inlineStr">
        <is>
          <t>Modular / portable power</t>
        </is>
      </c>
      <c r="D5099" s="12" t="inlineStr">
        <is>
          <t>Motor 4 of 6, 2 kW</t>
        </is>
      </c>
      <c r="E5099" s="12" t="inlineStr"/>
      <c r="F5099" s="12" t="inlineStr">
        <is>
          <t>MOD-LV 480 V board + 480 V : 13.8 kV step-up</t>
        </is>
      </c>
      <c r="G5099" s="12" t="inlineStr">
        <is>
          <t>T-MOD-1</t>
        </is>
      </c>
      <c r="H5099" s="12" t="inlineStr">
        <is>
          <t>T-MOD-1: 13.8/230 kV</t>
        </is>
      </c>
      <c r="I5099" s="12" t="inlineStr">
        <is>
          <t>LV 600 V</t>
        </is>
      </c>
      <c r="J5099" s="12" t="inlineStr">
        <is>
          <t>Type TC-ER 600 V 3/C Cu XHHW-2 + ground, PVC jacket</t>
        </is>
      </c>
      <c r="K5099" s="12" t="inlineStr">
        <is>
          <t>LV|3/C+G|10</t>
        </is>
      </c>
      <c r="L5099" s="12" t="inlineStr">
        <is>
          <t>3/C+G</t>
        </is>
      </c>
      <c r="M5099" s="12" t="inlineStr">
        <is>
          <t>10</t>
        </is>
      </c>
      <c r="N5099" s="12" t="n">
        <v>1</v>
      </c>
      <c r="O5099" s="12" t="n">
        <v>1</v>
      </c>
      <c r="P5099" s="12" t="n">
        <v>480</v>
      </c>
      <c r="Q5099" s="12" t="n">
        <v>2</v>
      </c>
      <c r="R5099" s="12" t="n">
        <v>2.8</v>
      </c>
      <c r="S5099" s="12" t="inlineStr">
        <is>
          <t>Duct bank</t>
        </is>
      </c>
      <c r="T5099" s="17" t="n">
        <v>362</v>
      </c>
      <c r="U5099" s="17" t="n">
        <v>82</v>
      </c>
      <c r="V5099" s="17">
        <f>ROUNDUP((T5099+U5099+2*'Read Me'!$B$13)*(1+'Read Me'!$B$12),-1)</f>
        <v/>
      </c>
      <c r="W5099" s="17">
        <f>V5099*N5099*O5099</f>
        <v/>
      </c>
      <c r="X5099" s="12">
        <f>IF(LEFT(I5099,2)="MV",2*N5099*IF(L5099="1/C",O5099,1),0)</f>
        <v/>
      </c>
      <c r="Y5099" s="12">
        <f>IF(OR(LEFT(K5099,4)="LVAX",LEFT(K5099,6)="MV15AX",LEFT(K5099,4)="CTAX",LEFT(K5099,2)="W|"),2*N5099*O5099,0)</f>
        <v/>
      </c>
      <c r="Z5099" s="12" t="inlineStr">
        <is>
          <t>VD 0.6 %</t>
        </is>
      </c>
      <c r="AA5099" s="12">
        <f>N5099*O5099</f>
        <v/>
      </c>
    </row>
    <row r="5100">
      <c r="A5100" s="12" t="inlineStr">
        <is>
          <t>I-P-0220</t>
        </is>
      </c>
      <c r="B5100" s="12" t="inlineStr">
        <is>
          <t>I</t>
        </is>
      </c>
      <c r="C5100" s="12" t="inlineStr">
        <is>
          <t>Modular / portable power</t>
        </is>
      </c>
      <c r="D5100" s="12" t="inlineStr">
        <is>
          <t>Motor 5 of 6, 2 kW</t>
        </is>
      </c>
      <c r="E5100" s="12" t="inlineStr"/>
      <c r="F5100" s="12" t="inlineStr">
        <is>
          <t>MOD-LV 480 V board + 480 V : 13.8 kV step-up</t>
        </is>
      </c>
      <c r="G5100" s="12" t="inlineStr">
        <is>
          <t>T-MOD-1</t>
        </is>
      </c>
      <c r="H5100" s="12" t="inlineStr">
        <is>
          <t>T-MOD-1: 13.8/230 kV</t>
        </is>
      </c>
      <c r="I5100" s="12" t="inlineStr">
        <is>
          <t>LV 600 V</t>
        </is>
      </c>
      <c r="J5100" s="12" t="inlineStr">
        <is>
          <t>Type TC-ER 600 V 3/C Cu XHHW-2 + ground, PVC jacket</t>
        </is>
      </c>
      <c r="K5100" s="12" t="inlineStr">
        <is>
          <t>LV|3/C+G|10</t>
        </is>
      </c>
      <c r="L5100" s="12" t="inlineStr">
        <is>
          <t>3/C+G</t>
        </is>
      </c>
      <c r="M5100" s="12" t="inlineStr">
        <is>
          <t>10</t>
        </is>
      </c>
      <c r="N5100" s="12" t="n">
        <v>1</v>
      </c>
      <c r="O5100" s="12" t="n">
        <v>1</v>
      </c>
      <c r="P5100" s="12" t="n">
        <v>480</v>
      </c>
      <c r="Q5100" s="12" t="n">
        <v>2</v>
      </c>
      <c r="R5100" s="12" t="n">
        <v>2.8</v>
      </c>
      <c r="S5100" s="12" t="inlineStr">
        <is>
          <t>Duct bank</t>
        </is>
      </c>
      <c r="T5100" s="17" t="n">
        <v>362</v>
      </c>
      <c r="U5100" s="17" t="n">
        <v>82</v>
      </c>
      <c r="V5100" s="17">
        <f>ROUNDUP((T5100+U5100+2*'Read Me'!$B$13)*(1+'Read Me'!$B$12),-1)</f>
        <v/>
      </c>
      <c r="W5100" s="17">
        <f>V5100*N5100*O5100</f>
        <v/>
      </c>
      <c r="X5100" s="12">
        <f>IF(LEFT(I5100,2)="MV",2*N5100*IF(L5100="1/C",O5100,1),0)</f>
        <v/>
      </c>
      <c r="Y5100" s="12">
        <f>IF(OR(LEFT(K5100,4)="LVAX",LEFT(K5100,6)="MV15AX",LEFT(K5100,4)="CTAX",LEFT(K5100,2)="W|"),2*N5100*O5100,0)</f>
        <v/>
      </c>
      <c r="Z5100" s="12" t="inlineStr">
        <is>
          <t>VD 0.6 %</t>
        </is>
      </c>
      <c r="AA5100" s="12">
        <f>N5100*O5100</f>
        <v/>
      </c>
    </row>
    <row r="5101">
      <c r="A5101" s="12" t="inlineStr">
        <is>
          <t>I-P-0221</t>
        </is>
      </c>
      <c r="B5101" s="12" t="inlineStr">
        <is>
          <t>I</t>
        </is>
      </c>
      <c r="C5101" s="12" t="inlineStr">
        <is>
          <t>Modular / portable power</t>
        </is>
      </c>
      <c r="D5101" s="12" t="inlineStr">
        <is>
          <t>Motor 6 of 6, 2 kW</t>
        </is>
      </c>
      <c r="E5101" s="12" t="inlineStr"/>
      <c r="F5101" s="12" t="inlineStr">
        <is>
          <t>MOD-LV 480 V board + 480 V : 13.8 kV step-up</t>
        </is>
      </c>
      <c r="G5101" s="12" t="inlineStr">
        <is>
          <t>T-MOD-1</t>
        </is>
      </c>
      <c r="H5101" s="12" t="inlineStr">
        <is>
          <t>T-MOD-1: 13.8/230 kV</t>
        </is>
      </c>
      <c r="I5101" s="12" t="inlineStr">
        <is>
          <t>LV 600 V</t>
        </is>
      </c>
      <c r="J5101" s="12" t="inlineStr">
        <is>
          <t>Type TC-ER 600 V 3/C Cu XHHW-2 + ground, PVC jacket</t>
        </is>
      </c>
      <c r="K5101" s="12" t="inlineStr">
        <is>
          <t>LV|3/C+G|10</t>
        </is>
      </c>
      <c r="L5101" s="12" t="inlineStr">
        <is>
          <t>3/C+G</t>
        </is>
      </c>
      <c r="M5101" s="12" t="inlineStr">
        <is>
          <t>10</t>
        </is>
      </c>
      <c r="N5101" s="12" t="n">
        <v>1</v>
      </c>
      <c r="O5101" s="12" t="n">
        <v>1</v>
      </c>
      <c r="P5101" s="12" t="n">
        <v>480</v>
      </c>
      <c r="Q5101" s="12" t="n">
        <v>2</v>
      </c>
      <c r="R5101" s="12" t="n">
        <v>2.8</v>
      </c>
      <c r="S5101" s="12" t="inlineStr">
        <is>
          <t>Duct bank</t>
        </is>
      </c>
      <c r="T5101" s="17" t="n">
        <v>362</v>
      </c>
      <c r="U5101" s="17" t="n">
        <v>82</v>
      </c>
      <c r="V5101" s="17">
        <f>ROUNDUP((T5101+U5101+2*'Read Me'!$B$13)*(1+'Read Me'!$B$12),-1)</f>
        <v/>
      </c>
      <c r="W5101" s="17">
        <f>V5101*N5101*O5101</f>
        <v/>
      </c>
      <c r="X5101" s="12">
        <f>IF(LEFT(I5101,2)="MV",2*N5101*IF(L5101="1/C",O5101,1),0)</f>
        <v/>
      </c>
      <c r="Y5101" s="12">
        <f>IF(OR(LEFT(K5101,4)="LVAX",LEFT(K5101,6)="MV15AX",LEFT(K5101,4)="CTAX",LEFT(K5101,2)="W|"),2*N5101*O5101,0)</f>
        <v/>
      </c>
      <c r="Z5101" s="12" t="inlineStr">
        <is>
          <t>VD 0.6 %</t>
        </is>
      </c>
      <c r="AA5101" s="12">
        <f>N5101*O5101</f>
        <v/>
      </c>
    </row>
    <row r="5102">
      <c r="A5102" s="12" t="inlineStr">
        <is>
          <t>I-P-0222</t>
        </is>
      </c>
      <c r="B5102" s="12" t="inlineStr">
        <is>
          <t>I</t>
        </is>
      </c>
      <c r="C5102" s="12" t="inlineStr">
        <is>
          <t>Modular / portable power</t>
        </is>
      </c>
      <c r="D5102" s="12" t="inlineStr">
        <is>
          <t>Motor 1 of 6, 2 kW</t>
        </is>
      </c>
      <c r="E5102" s="12" t="inlineStr"/>
      <c r="F5102" s="12" t="inlineStr">
        <is>
          <t>MOD-LV 480 V board + 480 V : 13.8 kV step-up</t>
        </is>
      </c>
      <c r="G5102" s="12" t="inlineStr">
        <is>
          <t>T-MOD-2</t>
        </is>
      </c>
      <c r="H5102" s="12" t="inlineStr">
        <is>
          <t>T-MOD-2: 13.8/230 kV</t>
        </is>
      </c>
      <c r="I5102" s="12" t="inlineStr">
        <is>
          <t>LV 600 V</t>
        </is>
      </c>
      <c r="J5102" s="12" t="inlineStr">
        <is>
          <t>Type TC-ER 600 V 3/C Cu XHHW-2 + ground, PVC jacket</t>
        </is>
      </c>
      <c r="K5102" s="12" t="inlineStr">
        <is>
          <t>LV|3/C+G|8</t>
        </is>
      </c>
      <c r="L5102" s="12" t="inlineStr">
        <is>
          <t>3/C+G</t>
        </is>
      </c>
      <c r="M5102" s="12" t="inlineStr">
        <is>
          <t>8</t>
        </is>
      </c>
      <c r="N5102" s="12" t="n">
        <v>1</v>
      </c>
      <c r="O5102" s="12" t="n">
        <v>1</v>
      </c>
      <c r="P5102" s="12" t="n">
        <v>480</v>
      </c>
      <c r="Q5102" s="12" t="n">
        <v>2</v>
      </c>
      <c r="R5102" s="12" t="n">
        <v>2.8</v>
      </c>
      <c r="S5102" s="12" t="inlineStr">
        <is>
          <t>Duct bank</t>
        </is>
      </c>
      <c r="T5102" s="17" t="n">
        <v>3219</v>
      </c>
      <c r="U5102" s="17" t="n">
        <v>165</v>
      </c>
      <c r="V5102" s="17">
        <f>ROUNDUP((T5102+U5102+2*'Read Me'!$B$13)*(1+'Read Me'!$B$12),-1)</f>
        <v/>
      </c>
      <c r="W5102" s="17">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I-P-0223</t>
        </is>
      </c>
      <c r="B5103" s="12" t="inlineStr">
        <is>
          <t>I</t>
        </is>
      </c>
      <c r="C5103" s="12" t="inlineStr">
        <is>
          <t>Modular / portable power</t>
        </is>
      </c>
      <c r="D5103" s="12" t="inlineStr">
        <is>
          <t>Motor 2 of 6, 2 kW</t>
        </is>
      </c>
      <c r="E5103" s="12" t="inlineStr"/>
      <c r="F5103" s="12" t="inlineStr">
        <is>
          <t>MOD-LV 480 V board + 480 V : 13.8 kV step-up</t>
        </is>
      </c>
      <c r="G5103" s="12" t="inlineStr">
        <is>
          <t>T-MOD-2</t>
        </is>
      </c>
      <c r="H5103" s="12" t="inlineStr">
        <is>
          <t>T-MOD-2: 13.8/230 kV</t>
        </is>
      </c>
      <c r="I5103" s="12" t="inlineStr">
        <is>
          <t>LV 600 V</t>
        </is>
      </c>
      <c r="J5103" s="12" t="inlineStr">
        <is>
          <t>Type TC-ER 600 V 3/C Cu XHHW-2 + ground, PVC jacket</t>
        </is>
      </c>
      <c r="K5103" s="12" t="inlineStr">
        <is>
          <t>LV|3/C+G|8</t>
        </is>
      </c>
      <c r="L5103" s="12" t="inlineStr">
        <is>
          <t>3/C+G</t>
        </is>
      </c>
      <c r="M5103" s="12" t="inlineStr">
        <is>
          <t>8</t>
        </is>
      </c>
      <c r="N5103" s="12" t="n">
        <v>1</v>
      </c>
      <c r="O5103" s="12" t="n">
        <v>1</v>
      </c>
      <c r="P5103" s="12" t="n">
        <v>480</v>
      </c>
      <c r="Q5103" s="12" t="n">
        <v>2</v>
      </c>
      <c r="R5103" s="12" t="n">
        <v>2.8</v>
      </c>
      <c r="S5103" s="12" t="inlineStr">
        <is>
          <t>Duct bank</t>
        </is>
      </c>
      <c r="T5103" s="17" t="n">
        <v>3219</v>
      </c>
      <c r="U5103" s="17" t="n">
        <v>165</v>
      </c>
      <c r="V5103" s="17">
        <f>ROUNDUP((T5103+U5103+2*'Read Me'!$B$13)*(1+'Read Me'!$B$12),-1)</f>
        <v/>
      </c>
      <c r="W5103" s="17">
        <f>V5103*N5103*O5103</f>
        <v/>
      </c>
      <c r="X5103" s="12">
        <f>IF(LEFT(I5103,2)="MV",2*N5103*IF(L5103="1/C",O5103,1),0)</f>
        <v/>
      </c>
      <c r="Y5103" s="12">
        <f>IF(OR(LEFT(K5103,4)="LVAX",LEFT(K5103,6)="MV15AX",LEFT(K5103,4)="CTAX",LEFT(K5103,2)="W|"),2*N5103*O5103,0)</f>
        <v/>
      </c>
      <c r="Z5103" s="12" t="inlineStr">
        <is>
          <t>VD 2.9 %</t>
        </is>
      </c>
      <c r="AA5103" s="12">
        <f>N5103*O5103</f>
        <v/>
      </c>
    </row>
    <row r="5104">
      <c r="A5104" s="12" t="inlineStr">
        <is>
          <t>I-P-0224</t>
        </is>
      </c>
      <c r="B5104" s="12" t="inlineStr">
        <is>
          <t>I</t>
        </is>
      </c>
      <c r="C5104" s="12" t="inlineStr">
        <is>
          <t>Modular / portable power</t>
        </is>
      </c>
      <c r="D5104" s="12" t="inlineStr">
        <is>
          <t>Motor 3 of 6, 2 kW</t>
        </is>
      </c>
      <c r="E5104" s="12" t="inlineStr"/>
      <c r="F5104" s="12" t="inlineStr">
        <is>
          <t>MOD-LV 480 V board + 480 V : 13.8 kV step-up</t>
        </is>
      </c>
      <c r="G5104" s="12" t="inlineStr">
        <is>
          <t>T-MOD-2</t>
        </is>
      </c>
      <c r="H5104" s="12" t="inlineStr">
        <is>
          <t>T-MOD-2: 13.8/230 kV</t>
        </is>
      </c>
      <c r="I5104" s="12" t="inlineStr">
        <is>
          <t>LV 600 V</t>
        </is>
      </c>
      <c r="J5104" s="12" t="inlineStr">
        <is>
          <t>Type TC-ER 600 V 3/C Cu XHHW-2 + ground, PVC jacket</t>
        </is>
      </c>
      <c r="K5104" s="12" t="inlineStr">
        <is>
          <t>LV|3/C+G|8</t>
        </is>
      </c>
      <c r="L5104" s="12" t="inlineStr">
        <is>
          <t>3/C+G</t>
        </is>
      </c>
      <c r="M5104" s="12" t="inlineStr">
        <is>
          <t>8</t>
        </is>
      </c>
      <c r="N5104" s="12" t="n">
        <v>1</v>
      </c>
      <c r="O5104" s="12" t="n">
        <v>1</v>
      </c>
      <c r="P5104" s="12" t="n">
        <v>480</v>
      </c>
      <c r="Q5104" s="12" t="n">
        <v>2</v>
      </c>
      <c r="R5104" s="12" t="n">
        <v>2.8</v>
      </c>
      <c r="S5104" s="12" t="inlineStr">
        <is>
          <t>Duct bank</t>
        </is>
      </c>
      <c r="T5104" s="17" t="n">
        <v>3219</v>
      </c>
      <c r="U5104" s="17" t="n">
        <v>165</v>
      </c>
      <c r="V5104" s="17">
        <f>ROUNDUP((T5104+U5104+2*'Read Me'!$B$13)*(1+'Read Me'!$B$12),-1)</f>
        <v/>
      </c>
      <c r="W5104" s="17">
        <f>V5104*N5104*O5104</f>
        <v/>
      </c>
      <c r="X5104" s="12">
        <f>IF(LEFT(I5104,2)="MV",2*N5104*IF(L5104="1/C",O5104,1),0)</f>
        <v/>
      </c>
      <c r="Y5104" s="12">
        <f>IF(OR(LEFT(K5104,4)="LVAX",LEFT(K5104,6)="MV15AX",LEFT(K5104,4)="CTAX",LEFT(K5104,2)="W|"),2*N5104*O5104,0)</f>
        <v/>
      </c>
      <c r="Z5104" s="12" t="inlineStr">
        <is>
          <t>VD 2.9 %</t>
        </is>
      </c>
      <c r="AA5104" s="12">
        <f>N5104*O5104</f>
        <v/>
      </c>
    </row>
    <row r="5105">
      <c r="A5105" s="12" t="inlineStr">
        <is>
          <t>I-P-0225</t>
        </is>
      </c>
      <c r="B5105" s="12" t="inlineStr">
        <is>
          <t>I</t>
        </is>
      </c>
      <c r="C5105" s="12" t="inlineStr">
        <is>
          <t>Modular / portable power</t>
        </is>
      </c>
      <c r="D5105" s="12" t="inlineStr">
        <is>
          <t>Motor 4 of 6, 2 kW</t>
        </is>
      </c>
      <c r="E5105" s="12" t="inlineStr"/>
      <c r="F5105" s="12" t="inlineStr">
        <is>
          <t>MOD-LV 480 V board + 480 V : 13.8 kV step-up</t>
        </is>
      </c>
      <c r="G5105" s="12" t="inlineStr">
        <is>
          <t>T-MOD-2</t>
        </is>
      </c>
      <c r="H5105" s="12" t="inlineStr">
        <is>
          <t>T-MOD-2: 13.8/230 kV</t>
        </is>
      </c>
      <c r="I5105" s="12" t="inlineStr">
        <is>
          <t>LV 600 V</t>
        </is>
      </c>
      <c r="J5105" s="12" t="inlineStr">
        <is>
          <t>Type TC-ER 600 V 3/C Cu XHHW-2 + ground, PVC jacket</t>
        </is>
      </c>
      <c r="K5105" s="12" t="inlineStr">
        <is>
          <t>LV|3/C+G|8</t>
        </is>
      </c>
      <c r="L5105" s="12" t="inlineStr">
        <is>
          <t>3/C+G</t>
        </is>
      </c>
      <c r="M5105" s="12" t="inlineStr">
        <is>
          <t>8</t>
        </is>
      </c>
      <c r="N5105" s="12" t="n">
        <v>1</v>
      </c>
      <c r="O5105" s="12" t="n">
        <v>1</v>
      </c>
      <c r="P5105" s="12" t="n">
        <v>480</v>
      </c>
      <c r="Q5105" s="12" t="n">
        <v>2</v>
      </c>
      <c r="R5105" s="12" t="n">
        <v>2.8</v>
      </c>
      <c r="S5105" s="12" t="inlineStr">
        <is>
          <t>Duct bank</t>
        </is>
      </c>
      <c r="T5105" s="17" t="n">
        <v>3219</v>
      </c>
      <c r="U5105" s="17" t="n">
        <v>165</v>
      </c>
      <c r="V5105" s="17">
        <f>ROUNDUP((T5105+U5105+2*'Read Me'!$B$13)*(1+'Read Me'!$B$12),-1)</f>
        <v/>
      </c>
      <c r="W5105" s="17">
        <f>V5105*N5105*O5105</f>
        <v/>
      </c>
      <c r="X5105" s="12">
        <f>IF(LEFT(I5105,2)="MV",2*N5105*IF(L5105="1/C",O5105,1),0)</f>
        <v/>
      </c>
      <c r="Y5105" s="12">
        <f>IF(OR(LEFT(K5105,4)="LVAX",LEFT(K5105,6)="MV15AX",LEFT(K5105,4)="CTAX",LEFT(K5105,2)="W|"),2*N5105*O5105,0)</f>
        <v/>
      </c>
      <c r="Z5105" s="12" t="inlineStr">
        <is>
          <t>VD 2.9 %</t>
        </is>
      </c>
      <c r="AA5105" s="12">
        <f>N5105*O5105</f>
        <v/>
      </c>
    </row>
    <row r="5106">
      <c r="A5106" s="12" t="inlineStr">
        <is>
          <t>I-P-0226</t>
        </is>
      </c>
      <c r="B5106" s="12" t="inlineStr">
        <is>
          <t>I</t>
        </is>
      </c>
      <c r="C5106" s="12" t="inlineStr">
        <is>
          <t>Modular / portable power</t>
        </is>
      </c>
      <c r="D5106" s="12" t="inlineStr">
        <is>
          <t>Motor 5 of 6, 2 kW</t>
        </is>
      </c>
      <c r="E5106" s="12" t="inlineStr"/>
      <c r="F5106" s="12" t="inlineStr">
        <is>
          <t>MOD-LV 480 V board + 480 V : 13.8 kV step-up</t>
        </is>
      </c>
      <c r="G5106" s="12" t="inlineStr">
        <is>
          <t>T-MOD-2</t>
        </is>
      </c>
      <c r="H5106" s="12" t="inlineStr">
        <is>
          <t>T-MOD-2: 13.8/230 kV</t>
        </is>
      </c>
      <c r="I5106" s="12" t="inlineStr">
        <is>
          <t>LV 600 V</t>
        </is>
      </c>
      <c r="J5106" s="12" t="inlineStr">
        <is>
          <t>Type TC-ER 600 V 3/C Cu XHHW-2 + ground, PVC jacket</t>
        </is>
      </c>
      <c r="K5106" s="12" t="inlineStr">
        <is>
          <t>LV|3/C+G|8</t>
        </is>
      </c>
      <c r="L5106" s="12" t="inlineStr">
        <is>
          <t>3/C+G</t>
        </is>
      </c>
      <c r="M5106" s="12" t="inlineStr">
        <is>
          <t>8</t>
        </is>
      </c>
      <c r="N5106" s="12" t="n">
        <v>1</v>
      </c>
      <c r="O5106" s="12" t="n">
        <v>1</v>
      </c>
      <c r="P5106" s="12" t="n">
        <v>480</v>
      </c>
      <c r="Q5106" s="12" t="n">
        <v>2</v>
      </c>
      <c r="R5106" s="12" t="n">
        <v>2.8</v>
      </c>
      <c r="S5106" s="12" t="inlineStr">
        <is>
          <t>Duct bank</t>
        </is>
      </c>
      <c r="T5106" s="17" t="n">
        <v>3219</v>
      </c>
      <c r="U5106" s="17" t="n">
        <v>165</v>
      </c>
      <c r="V5106" s="17">
        <f>ROUNDUP((T5106+U5106+2*'Read Me'!$B$13)*(1+'Read Me'!$B$12),-1)</f>
        <v/>
      </c>
      <c r="W5106" s="17">
        <f>V5106*N5106*O5106</f>
        <v/>
      </c>
      <c r="X5106" s="12">
        <f>IF(LEFT(I5106,2)="MV",2*N5106*IF(L5106="1/C",O5106,1),0)</f>
        <v/>
      </c>
      <c r="Y5106" s="12">
        <f>IF(OR(LEFT(K5106,4)="LVAX",LEFT(K5106,6)="MV15AX",LEFT(K5106,4)="CTAX",LEFT(K5106,2)="W|"),2*N5106*O5106,0)</f>
        <v/>
      </c>
      <c r="Z5106" s="12" t="inlineStr">
        <is>
          <t>VD 2.9 %</t>
        </is>
      </c>
      <c r="AA5106" s="12">
        <f>N5106*O5106</f>
        <v/>
      </c>
    </row>
    <row r="5107">
      <c r="A5107" s="12" t="inlineStr">
        <is>
          <t>I-P-0227</t>
        </is>
      </c>
      <c r="B5107" s="12" t="inlineStr">
        <is>
          <t>I</t>
        </is>
      </c>
      <c r="C5107" s="12" t="inlineStr">
        <is>
          <t>Modular / portable power</t>
        </is>
      </c>
      <c r="D5107" s="12" t="inlineStr">
        <is>
          <t>Motor 6 of 6, 2 kW</t>
        </is>
      </c>
      <c r="E5107" s="12" t="inlineStr"/>
      <c r="F5107" s="12" t="inlineStr">
        <is>
          <t>MOD-LV 480 V board + 480 V : 13.8 kV step-up</t>
        </is>
      </c>
      <c r="G5107" s="12" t="inlineStr">
        <is>
          <t>T-MOD-2</t>
        </is>
      </c>
      <c r="H5107" s="12" t="inlineStr">
        <is>
          <t>T-MOD-2: 13.8/230 kV</t>
        </is>
      </c>
      <c r="I5107" s="12" t="inlineStr">
        <is>
          <t>LV 600 V</t>
        </is>
      </c>
      <c r="J5107" s="12" t="inlineStr">
        <is>
          <t>Type TC-ER 600 V 3/C Cu XHHW-2 + ground, PVC jacket</t>
        </is>
      </c>
      <c r="K5107" s="12" t="inlineStr">
        <is>
          <t>LV|3/C+G|8</t>
        </is>
      </c>
      <c r="L5107" s="12" t="inlineStr">
        <is>
          <t>3/C+G</t>
        </is>
      </c>
      <c r="M5107" s="12" t="inlineStr">
        <is>
          <t>8</t>
        </is>
      </c>
      <c r="N5107" s="12" t="n">
        <v>1</v>
      </c>
      <c r="O5107" s="12" t="n">
        <v>1</v>
      </c>
      <c r="P5107" s="12" t="n">
        <v>480</v>
      </c>
      <c r="Q5107" s="12" t="n">
        <v>2</v>
      </c>
      <c r="R5107" s="12" t="n">
        <v>2.8</v>
      </c>
      <c r="S5107" s="12" t="inlineStr">
        <is>
          <t>Duct bank</t>
        </is>
      </c>
      <c r="T5107" s="17" t="n">
        <v>3219</v>
      </c>
      <c r="U5107" s="17" t="n">
        <v>165</v>
      </c>
      <c r="V5107" s="17">
        <f>ROUNDUP((T5107+U5107+2*'Read Me'!$B$13)*(1+'Read Me'!$B$12),-1)</f>
        <v/>
      </c>
      <c r="W5107" s="17">
        <f>V5107*N5107*O5107</f>
        <v/>
      </c>
      <c r="X5107" s="12">
        <f>IF(LEFT(I5107,2)="MV",2*N5107*IF(L5107="1/C",O5107,1),0)</f>
        <v/>
      </c>
      <c r="Y5107" s="12">
        <f>IF(OR(LEFT(K5107,4)="LVAX",LEFT(K5107,6)="MV15AX",LEFT(K5107,4)="CTAX",LEFT(K5107,2)="W|"),2*N5107*O5107,0)</f>
        <v/>
      </c>
      <c r="Z5107" s="12" t="inlineStr">
        <is>
          <t>VD 2.9 %</t>
        </is>
      </c>
      <c r="AA5107" s="12">
        <f>N5107*O5107</f>
        <v/>
      </c>
    </row>
    <row r="5108">
      <c r="A5108" s="12" t="inlineStr">
        <is>
          <t>I-P-0228</t>
        </is>
      </c>
      <c r="B5108" s="12" t="inlineStr">
        <is>
          <t>I</t>
        </is>
      </c>
      <c r="C5108" s="12" t="inlineStr">
        <is>
          <t>Modular / portable power</t>
        </is>
      </c>
      <c r="D5108" s="12" t="inlineStr">
        <is>
          <t>Motor 1 of 6, 22 kW</t>
        </is>
      </c>
      <c r="E5108" s="12" t="inlineStr"/>
      <c r="F5108" s="12" t="inlineStr">
        <is>
          <t>MOD-LV 480 V board + 480 V : 13.8 kV step-up</t>
        </is>
      </c>
      <c r="G5108" s="12" t="inlineStr">
        <is>
          <t>TM-1</t>
        </is>
      </c>
      <c r="H5108" s="12" t="inlineStr">
        <is>
          <t>TM-1: trailer-mounted aeroderivative GT (TM2500 class, ~35 MW)</t>
        </is>
      </c>
      <c r="I5108" s="12" t="inlineStr">
        <is>
          <t>LV 600 V</t>
        </is>
      </c>
      <c r="J5108" s="12" t="inlineStr">
        <is>
          <t>Type TC-ER 600 V 3/C Cu XHHW-2 + ground, PVC jacket</t>
        </is>
      </c>
      <c r="K5108" s="12" t="inlineStr">
        <is>
          <t>LV|3/C+G|4/0</t>
        </is>
      </c>
      <c r="L5108" s="12" t="inlineStr">
        <is>
          <t>3/C+G</t>
        </is>
      </c>
      <c r="M5108" s="12" t="inlineStr">
        <is>
          <t>4/0</t>
        </is>
      </c>
      <c r="N5108" s="12" t="n">
        <v>1</v>
      </c>
      <c r="O5108" s="12" t="n">
        <v>1</v>
      </c>
      <c r="P5108" s="12" t="n">
        <v>480</v>
      </c>
      <c r="Q5108" s="12" t="n">
        <v>22</v>
      </c>
      <c r="R5108" s="12" t="n">
        <v>31.1</v>
      </c>
      <c r="S5108" s="12" t="inlineStr">
        <is>
          <t>Duct bank</t>
        </is>
      </c>
      <c r="T5108" s="17" t="n">
        <v>3178</v>
      </c>
      <c r="U5108" s="17" t="n">
        <v>68</v>
      </c>
      <c r="V5108" s="17">
        <f>ROUNDUP((T5108+U5108+2*'Read Me'!$B$13)*(1+'Read Me'!$B$12),-1)</f>
        <v/>
      </c>
      <c r="W5108" s="17">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I-P-0229</t>
        </is>
      </c>
      <c r="B5109" s="12" t="inlineStr">
        <is>
          <t>I</t>
        </is>
      </c>
      <c r="C5109" s="12" t="inlineStr">
        <is>
          <t>Modular / portable power</t>
        </is>
      </c>
      <c r="D5109" s="12" t="inlineStr">
        <is>
          <t>Motor 2 of 6, 22 kW</t>
        </is>
      </c>
      <c r="E5109" s="12" t="inlineStr"/>
      <c r="F5109" s="12" t="inlineStr">
        <is>
          <t>MOD-LV 480 V board + 480 V : 13.8 kV step-up</t>
        </is>
      </c>
      <c r="G5109" s="12" t="inlineStr">
        <is>
          <t>TM-1</t>
        </is>
      </c>
      <c r="H5109" s="12" t="inlineStr">
        <is>
          <t>TM-1: trailer-mounted aeroderivative GT (TM2500 class, ~35 MW)</t>
        </is>
      </c>
      <c r="I5109" s="12" t="inlineStr">
        <is>
          <t>LV 600 V</t>
        </is>
      </c>
      <c r="J5109" s="12" t="inlineStr">
        <is>
          <t>Type TC-ER 600 V 3/C Cu XHHW-2 + ground, PVC jacket</t>
        </is>
      </c>
      <c r="K5109" s="12" t="inlineStr">
        <is>
          <t>LV|3/C+G|4/0</t>
        </is>
      </c>
      <c r="L5109" s="12" t="inlineStr">
        <is>
          <t>3/C+G</t>
        </is>
      </c>
      <c r="M5109" s="12" t="inlineStr">
        <is>
          <t>4/0</t>
        </is>
      </c>
      <c r="N5109" s="12" t="n">
        <v>1</v>
      </c>
      <c r="O5109" s="12" t="n">
        <v>1</v>
      </c>
      <c r="P5109" s="12" t="n">
        <v>480</v>
      </c>
      <c r="Q5109" s="12" t="n">
        <v>22</v>
      </c>
      <c r="R5109" s="12" t="n">
        <v>31.1</v>
      </c>
      <c r="S5109" s="12" t="inlineStr">
        <is>
          <t>Duct bank</t>
        </is>
      </c>
      <c r="T5109" s="17" t="n">
        <v>3178</v>
      </c>
      <c r="U5109" s="17" t="n">
        <v>68</v>
      </c>
      <c r="V5109" s="17">
        <f>ROUNDUP((T5109+U5109+2*'Read Me'!$B$13)*(1+'Read Me'!$B$12),-1)</f>
        <v/>
      </c>
      <c r="W5109" s="17">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I-P-0230</t>
        </is>
      </c>
      <c r="B5110" s="12" t="inlineStr">
        <is>
          <t>I</t>
        </is>
      </c>
      <c r="C5110" s="12" t="inlineStr">
        <is>
          <t>Modular / portable power</t>
        </is>
      </c>
      <c r="D5110" s="12" t="inlineStr">
        <is>
          <t>Motor 3 of 6, 22 kW</t>
        </is>
      </c>
      <c r="E5110" s="12" t="inlineStr"/>
      <c r="F5110" s="12" t="inlineStr">
        <is>
          <t>MOD-LV 480 V board + 480 V : 13.8 kV step-up</t>
        </is>
      </c>
      <c r="G5110" s="12" t="inlineStr">
        <is>
          <t>TM-1</t>
        </is>
      </c>
      <c r="H5110" s="12" t="inlineStr">
        <is>
          <t>TM-1: trailer-mounted aeroderivative GT (TM2500 class, ~35 MW)</t>
        </is>
      </c>
      <c r="I5110" s="12" t="inlineStr">
        <is>
          <t>LV 600 V</t>
        </is>
      </c>
      <c r="J5110" s="12" t="inlineStr">
        <is>
          <t>Type TC-ER 600 V 3/C Cu XHHW-2 + ground, PVC jacket</t>
        </is>
      </c>
      <c r="K5110" s="12" t="inlineStr">
        <is>
          <t>LV|3/C+G|4/0</t>
        </is>
      </c>
      <c r="L5110" s="12" t="inlineStr">
        <is>
          <t>3/C+G</t>
        </is>
      </c>
      <c r="M5110" s="12" t="inlineStr">
        <is>
          <t>4/0</t>
        </is>
      </c>
      <c r="N5110" s="12" t="n">
        <v>1</v>
      </c>
      <c r="O5110" s="12" t="n">
        <v>1</v>
      </c>
      <c r="P5110" s="12" t="n">
        <v>480</v>
      </c>
      <c r="Q5110" s="12" t="n">
        <v>22</v>
      </c>
      <c r="R5110" s="12" t="n">
        <v>31.1</v>
      </c>
      <c r="S5110" s="12" t="inlineStr">
        <is>
          <t>Duct bank</t>
        </is>
      </c>
      <c r="T5110" s="17" t="n">
        <v>3178</v>
      </c>
      <c r="U5110" s="17" t="n">
        <v>68</v>
      </c>
      <c r="V5110" s="17">
        <f>ROUNDUP((T5110+U5110+2*'Read Me'!$B$13)*(1+'Read Me'!$B$12),-1)</f>
        <v/>
      </c>
      <c r="W5110" s="17">
        <f>V5110*N5110*O5110</f>
        <v/>
      </c>
      <c r="X5110" s="12">
        <f>IF(LEFT(I5110,2)="MV",2*N5110*IF(L5110="1/C",O5110,1),0)</f>
        <v/>
      </c>
      <c r="Y5110" s="12">
        <f>IF(OR(LEFT(K5110,4)="LVAX",LEFT(K5110,6)="MV15AX",LEFT(K5110,4)="CTAX",LEFT(K5110,2)="W|"),2*N5110*O5110,0)</f>
        <v/>
      </c>
      <c r="Z5110" s="12" t="inlineStr">
        <is>
          <t>VD 2.4 %</t>
        </is>
      </c>
      <c r="AA5110" s="12">
        <f>N5110*O5110</f>
        <v/>
      </c>
    </row>
    <row r="5111">
      <c r="A5111" s="12" t="inlineStr">
        <is>
          <t>I-P-0231</t>
        </is>
      </c>
      <c r="B5111" s="12" t="inlineStr">
        <is>
          <t>I</t>
        </is>
      </c>
      <c r="C5111" s="12" t="inlineStr">
        <is>
          <t>Modular / portable power</t>
        </is>
      </c>
      <c r="D5111" s="12" t="inlineStr">
        <is>
          <t>Motor 4 of 6, 22 kW</t>
        </is>
      </c>
      <c r="E5111" s="12" t="inlineStr"/>
      <c r="F5111" s="12" t="inlineStr">
        <is>
          <t>MOD-LV 480 V board + 480 V : 13.8 kV step-up</t>
        </is>
      </c>
      <c r="G5111" s="12" t="inlineStr">
        <is>
          <t>TM-1</t>
        </is>
      </c>
      <c r="H5111" s="12" t="inlineStr">
        <is>
          <t>TM-1: trailer-mounted aeroderivative GT (TM2500 class, ~35 MW)</t>
        </is>
      </c>
      <c r="I5111" s="12" t="inlineStr">
        <is>
          <t>LV 600 V</t>
        </is>
      </c>
      <c r="J5111" s="12" t="inlineStr">
        <is>
          <t>Type TC-ER 600 V 3/C Cu XHHW-2 + ground, PVC jacket</t>
        </is>
      </c>
      <c r="K5111" s="12" t="inlineStr">
        <is>
          <t>LV|3/C+G|4/0</t>
        </is>
      </c>
      <c r="L5111" s="12" t="inlineStr">
        <is>
          <t>3/C+G</t>
        </is>
      </c>
      <c r="M5111" s="12" t="inlineStr">
        <is>
          <t>4/0</t>
        </is>
      </c>
      <c r="N5111" s="12" t="n">
        <v>1</v>
      </c>
      <c r="O5111" s="12" t="n">
        <v>1</v>
      </c>
      <c r="P5111" s="12" t="n">
        <v>480</v>
      </c>
      <c r="Q5111" s="12" t="n">
        <v>22</v>
      </c>
      <c r="R5111" s="12" t="n">
        <v>31.1</v>
      </c>
      <c r="S5111" s="12" t="inlineStr">
        <is>
          <t>Duct bank</t>
        </is>
      </c>
      <c r="T5111" s="17" t="n">
        <v>3178</v>
      </c>
      <c r="U5111" s="17" t="n">
        <v>68</v>
      </c>
      <c r="V5111" s="17">
        <f>ROUNDUP((T5111+U5111+2*'Read Me'!$B$13)*(1+'Read Me'!$B$12),-1)</f>
        <v/>
      </c>
      <c r="W5111" s="17">
        <f>V5111*N5111*O5111</f>
        <v/>
      </c>
      <c r="X5111" s="12">
        <f>IF(LEFT(I5111,2)="MV",2*N5111*IF(L5111="1/C",O5111,1),0)</f>
        <v/>
      </c>
      <c r="Y5111" s="12">
        <f>IF(OR(LEFT(K5111,4)="LVAX",LEFT(K5111,6)="MV15AX",LEFT(K5111,4)="CTAX",LEFT(K5111,2)="W|"),2*N5111*O5111,0)</f>
        <v/>
      </c>
      <c r="Z5111" s="12" t="inlineStr">
        <is>
          <t>VD 2.4 %</t>
        </is>
      </c>
      <c r="AA5111" s="12">
        <f>N5111*O5111</f>
        <v/>
      </c>
    </row>
    <row r="5112">
      <c r="A5112" s="12" t="inlineStr">
        <is>
          <t>I-P-0232</t>
        </is>
      </c>
      <c r="B5112" s="12" t="inlineStr">
        <is>
          <t>I</t>
        </is>
      </c>
      <c r="C5112" s="12" t="inlineStr">
        <is>
          <t>Modular / portable power</t>
        </is>
      </c>
      <c r="D5112" s="12" t="inlineStr">
        <is>
          <t>Motor 5 of 6, 22 kW</t>
        </is>
      </c>
      <c r="E5112" s="12" t="inlineStr"/>
      <c r="F5112" s="12" t="inlineStr">
        <is>
          <t>MOD-LV 480 V board + 480 V : 13.8 kV step-up</t>
        </is>
      </c>
      <c r="G5112" s="12" t="inlineStr">
        <is>
          <t>TM-1</t>
        </is>
      </c>
      <c r="H5112" s="12" t="inlineStr">
        <is>
          <t>TM-1: trailer-mounted aeroderivative GT (TM2500 class, ~35 MW)</t>
        </is>
      </c>
      <c r="I5112" s="12" t="inlineStr">
        <is>
          <t>LV 600 V</t>
        </is>
      </c>
      <c r="J5112" s="12" t="inlineStr">
        <is>
          <t>Type TC-ER 600 V 3/C Cu XHHW-2 + ground, PVC jacket</t>
        </is>
      </c>
      <c r="K5112" s="12" t="inlineStr">
        <is>
          <t>LV|3/C+G|4/0</t>
        </is>
      </c>
      <c r="L5112" s="12" t="inlineStr">
        <is>
          <t>3/C+G</t>
        </is>
      </c>
      <c r="M5112" s="12" t="inlineStr">
        <is>
          <t>4/0</t>
        </is>
      </c>
      <c r="N5112" s="12" t="n">
        <v>1</v>
      </c>
      <c r="O5112" s="12" t="n">
        <v>1</v>
      </c>
      <c r="P5112" s="12" t="n">
        <v>480</v>
      </c>
      <c r="Q5112" s="12" t="n">
        <v>22</v>
      </c>
      <c r="R5112" s="12" t="n">
        <v>31.1</v>
      </c>
      <c r="S5112" s="12" t="inlineStr">
        <is>
          <t>Duct bank</t>
        </is>
      </c>
      <c r="T5112" s="17" t="n">
        <v>3178</v>
      </c>
      <c r="U5112" s="17" t="n">
        <v>68</v>
      </c>
      <c r="V5112" s="17">
        <f>ROUNDUP((T5112+U5112+2*'Read Me'!$B$13)*(1+'Read Me'!$B$12),-1)</f>
        <v/>
      </c>
      <c r="W5112" s="17">
        <f>V5112*N5112*O5112</f>
        <v/>
      </c>
      <c r="X5112" s="12">
        <f>IF(LEFT(I5112,2)="MV",2*N5112*IF(L5112="1/C",O5112,1),0)</f>
        <v/>
      </c>
      <c r="Y5112" s="12">
        <f>IF(OR(LEFT(K5112,4)="LVAX",LEFT(K5112,6)="MV15AX",LEFT(K5112,4)="CTAX",LEFT(K5112,2)="W|"),2*N5112*O5112,0)</f>
        <v/>
      </c>
      <c r="Z5112" s="12" t="inlineStr">
        <is>
          <t>VD 2.4 %</t>
        </is>
      </c>
      <c r="AA5112" s="12">
        <f>N5112*O5112</f>
        <v/>
      </c>
    </row>
    <row r="5113">
      <c r="A5113" s="12" t="inlineStr">
        <is>
          <t>I-P-0233</t>
        </is>
      </c>
      <c r="B5113" s="12" t="inlineStr">
        <is>
          <t>I</t>
        </is>
      </c>
      <c r="C5113" s="12" t="inlineStr">
        <is>
          <t>Modular / portable power</t>
        </is>
      </c>
      <c r="D5113" s="12" t="inlineStr">
        <is>
          <t>Motor 6 of 6, 22 kW</t>
        </is>
      </c>
      <c r="E5113" s="12" t="inlineStr"/>
      <c r="F5113" s="12" t="inlineStr">
        <is>
          <t>MOD-LV 480 V board + 480 V : 13.8 kV step-up</t>
        </is>
      </c>
      <c r="G5113" s="12" t="inlineStr">
        <is>
          <t>TM-1</t>
        </is>
      </c>
      <c r="H5113" s="12" t="inlineStr">
        <is>
          <t>TM-1: trailer-mounted aeroderivative GT (TM2500 class, ~35 MW)</t>
        </is>
      </c>
      <c r="I5113" s="12" t="inlineStr">
        <is>
          <t>LV 600 V</t>
        </is>
      </c>
      <c r="J5113" s="12" t="inlineStr">
        <is>
          <t>Type TC-ER 600 V 3/C Cu XHHW-2 + ground, PVC jacket</t>
        </is>
      </c>
      <c r="K5113" s="12" t="inlineStr">
        <is>
          <t>LV|3/C+G|4/0</t>
        </is>
      </c>
      <c r="L5113" s="12" t="inlineStr">
        <is>
          <t>3/C+G</t>
        </is>
      </c>
      <c r="M5113" s="12" t="inlineStr">
        <is>
          <t>4/0</t>
        </is>
      </c>
      <c r="N5113" s="12" t="n">
        <v>1</v>
      </c>
      <c r="O5113" s="12" t="n">
        <v>1</v>
      </c>
      <c r="P5113" s="12" t="n">
        <v>480</v>
      </c>
      <c r="Q5113" s="12" t="n">
        <v>22</v>
      </c>
      <c r="R5113" s="12" t="n">
        <v>31.1</v>
      </c>
      <c r="S5113" s="12" t="inlineStr">
        <is>
          <t>Duct bank</t>
        </is>
      </c>
      <c r="T5113" s="17" t="n">
        <v>3178</v>
      </c>
      <c r="U5113" s="17" t="n">
        <v>68</v>
      </c>
      <c r="V5113" s="17">
        <f>ROUNDUP((T5113+U5113+2*'Read Me'!$B$13)*(1+'Read Me'!$B$12),-1)</f>
        <v/>
      </c>
      <c r="W5113" s="17">
        <f>V5113*N5113*O5113</f>
        <v/>
      </c>
      <c r="X5113" s="12">
        <f>IF(LEFT(I5113,2)="MV",2*N5113*IF(L5113="1/C",O5113,1),0)</f>
        <v/>
      </c>
      <c r="Y5113" s="12">
        <f>IF(OR(LEFT(K5113,4)="LVAX",LEFT(K5113,6)="MV15AX",LEFT(K5113,4)="CTAX",LEFT(K5113,2)="W|"),2*N5113*O5113,0)</f>
        <v/>
      </c>
      <c r="Z5113" s="12" t="inlineStr">
        <is>
          <t>VD 2.4 %</t>
        </is>
      </c>
      <c r="AA5113" s="12">
        <f>N5113*O5113</f>
        <v/>
      </c>
    </row>
    <row r="5114">
      <c r="A5114" s="12" t="inlineStr">
        <is>
          <t>I-P-0234</t>
        </is>
      </c>
      <c r="B5114" s="12" t="inlineStr">
        <is>
          <t>I</t>
        </is>
      </c>
      <c r="C5114" s="12" t="inlineStr">
        <is>
          <t>Modular / portable power</t>
        </is>
      </c>
      <c r="D5114" s="12" t="inlineStr">
        <is>
          <t>Motor 1 of 6, 22 kW</t>
        </is>
      </c>
      <c r="E5114" s="12" t="inlineStr"/>
      <c r="F5114" s="12" t="inlineStr">
        <is>
          <t>MOD-LV 480 V board + 480 V : 13.8 kV step-up</t>
        </is>
      </c>
      <c r="G5114" s="12" t="inlineStr">
        <is>
          <t>TM-2</t>
        </is>
      </c>
      <c r="H5114" s="12" t="inlineStr">
        <is>
          <t>TM-2: trailer-mounted aeroderivative GT (TM2500 class, ~35 MW)</t>
        </is>
      </c>
      <c r="I5114" s="12" t="inlineStr">
        <is>
          <t>LV 600 V</t>
        </is>
      </c>
      <c r="J5114" s="12" t="inlineStr">
        <is>
          <t>Type TC-ER 600 V 3/C Cu XHHW-2 + ground, PVC jacket</t>
        </is>
      </c>
      <c r="K5114" s="12" t="inlineStr">
        <is>
          <t>LV|3/C+G|4/0</t>
        </is>
      </c>
      <c r="L5114" s="12" t="inlineStr">
        <is>
          <t>3/C+G</t>
        </is>
      </c>
      <c r="M5114" s="12" t="inlineStr">
        <is>
          <t>4/0</t>
        </is>
      </c>
      <c r="N5114" s="12" t="n">
        <v>1</v>
      </c>
      <c r="O5114" s="12" t="n">
        <v>1</v>
      </c>
      <c r="P5114" s="12" t="n">
        <v>480</v>
      </c>
      <c r="Q5114" s="12" t="n">
        <v>22</v>
      </c>
      <c r="R5114" s="12" t="n">
        <v>31.1</v>
      </c>
      <c r="S5114" s="12" t="inlineStr">
        <is>
          <t>Duct bank</t>
        </is>
      </c>
      <c r="T5114" s="17" t="n">
        <v>3178</v>
      </c>
      <c r="U5114" s="17" t="n">
        <v>74</v>
      </c>
      <c r="V5114" s="17">
        <f>ROUNDUP((T5114+U5114+2*'Read Me'!$B$13)*(1+'Read Me'!$B$12),-1)</f>
        <v/>
      </c>
      <c r="W5114" s="17">
        <f>V5114*N5114*O5114</f>
        <v/>
      </c>
      <c r="X5114" s="12">
        <f>IF(LEFT(I5114,2)="MV",2*N5114*IF(L5114="1/C",O5114,1),0)</f>
        <v/>
      </c>
      <c r="Y5114" s="12">
        <f>IF(OR(LEFT(K5114,4)="LVAX",LEFT(K5114,6)="MV15AX",LEFT(K5114,4)="CTAX",LEFT(K5114,2)="W|"),2*N5114*O5114,0)</f>
        <v/>
      </c>
      <c r="Z5114" s="12" t="inlineStr">
        <is>
          <t>VD 2.4 %</t>
        </is>
      </c>
      <c r="AA5114" s="12">
        <f>N5114*O5114</f>
        <v/>
      </c>
    </row>
    <row r="5115">
      <c r="A5115" s="12" t="inlineStr">
        <is>
          <t>I-P-0235</t>
        </is>
      </c>
      <c r="B5115" s="12" t="inlineStr">
        <is>
          <t>I</t>
        </is>
      </c>
      <c r="C5115" s="12" t="inlineStr">
        <is>
          <t>Modular / portable power</t>
        </is>
      </c>
      <c r="D5115" s="12" t="inlineStr">
        <is>
          <t>Motor 2 of 6, 22 kW</t>
        </is>
      </c>
      <c r="E5115" s="12" t="inlineStr"/>
      <c r="F5115" s="12" t="inlineStr">
        <is>
          <t>MOD-LV 480 V board + 480 V : 13.8 kV step-up</t>
        </is>
      </c>
      <c r="G5115" s="12" t="inlineStr">
        <is>
          <t>TM-2</t>
        </is>
      </c>
      <c r="H5115" s="12" t="inlineStr">
        <is>
          <t>TM-2: trailer-mounted aeroderivative GT (TM2500 class, ~35 MW)</t>
        </is>
      </c>
      <c r="I5115" s="12" t="inlineStr">
        <is>
          <t>LV 600 V</t>
        </is>
      </c>
      <c r="J5115" s="12" t="inlineStr">
        <is>
          <t>Type TC-ER 600 V 3/C Cu XHHW-2 + ground, PVC jacket</t>
        </is>
      </c>
      <c r="K5115" s="12" t="inlineStr">
        <is>
          <t>LV|3/C+G|4/0</t>
        </is>
      </c>
      <c r="L5115" s="12" t="inlineStr">
        <is>
          <t>3/C+G</t>
        </is>
      </c>
      <c r="M5115" s="12" t="inlineStr">
        <is>
          <t>4/0</t>
        </is>
      </c>
      <c r="N5115" s="12" t="n">
        <v>1</v>
      </c>
      <c r="O5115" s="12" t="n">
        <v>1</v>
      </c>
      <c r="P5115" s="12" t="n">
        <v>480</v>
      </c>
      <c r="Q5115" s="12" t="n">
        <v>22</v>
      </c>
      <c r="R5115" s="12" t="n">
        <v>31.1</v>
      </c>
      <c r="S5115" s="12" t="inlineStr">
        <is>
          <t>Duct bank</t>
        </is>
      </c>
      <c r="T5115" s="17" t="n">
        <v>3178</v>
      </c>
      <c r="U5115" s="17" t="n">
        <v>74</v>
      </c>
      <c r="V5115" s="17">
        <f>ROUNDUP((T5115+U5115+2*'Read Me'!$B$13)*(1+'Read Me'!$B$12),-1)</f>
        <v/>
      </c>
      <c r="W5115" s="17">
        <f>V5115*N5115*O5115</f>
        <v/>
      </c>
      <c r="X5115" s="12">
        <f>IF(LEFT(I5115,2)="MV",2*N5115*IF(L5115="1/C",O5115,1),0)</f>
        <v/>
      </c>
      <c r="Y5115" s="12">
        <f>IF(OR(LEFT(K5115,4)="LVAX",LEFT(K5115,6)="MV15AX",LEFT(K5115,4)="CTAX",LEFT(K5115,2)="W|"),2*N5115*O5115,0)</f>
        <v/>
      </c>
      <c r="Z5115" s="12" t="inlineStr">
        <is>
          <t>VD 2.4 %</t>
        </is>
      </c>
      <c r="AA5115" s="12">
        <f>N5115*O5115</f>
        <v/>
      </c>
    </row>
    <row r="5116">
      <c r="A5116" s="12" t="inlineStr">
        <is>
          <t>I-P-0236</t>
        </is>
      </c>
      <c r="B5116" s="12" t="inlineStr">
        <is>
          <t>I</t>
        </is>
      </c>
      <c r="C5116" s="12" t="inlineStr">
        <is>
          <t>Modular / portable power</t>
        </is>
      </c>
      <c r="D5116" s="12" t="inlineStr">
        <is>
          <t>Motor 3 of 6, 22 kW</t>
        </is>
      </c>
      <c r="E5116" s="12" t="inlineStr"/>
      <c r="F5116" s="12" t="inlineStr">
        <is>
          <t>MOD-LV 480 V board + 480 V : 13.8 kV step-up</t>
        </is>
      </c>
      <c r="G5116" s="12" t="inlineStr">
        <is>
          <t>TM-2</t>
        </is>
      </c>
      <c r="H5116" s="12" t="inlineStr">
        <is>
          <t>TM-2: trailer-mounted aeroderivative GT (TM2500 class, ~35 MW)</t>
        </is>
      </c>
      <c r="I5116" s="12" t="inlineStr">
        <is>
          <t>LV 600 V</t>
        </is>
      </c>
      <c r="J5116" s="12" t="inlineStr">
        <is>
          <t>Type TC-ER 600 V 3/C Cu XHHW-2 + ground, PVC jacket</t>
        </is>
      </c>
      <c r="K5116" s="12" t="inlineStr">
        <is>
          <t>LV|3/C+G|4/0</t>
        </is>
      </c>
      <c r="L5116" s="12" t="inlineStr">
        <is>
          <t>3/C+G</t>
        </is>
      </c>
      <c r="M5116" s="12" t="inlineStr">
        <is>
          <t>4/0</t>
        </is>
      </c>
      <c r="N5116" s="12" t="n">
        <v>1</v>
      </c>
      <c r="O5116" s="12" t="n">
        <v>1</v>
      </c>
      <c r="P5116" s="12" t="n">
        <v>480</v>
      </c>
      <c r="Q5116" s="12" t="n">
        <v>22</v>
      </c>
      <c r="R5116" s="12" t="n">
        <v>31.1</v>
      </c>
      <c r="S5116" s="12" t="inlineStr">
        <is>
          <t>Duct bank</t>
        </is>
      </c>
      <c r="T5116" s="17" t="n">
        <v>3178</v>
      </c>
      <c r="U5116" s="17" t="n">
        <v>74</v>
      </c>
      <c r="V5116" s="17">
        <f>ROUNDUP((T5116+U5116+2*'Read Me'!$B$13)*(1+'Read Me'!$B$12),-1)</f>
        <v/>
      </c>
      <c r="W5116" s="17">
        <f>V5116*N5116*O5116</f>
        <v/>
      </c>
      <c r="X5116" s="12">
        <f>IF(LEFT(I5116,2)="MV",2*N5116*IF(L5116="1/C",O5116,1),0)</f>
        <v/>
      </c>
      <c r="Y5116" s="12">
        <f>IF(OR(LEFT(K5116,4)="LVAX",LEFT(K5116,6)="MV15AX",LEFT(K5116,4)="CTAX",LEFT(K5116,2)="W|"),2*N5116*O5116,0)</f>
        <v/>
      </c>
      <c r="Z5116" s="12" t="inlineStr">
        <is>
          <t>VD 2.4 %</t>
        </is>
      </c>
      <c r="AA5116" s="12">
        <f>N5116*O5116</f>
        <v/>
      </c>
    </row>
    <row r="5117">
      <c r="A5117" s="12" t="inlineStr">
        <is>
          <t>I-P-0237</t>
        </is>
      </c>
      <c r="B5117" s="12" t="inlineStr">
        <is>
          <t>I</t>
        </is>
      </c>
      <c r="C5117" s="12" t="inlineStr">
        <is>
          <t>Modular / portable power</t>
        </is>
      </c>
      <c r="D5117" s="12" t="inlineStr">
        <is>
          <t>Motor 4 of 6, 22 kW</t>
        </is>
      </c>
      <c r="E5117" s="12" t="inlineStr"/>
      <c r="F5117" s="12" t="inlineStr">
        <is>
          <t>MOD-LV 480 V board + 480 V : 13.8 kV step-up</t>
        </is>
      </c>
      <c r="G5117" s="12" t="inlineStr">
        <is>
          <t>TM-2</t>
        </is>
      </c>
      <c r="H5117" s="12" t="inlineStr">
        <is>
          <t>TM-2: trailer-mounted aeroderivative GT (TM2500 class, ~35 MW)</t>
        </is>
      </c>
      <c r="I5117" s="12" t="inlineStr">
        <is>
          <t>LV 600 V</t>
        </is>
      </c>
      <c r="J5117" s="12" t="inlineStr">
        <is>
          <t>Type TC-ER 600 V 3/C Cu XHHW-2 + ground, PVC jacket</t>
        </is>
      </c>
      <c r="K5117" s="12" t="inlineStr">
        <is>
          <t>LV|3/C+G|4/0</t>
        </is>
      </c>
      <c r="L5117" s="12" t="inlineStr">
        <is>
          <t>3/C+G</t>
        </is>
      </c>
      <c r="M5117" s="12" t="inlineStr">
        <is>
          <t>4/0</t>
        </is>
      </c>
      <c r="N5117" s="12" t="n">
        <v>1</v>
      </c>
      <c r="O5117" s="12" t="n">
        <v>1</v>
      </c>
      <c r="P5117" s="12" t="n">
        <v>480</v>
      </c>
      <c r="Q5117" s="12" t="n">
        <v>22</v>
      </c>
      <c r="R5117" s="12" t="n">
        <v>31.1</v>
      </c>
      <c r="S5117" s="12" t="inlineStr">
        <is>
          <t>Duct bank</t>
        </is>
      </c>
      <c r="T5117" s="17" t="n">
        <v>3178</v>
      </c>
      <c r="U5117" s="17" t="n">
        <v>74</v>
      </c>
      <c r="V5117" s="17">
        <f>ROUNDUP((T5117+U5117+2*'Read Me'!$B$13)*(1+'Read Me'!$B$12),-1)</f>
        <v/>
      </c>
      <c r="W5117" s="17">
        <f>V5117*N5117*O5117</f>
        <v/>
      </c>
      <c r="X5117" s="12">
        <f>IF(LEFT(I5117,2)="MV",2*N5117*IF(L5117="1/C",O5117,1),0)</f>
        <v/>
      </c>
      <c r="Y5117" s="12">
        <f>IF(OR(LEFT(K5117,4)="LVAX",LEFT(K5117,6)="MV15AX",LEFT(K5117,4)="CTAX",LEFT(K5117,2)="W|"),2*N5117*O5117,0)</f>
        <v/>
      </c>
      <c r="Z5117" s="12" t="inlineStr">
        <is>
          <t>VD 2.4 %</t>
        </is>
      </c>
      <c r="AA5117" s="12">
        <f>N5117*O5117</f>
        <v/>
      </c>
    </row>
    <row r="5118">
      <c r="A5118" s="12" t="inlineStr">
        <is>
          <t>I-P-0238</t>
        </is>
      </c>
      <c r="B5118" s="12" t="inlineStr">
        <is>
          <t>I</t>
        </is>
      </c>
      <c r="C5118" s="12" t="inlineStr">
        <is>
          <t>Modular / portable power</t>
        </is>
      </c>
      <c r="D5118" s="12" t="inlineStr">
        <is>
          <t>Motor 5 of 6, 22 kW</t>
        </is>
      </c>
      <c r="E5118" s="12" t="inlineStr"/>
      <c r="F5118" s="12" t="inlineStr">
        <is>
          <t>MOD-LV 480 V board + 480 V : 13.8 kV step-up</t>
        </is>
      </c>
      <c r="G5118" s="12" t="inlineStr">
        <is>
          <t>TM-2</t>
        </is>
      </c>
      <c r="H5118" s="12" t="inlineStr">
        <is>
          <t>TM-2: trailer-mounted aeroderivative GT (TM2500 class, ~35 MW)</t>
        </is>
      </c>
      <c r="I5118" s="12" t="inlineStr">
        <is>
          <t>LV 600 V</t>
        </is>
      </c>
      <c r="J5118" s="12" t="inlineStr">
        <is>
          <t>Type TC-ER 600 V 3/C Cu XHHW-2 + ground, PVC jacket</t>
        </is>
      </c>
      <c r="K5118" s="12" t="inlineStr">
        <is>
          <t>LV|3/C+G|4/0</t>
        </is>
      </c>
      <c r="L5118" s="12" t="inlineStr">
        <is>
          <t>3/C+G</t>
        </is>
      </c>
      <c r="M5118" s="12" t="inlineStr">
        <is>
          <t>4/0</t>
        </is>
      </c>
      <c r="N5118" s="12" t="n">
        <v>1</v>
      </c>
      <c r="O5118" s="12" t="n">
        <v>1</v>
      </c>
      <c r="P5118" s="12" t="n">
        <v>480</v>
      </c>
      <c r="Q5118" s="12" t="n">
        <v>22</v>
      </c>
      <c r="R5118" s="12" t="n">
        <v>31.1</v>
      </c>
      <c r="S5118" s="12" t="inlineStr">
        <is>
          <t>Duct bank</t>
        </is>
      </c>
      <c r="T5118" s="17" t="n">
        <v>3178</v>
      </c>
      <c r="U5118" s="17" t="n">
        <v>74</v>
      </c>
      <c r="V5118" s="17">
        <f>ROUNDUP((T5118+U5118+2*'Read Me'!$B$13)*(1+'Read Me'!$B$12),-1)</f>
        <v/>
      </c>
      <c r="W5118" s="17">
        <f>V5118*N5118*O5118</f>
        <v/>
      </c>
      <c r="X5118" s="12">
        <f>IF(LEFT(I5118,2)="MV",2*N5118*IF(L5118="1/C",O5118,1),0)</f>
        <v/>
      </c>
      <c r="Y5118" s="12">
        <f>IF(OR(LEFT(K5118,4)="LVAX",LEFT(K5118,6)="MV15AX",LEFT(K5118,4)="CTAX",LEFT(K5118,2)="W|"),2*N5118*O5118,0)</f>
        <v/>
      </c>
      <c r="Z5118" s="12" t="inlineStr">
        <is>
          <t>VD 2.4 %</t>
        </is>
      </c>
      <c r="AA5118" s="12">
        <f>N5118*O5118</f>
        <v/>
      </c>
    </row>
    <row r="5119">
      <c r="A5119" s="12" t="inlineStr">
        <is>
          <t>I-P-0239</t>
        </is>
      </c>
      <c r="B5119" s="12" t="inlineStr">
        <is>
          <t>I</t>
        </is>
      </c>
      <c r="C5119" s="12" t="inlineStr">
        <is>
          <t>Modular / portable power</t>
        </is>
      </c>
      <c r="D5119" s="12" t="inlineStr">
        <is>
          <t>Motor 6 of 6, 22 kW</t>
        </is>
      </c>
      <c r="E5119" s="12" t="inlineStr"/>
      <c r="F5119" s="12" t="inlineStr">
        <is>
          <t>MOD-LV 480 V board + 480 V : 13.8 kV step-up</t>
        </is>
      </c>
      <c r="G5119" s="12" t="inlineStr">
        <is>
          <t>TM-2</t>
        </is>
      </c>
      <c r="H5119" s="12" t="inlineStr">
        <is>
          <t>TM-2: trailer-mounted aeroderivative GT (TM2500 class, ~35 MW)</t>
        </is>
      </c>
      <c r="I5119" s="12" t="inlineStr">
        <is>
          <t>LV 600 V</t>
        </is>
      </c>
      <c r="J5119" s="12" t="inlineStr">
        <is>
          <t>Type TC-ER 600 V 3/C Cu XHHW-2 + ground, PVC jacket</t>
        </is>
      </c>
      <c r="K5119" s="12" t="inlineStr">
        <is>
          <t>LV|3/C+G|4/0</t>
        </is>
      </c>
      <c r="L5119" s="12" t="inlineStr">
        <is>
          <t>3/C+G</t>
        </is>
      </c>
      <c r="M5119" s="12" t="inlineStr">
        <is>
          <t>4/0</t>
        </is>
      </c>
      <c r="N5119" s="12" t="n">
        <v>1</v>
      </c>
      <c r="O5119" s="12" t="n">
        <v>1</v>
      </c>
      <c r="P5119" s="12" t="n">
        <v>480</v>
      </c>
      <c r="Q5119" s="12" t="n">
        <v>22</v>
      </c>
      <c r="R5119" s="12" t="n">
        <v>31.1</v>
      </c>
      <c r="S5119" s="12" t="inlineStr">
        <is>
          <t>Duct bank</t>
        </is>
      </c>
      <c r="T5119" s="17" t="n">
        <v>3178</v>
      </c>
      <c r="U5119" s="17" t="n">
        <v>74</v>
      </c>
      <c r="V5119" s="17">
        <f>ROUNDUP((T5119+U5119+2*'Read Me'!$B$13)*(1+'Read Me'!$B$12),-1)</f>
        <v/>
      </c>
      <c r="W5119" s="17">
        <f>V5119*N5119*O5119</f>
        <v/>
      </c>
      <c r="X5119" s="12">
        <f>IF(LEFT(I5119,2)="MV",2*N5119*IF(L5119="1/C",O5119,1),0)</f>
        <v/>
      </c>
      <c r="Y5119" s="12">
        <f>IF(OR(LEFT(K5119,4)="LVAX",LEFT(K5119,6)="MV15AX",LEFT(K5119,4)="CTAX",LEFT(K5119,2)="W|"),2*N5119*O5119,0)</f>
        <v/>
      </c>
      <c r="Z5119" s="12" t="inlineStr">
        <is>
          <t>VD 2.4 %</t>
        </is>
      </c>
      <c r="AA5119" s="12">
        <f>N5119*O5119</f>
        <v/>
      </c>
    </row>
    <row r="5120">
      <c r="A5120" s="12" t="inlineStr">
        <is>
          <t>I-P-0240</t>
        </is>
      </c>
      <c r="B5120" s="12" t="inlineStr">
        <is>
          <t>I</t>
        </is>
      </c>
      <c r="C5120" s="12" t="inlineStr">
        <is>
          <t>Modular / portable power</t>
        </is>
      </c>
      <c r="D5120" s="12" t="inlineStr">
        <is>
          <t>LV power feeder</t>
        </is>
      </c>
      <c r="E5120" s="12" t="inlineStr"/>
      <c r="F5120" s="12" t="inlineStr">
        <is>
          <t>MOD-LV 480 V board + 480 V : 13.8 kV step-up</t>
        </is>
      </c>
      <c r="G5120" s="12" t="inlineStr"/>
      <c r="H5120" s="12" t="inlineStr">
        <is>
          <t>Water-injection skid</t>
        </is>
      </c>
      <c r="I5120" s="12" t="inlineStr">
        <is>
          <t>LV 600 V</t>
        </is>
      </c>
      <c r="J5120" s="12" t="inlineStr">
        <is>
          <t>Type TC-ER 600 V 3/C Cu XHHW-2 + ground, PVC jacket</t>
        </is>
      </c>
      <c r="K5120" s="12" t="inlineStr">
        <is>
          <t>LV|3/C+G|3/0</t>
        </is>
      </c>
      <c r="L5120" s="12" t="inlineStr">
        <is>
          <t>3/C+G</t>
        </is>
      </c>
      <c r="M5120" s="12" t="inlineStr">
        <is>
          <t>3/0</t>
        </is>
      </c>
      <c r="N5120" s="12" t="n">
        <v>1</v>
      </c>
      <c r="O5120" s="12" t="n">
        <v>1</v>
      </c>
      <c r="P5120" s="12" t="n">
        <v>480</v>
      </c>
      <c r="Q5120" s="12" t="n">
        <v>15</v>
      </c>
      <c r="R5120" s="12" t="n">
        <v>21.2</v>
      </c>
      <c r="S5120" s="12" t="inlineStr">
        <is>
          <t>HV duct bank</t>
        </is>
      </c>
      <c r="T5120" s="17" t="n">
        <v>4291</v>
      </c>
      <c r="U5120" s="17" t="n">
        <v>53</v>
      </c>
      <c r="V5120" s="17">
        <f>ROUNDUP((T5120+U5120+2*'Read Me'!$B$13)*(1+'Read Me'!$B$12),-1)</f>
        <v/>
      </c>
      <c r="W5120" s="17">
        <f>V5120*N5120*O5120</f>
        <v/>
      </c>
      <c r="X5120" s="12">
        <f>IF(LEFT(I5120,2)="MV",2*N5120*IF(L5120="1/C",O5120,1),0)</f>
        <v/>
      </c>
      <c r="Y5120" s="12">
        <f>IF(OR(LEFT(K5120,4)="LVAX",LEFT(K5120,6)="MV15AX",LEFT(K5120,4)="CTAX",LEFT(K5120,2)="W|"),2*N5120*O5120,0)</f>
        <v/>
      </c>
      <c r="Z5120" s="12" t="inlineStr">
        <is>
          <t>VD 2.8 %</t>
        </is>
      </c>
      <c r="AA5120" s="12">
        <f>N5120*O5120</f>
        <v/>
      </c>
    </row>
    <row r="5121">
      <c r="A5121" s="12" t="inlineStr">
        <is>
          <t>I-MV-0001</t>
        </is>
      </c>
      <c r="B5121" s="12" t="inlineStr">
        <is>
          <t>I</t>
        </is>
      </c>
      <c r="C5121" s="12" t="inlineStr">
        <is>
          <t>Modular / portable power</t>
        </is>
      </c>
      <c r="D5121" s="12" t="inlineStr">
        <is>
          <t>Modular-yard fuel-gas compressor</t>
        </is>
      </c>
      <c r="E5121" s="12" t="inlineStr">
        <is>
          <t>MOD-EH</t>
        </is>
      </c>
      <c r="F5121" s="12" t="inlineStr">
        <is>
          <t>MOD-EH: 13.8 kV modular collector e-house</t>
        </is>
      </c>
      <c r="G5121" s="12" t="inlineStr"/>
      <c r="H5121" s="12" t="inlineStr">
        <is>
          <t>Fuel-gas compressors 3 x 100% electric</t>
        </is>
      </c>
      <c r="I5121" s="12" t="inlineStr">
        <is>
          <t>MV 15 kV</t>
        </is>
      </c>
      <c r="J5121" s="12" t="inlineStr">
        <is>
          <t>ARMOR-X MC-HL / MV-105 15 kV 3/C Cu, EPR 133%, tape shield, gnd, CWA, red PVC</t>
        </is>
      </c>
      <c r="K5121" s="12" t="inlineStr">
        <is>
          <t>MV15AX|3/C|2</t>
        </is>
      </c>
      <c r="L5121" s="12" t="inlineStr">
        <is>
          <t>3/C</t>
        </is>
      </c>
      <c r="M5121" s="12" t="inlineStr">
        <is>
          <t>2</t>
        </is>
      </c>
      <c r="N5121" s="12" t="n">
        <v>1</v>
      </c>
      <c r="O5121" s="12" t="n">
        <v>1</v>
      </c>
      <c r="P5121" s="12" t="n">
        <v>13800</v>
      </c>
      <c r="Q5121" s="12" t="n">
        <v>1500</v>
      </c>
      <c r="R5121" s="12" t="n">
        <v>70</v>
      </c>
      <c r="S5121" s="12" t="inlineStr">
        <is>
          <t>HV duct bank</t>
        </is>
      </c>
      <c r="T5121" s="17" t="n">
        <v>3974</v>
      </c>
      <c r="U5121" s="17" t="n">
        <v>114</v>
      </c>
      <c r="V5121" s="17">
        <f>ROUNDUP((T5121+U5121+2*'Read Me'!$B$13)*(1+'Read Me'!$B$12),-1)</f>
        <v/>
      </c>
      <c r="W5121" s="17">
        <f>V5121*N5121*O5121</f>
        <v/>
      </c>
      <c r="X5121" s="12">
        <f>IF(LEFT(I5121,2)="MV",2*N5121*IF(L5121="1/C",O5121,1),0)</f>
        <v/>
      </c>
      <c r="Y5121" s="12">
        <f>IF(OR(LEFT(K5121,4)="LVAX",LEFT(K5121,6)="MV15AX",LEFT(K5121,4)="CTAX",LEFT(K5121,2)="W|"),2*N5121*O5121,0)</f>
        <v/>
      </c>
      <c r="Z5121" s="12" t="inlineStr"/>
      <c r="AA5121" s="12">
        <f>N5121*O5121</f>
        <v/>
      </c>
    </row>
    <row r="5122">
      <c r="A5122" s="12" t="inlineStr">
        <is>
          <t>I-MV-0002</t>
        </is>
      </c>
      <c r="B5122" s="12" t="inlineStr">
        <is>
          <t>I</t>
        </is>
      </c>
      <c r="C5122" s="12" t="inlineStr">
        <is>
          <t>Modular / portable power</t>
        </is>
      </c>
      <c r="D5122" s="12" t="inlineStr">
        <is>
          <t>Modular-yard fuel-gas compressor</t>
        </is>
      </c>
      <c r="E5122" s="12" t="inlineStr">
        <is>
          <t>MOD-EH</t>
        </is>
      </c>
      <c r="F5122" s="12" t="inlineStr">
        <is>
          <t>MOD-EH: 13.8 kV modular collector e-house</t>
        </is>
      </c>
      <c r="G5122" s="12" t="inlineStr"/>
      <c r="H5122" s="12" t="inlineStr">
        <is>
          <t>Fuel-gas compressors 3 x 100% electric</t>
        </is>
      </c>
      <c r="I5122" s="12" t="inlineStr">
        <is>
          <t>MV 15 kV</t>
        </is>
      </c>
      <c r="J5122" s="12" t="inlineStr">
        <is>
          <t>ARMOR-X MC-HL / MV-105 15 kV 3/C Cu, EPR 133%, tape shield, gnd, CWA, red PVC</t>
        </is>
      </c>
      <c r="K5122" s="12" t="inlineStr">
        <is>
          <t>MV15AX|3/C|2</t>
        </is>
      </c>
      <c r="L5122" s="12" t="inlineStr">
        <is>
          <t>3/C</t>
        </is>
      </c>
      <c r="M5122" s="12" t="inlineStr">
        <is>
          <t>2</t>
        </is>
      </c>
      <c r="N5122" s="12" t="n">
        <v>1</v>
      </c>
      <c r="O5122" s="12" t="n">
        <v>1</v>
      </c>
      <c r="P5122" s="12" t="n">
        <v>13800</v>
      </c>
      <c r="Q5122" s="12" t="n">
        <v>1500</v>
      </c>
      <c r="R5122" s="12" t="n">
        <v>70</v>
      </c>
      <c r="S5122" s="12" t="inlineStr">
        <is>
          <t>HV duct bank</t>
        </is>
      </c>
      <c r="T5122" s="17" t="n">
        <v>3974</v>
      </c>
      <c r="U5122" s="17" t="n">
        <v>114</v>
      </c>
      <c r="V5122" s="17">
        <f>ROUNDUP((T5122+U5122+2*'Read Me'!$B$13)*(1+'Read Me'!$B$12),-1)</f>
        <v/>
      </c>
      <c r="W5122" s="17">
        <f>V5122*N5122*O5122</f>
        <v/>
      </c>
      <c r="X5122" s="12">
        <f>IF(LEFT(I5122,2)="MV",2*N5122*IF(L5122="1/C",O5122,1),0)</f>
        <v/>
      </c>
      <c r="Y5122" s="12">
        <f>IF(OR(LEFT(K5122,4)="LVAX",LEFT(K5122,6)="MV15AX",LEFT(K5122,4)="CTAX",LEFT(K5122,2)="W|"),2*N5122*O5122,0)</f>
        <v/>
      </c>
      <c r="Z5122" s="12" t="inlineStr"/>
      <c r="AA5122" s="12">
        <f>N5122*O5122</f>
        <v/>
      </c>
    </row>
    <row r="5123">
      <c r="A5123" s="12" t="inlineStr">
        <is>
          <t>I-MV-0003</t>
        </is>
      </c>
      <c r="B5123" s="12" t="inlineStr">
        <is>
          <t>I</t>
        </is>
      </c>
      <c r="C5123" s="12" t="inlineStr">
        <is>
          <t>Modular / portable power</t>
        </is>
      </c>
      <c r="D5123" s="12" t="inlineStr">
        <is>
          <t>Modular-yard fuel-gas compressor</t>
        </is>
      </c>
      <c r="E5123" s="12" t="inlineStr">
        <is>
          <t>MOD-EH</t>
        </is>
      </c>
      <c r="F5123" s="12" t="inlineStr">
        <is>
          <t>MOD-EH: 13.8 kV modular collector e-house</t>
        </is>
      </c>
      <c r="G5123" s="12" t="inlineStr"/>
      <c r="H5123" s="12" t="inlineStr">
        <is>
          <t>Fuel-gas compressors 3 x 100% electric</t>
        </is>
      </c>
      <c r="I5123" s="12" t="inlineStr">
        <is>
          <t>MV 15 kV</t>
        </is>
      </c>
      <c r="J5123" s="12" t="inlineStr">
        <is>
          <t>ARMOR-X MC-HL / MV-105 15 kV 3/C Cu, EPR 133%, tape shield, gnd, CWA, red PVC</t>
        </is>
      </c>
      <c r="K5123" s="12" t="inlineStr">
        <is>
          <t>MV15AX|3/C|2</t>
        </is>
      </c>
      <c r="L5123" s="12" t="inlineStr">
        <is>
          <t>3/C</t>
        </is>
      </c>
      <c r="M5123" s="12" t="inlineStr">
        <is>
          <t>2</t>
        </is>
      </c>
      <c r="N5123" s="12" t="n">
        <v>1</v>
      </c>
      <c r="O5123" s="12" t="n">
        <v>1</v>
      </c>
      <c r="P5123" s="12" t="n">
        <v>13800</v>
      </c>
      <c r="Q5123" s="12" t="n">
        <v>1500</v>
      </c>
      <c r="R5123" s="12" t="n">
        <v>70</v>
      </c>
      <c r="S5123" s="12" t="inlineStr">
        <is>
          <t>HV duct bank</t>
        </is>
      </c>
      <c r="T5123" s="17" t="n">
        <v>3974</v>
      </c>
      <c r="U5123" s="17" t="n">
        <v>114</v>
      </c>
      <c r="V5123" s="17">
        <f>ROUNDUP((T5123+U5123+2*'Read Me'!$B$13)*(1+'Read Me'!$B$12),-1)</f>
        <v/>
      </c>
      <c r="W5123" s="17">
        <f>V5123*N5123*O5123</f>
        <v/>
      </c>
      <c r="X5123" s="12">
        <f>IF(LEFT(I5123,2)="MV",2*N5123*IF(L5123="1/C",O5123,1),0)</f>
        <v/>
      </c>
      <c r="Y5123" s="12">
        <f>IF(OR(LEFT(K5123,4)="LVAX",LEFT(K5123,6)="MV15AX",LEFT(K5123,4)="CTAX",LEFT(K5123,2)="W|"),2*N5123*O5123,0)</f>
        <v/>
      </c>
      <c r="Z5123" s="12" t="inlineStr"/>
      <c r="AA5123" s="12">
        <f>N5123*O5123</f>
        <v/>
      </c>
    </row>
    <row r="5124">
      <c r="A5124" s="12" t="inlineStr">
        <is>
          <t>I-MV-0004</t>
        </is>
      </c>
      <c r="B5124" s="12" t="inlineStr">
        <is>
          <t>I</t>
        </is>
      </c>
      <c r="C5124" s="12" t="inlineStr">
        <is>
          <t>Modular / portable power</t>
        </is>
      </c>
      <c r="D5124" s="12" t="inlineStr">
        <is>
          <t>SC-1 PCM to MOD-EH</t>
        </is>
      </c>
      <c r="E5124" s="12" t="inlineStr"/>
      <c r="F5124" s="12" t="inlineStr">
        <is>
          <t>SC-1 PCM + 15 kV GCB</t>
        </is>
      </c>
      <c r="G5124" s="12" t="inlineStr">
        <is>
          <t>MOD-EH</t>
        </is>
      </c>
      <c r="H5124" s="12" t="inlineStr">
        <is>
          <t>MOD-EH: 13.8 kV modular collector e-house</t>
        </is>
      </c>
      <c r="I5124" s="12" t="inlineStr">
        <is>
          <t>MV 15 kV</t>
        </is>
      </c>
      <c r="J5124" s="12" t="inlineStr">
        <is>
          <t>MV-105 15 kV 1/C Cu, EPR 133%, Cu tape shield, PVC jacket (triplexed)</t>
        </is>
      </c>
      <c r="K5124" s="12" t="inlineStr">
        <is>
          <t>MV15|1/C|750</t>
        </is>
      </c>
      <c r="L5124" s="12" t="inlineStr">
        <is>
          <t>1/C</t>
        </is>
      </c>
      <c r="M5124" s="12" t="inlineStr">
        <is>
          <t>750 kcmil</t>
        </is>
      </c>
      <c r="N5124" s="12" t="n">
        <v>5</v>
      </c>
      <c r="O5124" s="12" t="n">
        <v>3</v>
      </c>
      <c r="P5124" s="12" t="n">
        <v>13800</v>
      </c>
      <c r="Q5124" s="12" t="n">
        <v>50000</v>
      </c>
      <c r="R5124" s="12" t="n">
        <v>2092</v>
      </c>
      <c r="S5124" s="12" t="inlineStr">
        <is>
          <t>Duct bank</t>
        </is>
      </c>
      <c r="T5124" s="17" t="n">
        <v>397</v>
      </c>
      <c r="U5124" s="17" t="n">
        <v>32</v>
      </c>
      <c r="V5124" s="17">
        <f>ROUNDUP((T5124+U5124+2*'Read Me'!$B$13)*(1+'Read Me'!$B$12),-1)</f>
        <v/>
      </c>
      <c r="W5124" s="17">
        <f>V5124*N5124*O5124</f>
        <v/>
      </c>
      <c r="X5124" s="12">
        <f>IF(LEFT(I5124,2)="MV",2*N5124*IF(L5124="1/C",O5124,1),0)</f>
        <v/>
      </c>
      <c r="Y5124" s="12">
        <f>IF(OR(LEFT(K5124,4)="LVAX",LEFT(K5124,6)="MV15AX",LEFT(K5124,4)="CTAX",LEFT(K5124,2)="W|"),2*N5124*O5124,0)</f>
        <v/>
      </c>
      <c r="Z5124" s="12" t="inlineStr"/>
      <c r="AA5124" s="12">
        <f>N5124*O5124</f>
        <v/>
      </c>
    </row>
    <row r="5125">
      <c r="A5125" s="12" t="inlineStr">
        <is>
          <t>I-MV-0005</t>
        </is>
      </c>
      <c r="B5125" s="12" t="inlineStr">
        <is>
          <t>I</t>
        </is>
      </c>
      <c r="C5125" s="12" t="inlineStr">
        <is>
          <t>Modular / portable power</t>
        </is>
      </c>
      <c r="D5125" s="12" t="inlineStr">
        <is>
          <t>SC-2 PCM to MOD-EH</t>
        </is>
      </c>
      <c r="E5125" s="12" t="inlineStr"/>
      <c r="F5125" s="12" t="inlineStr">
        <is>
          <t>SC-2 PCM + 15 kV GCB</t>
        </is>
      </c>
      <c r="G5125" s="12" t="inlineStr">
        <is>
          <t>MOD-EH</t>
        </is>
      </c>
      <c r="H5125" s="12" t="inlineStr">
        <is>
          <t>MOD-EH: 13.8 kV modular collector e-house</t>
        </is>
      </c>
      <c r="I5125" s="12" t="inlineStr">
        <is>
          <t>MV 15 kV</t>
        </is>
      </c>
      <c r="J5125" s="12" t="inlineStr">
        <is>
          <t>MV-105 15 kV 1/C Cu, EPR 133%, Cu tape shield, PVC jacket (triplexed)</t>
        </is>
      </c>
      <c r="K5125" s="12" t="inlineStr">
        <is>
          <t>MV15|1/C|750</t>
        </is>
      </c>
      <c r="L5125" s="12" t="inlineStr">
        <is>
          <t>1/C</t>
        </is>
      </c>
      <c r="M5125" s="12" t="inlineStr">
        <is>
          <t>750 kcmil</t>
        </is>
      </c>
      <c r="N5125" s="12" t="n">
        <v>5</v>
      </c>
      <c r="O5125" s="12" t="n">
        <v>3</v>
      </c>
      <c r="P5125" s="12" t="n">
        <v>13800</v>
      </c>
      <c r="Q5125" s="12" t="n">
        <v>50000</v>
      </c>
      <c r="R5125" s="12" t="n">
        <v>2092</v>
      </c>
      <c r="S5125" s="12" t="inlineStr">
        <is>
          <t>HV duct bank</t>
        </is>
      </c>
      <c r="T5125" s="17" t="n">
        <v>3974</v>
      </c>
      <c r="U5125" s="17" t="n">
        <v>38</v>
      </c>
      <c r="V5125" s="17">
        <f>ROUNDUP((T5125+U5125+2*'Read Me'!$B$13)*(1+'Read Me'!$B$12),-1)</f>
        <v/>
      </c>
      <c r="W5125" s="17">
        <f>V5125*N5125*O5125</f>
        <v/>
      </c>
      <c r="X5125" s="12">
        <f>IF(LEFT(I5125,2)="MV",2*N5125*IF(L5125="1/C",O5125,1),0)</f>
        <v/>
      </c>
      <c r="Y5125" s="12">
        <f>IF(OR(LEFT(K5125,4)="LVAX",LEFT(K5125,6)="MV15AX",LEFT(K5125,4)="CTAX",LEFT(K5125,2)="W|"),2*N5125*O5125,0)</f>
        <v/>
      </c>
      <c r="Z5125" s="12" t="inlineStr"/>
      <c r="AA5125" s="12">
        <f>N5125*O5125</f>
        <v/>
      </c>
    </row>
    <row r="5126">
      <c r="A5126" s="12" t="inlineStr">
        <is>
          <t>I-MV-0006</t>
        </is>
      </c>
      <c r="B5126" s="12" t="inlineStr">
        <is>
          <t>I</t>
        </is>
      </c>
      <c r="C5126" s="12" t="inlineStr">
        <is>
          <t>Modular / portable power</t>
        </is>
      </c>
      <c r="D5126" s="12" t="inlineStr">
        <is>
          <t>MOD-LV step-up to MOD-EH</t>
        </is>
      </c>
      <c r="E5126" s="12" t="inlineStr"/>
      <c r="F5126" s="12" t="inlineStr">
        <is>
          <t>MOD-LV 480 V board + 480 V : 13.8 kV step-up</t>
        </is>
      </c>
      <c r="G5126" s="12" t="inlineStr">
        <is>
          <t>MOD-EH</t>
        </is>
      </c>
      <c r="H5126" s="12" t="inlineStr">
        <is>
          <t>MOD-EH: 13.8 kV modular collector e-house</t>
        </is>
      </c>
      <c r="I5126" s="12" t="inlineStr">
        <is>
          <t>MV 15 kV</t>
        </is>
      </c>
      <c r="J5126" s="12" t="inlineStr">
        <is>
          <t>MV-105 15 kV 1/C Cu, EPR 133%, Cu tape shield, PVC jacket (triplexed)</t>
        </is>
      </c>
      <c r="K5126" s="12" t="inlineStr">
        <is>
          <t>MV15|1/C|500</t>
        </is>
      </c>
      <c r="L5126" s="12" t="inlineStr">
        <is>
          <t>1/C</t>
        </is>
      </c>
      <c r="M5126" s="12" t="inlineStr">
        <is>
          <t>500 kcmil</t>
        </is>
      </c>
      <c r="N5126" s="12" t="n">
        <v>1</v>
      </c>
      <c r="O5126" s="12" t="n">
        <v>3</v>
      </c>
      <c r="P5126" s="12" t="n">
        <v>13800</v>
      </c>
      <c r="Q5126" s="12" t="n">
        <v>7500</v>
      </c>
      <c r="R5126" s="12" t="n">
        <v>314</v>
      </c>
      <c r="S5126" s="12" t="inlineStr">
        <is>
          <t>Duct bank</t>
        </is>
      </c>
      <c r="T5126" s="17" t="n">
        <v>352</v>
      </c>
      <c r="U5126" s="17" t="n">
        <v>32</v>
      </c>
      <c r="V5126" s="17">
        <f>ROUNDUP((T5126+U5126+2*'Read Me'!$B$13)*(1+'Read Me'!$B$12),-1)</f>
        <v/>
      </c>
      <c r="W5126" s="17">
        <f>V5126*N5126*O5126</f>
        <v/>
      </c>
      <c r="X5126" s="12">
        <f>IF(LEFT(I5126,2)="MV",2*N5126*IF(L5126="1/C",O5126,1),0)</f>
        <v/>
      </c>
      <c r="Y5126" s="12">
        <f>IF(OR(LEFT(K5126,4)="LVAX",LEFT(K5126,6)="MV15AX",LEFT(K5126,4)="CTAX",LEFT(K5126,2)="W|"),2*N5126*O5126,0)</f>
        <v/>
      </c>
      <c r="Z5126" s="12" t="inlineStr"/>
      <c r="AA5126" s="12">
        <f>N5126*O5126</f>
        <v/>
      </c>
    </row>
    <row r="5127">
      <c r="A5127" s="12" t="inlineStr">
        <is>
          <t>I-MV-0007</t>
        </is>
      </c>
      <c r="B5127" s="12" t="inlineStr">
        <is>
          <t>I</t>
        </is>
      </c>
      <c r="C5127" s="12" t="inlineStr">
        <is>
          <t>Modular / portable power</t>
        </is>
      </c>
      <c r="D5127" s="12" t="inlineStr">
        <is>
          <t>CONT-3 13.8 kV to PAD-EH (extension section, ground tray)</t>
        </is>
      </c>
      <c r="E5127" s="12" t="inlineStr">
        <is>
          <t>CONT-3</t>
        </is>
      </c>
      <c r="F5127" s="12" t="inlineStr">
        <is>
          <t>CONT-3: containerized gas genset 13.8 kV (40 ft)</t>
        </is>
      </c>
      <c r="G5127" s="12" t="inlineStr">
        <is>
          <t>PAD-EH</t>
        </is>
      </c>
      <c r="H5127" s="12" t="inlineStr">
        <is>
          <t>PAD-EH 13.8 kV switchgear e-house</t>
        </is>
      </c>
      <c r="I5127" s="12" t="inlineStr">
        <is>
          <t>MV 15 kV</t>
        </is>
      </c>
      <c r="J5127" s="12" t="inlineStr">
        <is>
          <t>MV-105 15 kV 1/C Cu, EPR 133%, Cu tape shield, PVC jacket (triplexed)</t>
        </is>
      </c>
      <c r="K5127" s="12" t="inlineStr">
        <is>
          <t>MV15|1/C|2</t>
        </is>
      </c>
      <c r="L5127" s="12" t="inlineStr">
        <is>
          <t>1/C</t>
        </is>
      </c>
      <c r="M5127" s="12" t="inlineStr">
        <is>
          <t>2</t>
        </is>
      </c>
      <c r="N5127" s="12" t="n">
        <v>1</v>
      </c>
      <c r="O5127" s="12" t="n">
        <v>3</v>
      </c>
      <c r="P5127" s="12" t="n">
        <v>13800</v>
      </c>
      <c r="Q5127" s="12" t="n">
        <v>2000</v>
      </c>
      <c r="R5127" s="12" t="n">
        <v>93</v>
      </c>
      <c r="S5127" s="12" t="inlineStr">
        <is>
          <t>Surface</t>
        </is>
      </c>
      <c r="T5127" s="17" t="n">
        <v>191</v>
      </c>
      <c r="U5127" s="17" t="n">
        <v>32</v>
      </c>
      <c r="V5127" s="17">
        <f>ROUNDUP((T5127+U5127+2*'Read Me'!$B$13)*(1+'Read Me'!$B$12),-1)</f>
        <v/>
      </c>
      <c r="W5127" s="17">
        <f>V5127*N5127*O5127</f>
        <v/>
      </c>
      <c r="X5127" s="12">
        <f>IF(LEFT(I5127,2)="MV",2*N5127*IF(L5127="1/C",O5127,1),0)</f>
        <v/>
      </c>
      <c r="Y5127" s="12">
        <f>IF(OR(LEFT(K5127,4)="LVAX",LEFT(K5127,6)="MV15AX",LEFT(K5127,4)="CTAX",LEFT(K5127,2)="W|"),2*N5127*O5127,0)</f>
        <v/>
      </c>
      <c r="Z5127" s="12" t="inlineStr"/>
      <c r="AA5127" s="12">
        <f>N5127*O5127</f>
        <v/>
      </c>
    </row>
    <row r="5128">
      <c r="A5128" s="12" t="inlineStr">
        <is>
          <t>I-MV-0008</t>
        </is>
      </c>
      <c r="B5128" s="12" t="inlineStr">
        <is>
          <t>I</t>
        </is>
      </c>
      <c r="C5128" s="12" t="inlineStr">
        <is>
          <t>Modular / portable power</t>
        </is>
      </c>
      <c r="D5128" s="12" t="inlineStr">
        <is>
          <t>CONT-4 13.8 kV to PAD-EH (extension section, ground tray)</t>
        </is>
      </c>
      <c r="E5128" s="12" t="inlineStr">
        <is>
          <t>CONT-4</t>
        </is>
      </c>
      <c r="F5128" s="12" t="inlineStr">
        <is>
          <t>CONT-4: containerized gas genset 13.8 kV (40 ft)</t>
        </is>
      </c>
      <c r="G5128" s="12" t="inlineStr">
        <is>
          <t>PAD-EH</t>
        </is>
      </c>
      <c r="H5128" s="12" t="inlineStr">
        <is>
          <t>PAD-EH 13.8 kV switchgear e-house</t>
        </is>
      </c>
      <c r="I5128" s="12" t="inlineStr">
        <is>
          <t>MV 15 kV</t>
        </is>
      </c>
      <c r="J5128" s="12" t="inlineStr">
        <is>
          <t>MV-105 15 kV 1/C Cu, EPR 133%, Cu tape shield, PVC jacket (triplexed)</t>
        </is>
      </c>
      <c r="K5128" s="12" t="inlineStr">
        <is>
          <t>MV15|1/C|2</t>
        </is>
      </c>
      <c r="L5128" s="12" t="inlineStr">
        <is>
          <t>1/C</t>
        </is>
      </c>
      <c r="M5128" s="12" t="inlineStr">
        <is>
          <t>2</t>
        </is>
      </c>
      <c r="N5128" s="12" t="n">
        <v>1</v>
      </c>
      <c r="O5128" s="12" t="n">
        <v>3</v>
      </c>
      <c r="P5128" s="12" t="n">
        <v>13800</v>
      </c>
      <c r="Q5128" s="12" t="n">
        <v>2000</v>
      </c>
      <c r="R5128" s="12" t="n">
        <v>93</v>
      </c>
      <c r="S5128" s="12" t="inlineStr">
        <is>
          <t>Surface</t>
        </is>
      </c>
      <c r="T5128" s="17" t="n">
        <v>71</v>
      </c>
      <c r="U5128" s="17" t="n">
        <v>72</v>
      </c>
      <c r="V5128" s="17">
        <f>ROUNDUP((T5128+U5128+2*'Read Me'!$B$13)*(1+'Read Me'!$B$12),-1)</f>
        <v/>
      </c>
      <c r="W5128" s="17">
        <f>V5128*N5128*O5128</f>
        <v/>
      </c>
      <c r="X5128" s="12">
        <f>IF(LEFT(I5128,2)="MV",2*N5128*IF(L5128="1/C",O5128,1),0)</f>
        <v/>
      </c>
      <c r="Y5128" s="12">
        <f>IF(OR(LEFT(K5128,4)="LVAX",LEFT(K5128,6)="MV15AX",LEFT(K5128,4)="CTAX",LEFT(K5128,2)="W|"),2*N5128*O5128,0)</f>
        <v/>
      </c>
      <c r="Z5128" s="12" t="inlineStr"/>
      <c r="AA5128" s="12">
        <f>N5128*O5128</f>
        <v/>
      </c>
    </row>
    <row r="5129">
      <c r="A5129" s="12" t="inlineStr">
        <is>
          <t>I-MV-0009</t>
        </is>
      </c>
      <c r="B5129" s="12" t="inlineStr">
        <is>
          <t>I</t>
        </is>
      </c>
      <c r="C5129" s="12" t="inlineStr">
        <is>
          <t>Modular / portable power</t>
        </is>
      </c>
      <c r="D5129" s="12" t="inlineStr">
        <is>
          <t>CONT-5 13.8 kV to PAD-EH (extension section, ground tray)</t>
        </is>
      </c>
      <c r="E5129" s="12" t="inlineStr">
        <is>
          <t>CONT-5</t>
        </is>
      </c>
      <c r="F5129" s="12" t="inlineStr">
        <is>
          <t>CONT-5: containerized gas genset 13.8 kV (40 ft)</t>
        </is>
      </c>
      <c r="G5129" s="12" t="inlineStr">
        <is>
          <t>PAD-EH</t>
        </is>
      </c>
      <c r="H5129" s="12" t="inlineStr">
        <is>
          <t>PAD-EH 13.8 kV switchgear e-house</t>
        </is>
      </c>
      <c r="I5129" s="12" t="inlineStr">
        <is>
          <t>MV 15 kV</t>
        </is>
      </c>
      <c r="J5129" s="12" t="inlineStr">
        <is>
          <t>MV-105 15 kV 1/C Cu, EPR 133%, Cu tape shield, PVC jacket (triplexed)</t>
        </is>
      </c>
      <c r="K5129" s="12" t="inlineStr">
        <is>
          <t>MV15|1/C|2</t>
        </is>
      </c>
      <c r="L5129" s="12" t="inlineStr">
        <is>
          <t>1/C</t>
        </is>
      </c>
      <c r="M5129" s="12" t="inlineStr">
        <is>
          <t>2</t>
        </is>
      </c>
      <c r="N5129" s="12" t="n">
        <v>1</v>
      </c>
      <c r="O5129" s="12" t="n">
        <v>3</v>
      </c>
      <c r="P5129" s="12" t="n">
        <v>13800</v>
      </c>
      <c r="Q5129" s="12" t="n">
        <v>2000</v>
      </c>
      <c r="R5129" s="12" t="n">
        <v>93</v>
      </c>
      <c r="S5129" s="12" t="inlineStr">
        <is>
          <t>Duct bank</t>
        </is>
      </c>
      <c r="T5129" s="17" t="n">
        <v>47</v>
      </c>
      <c r="U5129" s="17" t="n">
        <v>36</v>
      </c>
      <c r="V5129" s="17">
        <f>ROUNDUP((T5129+U5129+2*'Read Me'!$B$13)*(1+'Read Me'!$B$12),-1)</f>
        <v/>
      </c>
      <c r="W5129" s="17">
        <f>V5129*N5129*O5129</f>
        <v/>
      </c>
      <c r="X5129" s="12">
        <f>IF(LEFT(I5129,2)="MV",2*N5129*IF(L5129="1/C",O5129,1),0)</f>
        <v/>
      </c>
      <c r="Y5129" s="12">
        <f>IF(OR(LEFT(K5129,4)="LVAX",LEFT(K5129,6)="MV15AX",LEFT(K5129,4)="CTAX",LEFT(K5129,2)="W|"),2*N5129*O5129,0)</f>
        <v/>
      </c>
      <c r="Z5129" s="12" t="inlineStr"/>
      <c r="AA5129" s="12">
        <f>N5129*O5129</f>
        <v/>
      </c>
    </row>
    <row r="5130">
      <c r="A5130" s="12" t="inlineStr">
        <is>
          <t>I-MV-0010</t>
        </is>
      </c>
      <c r="B5130" s="12" t="inlineStr">
        <is>
          <t>I</t>
        </is>
      </c>
      <c r="C5130" s="12" t="inlineStr">
        <is>
          <t>Modular / portable power</t>
        </is>
      </c>
      <c r="D5130" s="12" t="inlineStr">
        <is>
          <t>CONT-6 13.8 kV to PAD-EH (extension section, ground tray)</t>
        </is>
      </c>
      <c r="E5130" s="12" t="inlineStr">
        <is>
          <t>CONT-6</t>
        </is>
      </c>
      <c r="F5130" s="12" t="inlineStr">
        <is>
          <t>CONT-6: containerized gas genset 13.8 kV (40 ft)</t>
        </is>
      </c>
      <c r="G5130" s="12" t="inlineStr">
        <is>
          <t>PAD-EH</t>
        </is>
      </c>
      <c r="H5130" s="12" t="inlineStr">
        <is>
          <t>PAD-EH 13.8 kV switchgear e-house</t>
        </is>
      </c>
      <c r="I5130" s="12" t="inlineStr">
        <is>
          <t>MV 15 kV</t>
        </is>
      </c>
      <c r="J5130" s="12" t="inlineStr">
        <is>
          <t>MV-105 15 kV 1/C Cu, EPR 133%, Cu tape shield, PVC jacket (triplexed)</t>
        </is>
      </c>
      <c r="K5130" s="12" t="inlineStr">
        <is>
          <t>MV15|1/C|2</t>
        </is>
      </c>
      <c r="L5130" s="12" t="inlineStr">
        <is>
          <t>1/C</t>
        </is>
      </c>
      <c r="M5130" s="12" t="inlineStr">
        <is>
          <t>2</t>
        </is>
      </c>
      <c r="N5130" s="12" t="n">
        <v>1</v>
      </c>
      <c r="O5130" s="12" t="n">
        <v>3</v>
      </c>
      <c r="P5130" s="12" t="n">
        <v>13800</v>
      </c>
      <c r="Q5130" s="12" t="n">
        <v>2000</v>
      </c>
      <c r="R5130" s="12" t="n">
        <v>93</v>
      </c>
      <c r="S5130" s="12" t="inlineStr">
        <is>
          <t>Surface</t>
        </is>
      </c>
      <c r="T5130" s="17" t="n">
        <v>242</v>
      </c>
      <c r="U5130" s="17" t="n">
        <v>32</v>
      </c>
      <c r="V5130" s="17">
        <f>ROUNDUP((T5130+U5130+2*'Read Me'!$B$13)*(1+'Read Me'!$B$12),-1)</f>
        <v/>
      </c>
      <c r="W5130" s="17">
        <f>V5130*N5130*O5130</f>
        <v/>
      </c>
      <c r="X5130" s="12">
        <f>IF(LEFT(I5130,2)="MV",2*N5130*IF(L5130="1/C",O5130,1),0)</f>
        <v/>
      </c>
      <c r="Y5130" s="12">
        <f>IF(OR(LEFT(K5130,4)="LVAX",LEFT(K5130,6)="MV15AX",LEFT(K5130,4)="CTAX",LEFT(K5130,2)="W|"),2*N5130*O5130,0)</f>
        <v/>
      </c>
      <c r="Z5130" s="12" t="inlineStr"/>
      <c r="AA5130" s="12">
        <f>N5130*O5130</f>
        <v/>
      </c>
    </row>
    <row r="5131">
      <c r="A5131" s="12" t="inlineStr">
        <is>
          <t>I-MV-0011</t>
        </is>
      </c>
      <c r="B5131" s="12" t="inlineStr">
        <is>
          <t>I</t>
        </is>
      </c>
      <c r="C5131" s="12" t="inlineStr">
        <is>
          <t>Modular / portable power</t>
        </is>
      </c>
      <c r="D5131" s="12" t="inlineStr">
        <is>
          <t>CONT-7 13.8 kV to PAD-EH (extension section, ground tray)</t>
        </is>
      </c>
      <c r="E5131" s="12" t="inlineStr">
        <is>
          <t>CONT-7</t>
        </is>
      </c>
      <c r="F5131" s="12" t="inlineStr">
        <is>
          <t>CONT-7: containerized gas genset 13.8 kV (40 ft)</t>
        </is>
      </c>
      <c r="G5131" s="12" t="inlineStr">
        <is>
          <t>PAD-EH</t>
        </is>
      </c>
      <c r="H5131" s="12" t="inlineStr">
        <is>
          <t>PAD-EH 13.8 kV switchgear e-house</t>
        </is>
      </c>
      <c r="I5131" s="12" t="inlineStr">
        <is>
          <t>MV 15 kV</t>
        </is>
      </c>
      <c r="J5131" s="12" t="inlineStr">
        <is>
          <t>MV-105 15 kV 1/C Cu, EPR 133%, Cu tape shield, PVC jacket (triplexed)</t>
        </is>
      </c>
      <c r="K5131" s="12" t="inlineStr">
        <is>
          <t>MV15|1/C|2</t>
        </is>
      </c>
      <c r="L5131" s="12" t="inlineStr">
        <is>
          <t>1/C</t>
        </is>
      </c>
      <c r="M5131" s="12" t="inlineStr">
        <is>
          <t>2</t>
        </is>
      </c>
      <c r="N5131" s="12" t="n">
        <v>1</v>
      </c>
      <c r="O5131" s="12" t="n">
        <v>3</v>
      </c>
      <c r="P5131" s="12" t="n">
        <v>13800</v>
      </c>
      <c r="Q5131" s="12" t="n">
        <v>2000</v>
      </c>
      <c r="R5131" s="12" t="n">
        <v>93</v>
      </c>
      <c r="S5131" s="12" t="inlineStr">
        <is>
          <t>Surface</t>
        </is>
      </c>
      <c r="T5131" s="17" t="n">
        <v>228</v>
      </c>
      <c r="U5131" s="17" t="n">
        <v>46</v>
      </c>
      <c r="V5131" s="17">
        <f>ROUNDUP((T5131+U5131+2*'Read Me'!$B$13)*(1+'Read Me'!$B$12),-1)</f>
        <v/>
      </c>
      <c r="W5131" s="17">
        <f>V5131*N5131*O5131</f>
        <v/>
      </c>
      <c r="X5131" s="12">
        <f>IF(LEFT(I5131,2)="MV",2*N5131*IF(L5131="1/C",O5131,1),0)</f>
        <v/>
      </c>
      <c r="Y5131" s="12">
        <f>IF(OR(LEFT(K5131,4)="LVAX",LEFT(K5131,6)="MV15AX",LEFT(K5131,4)="CTAX",LEFT(K5131,2)="W|"),2*N5131*O5131,0)</f>
        <v/>
      </c>
      <c r="Z5131" s="12" t="inlineStr"/>
      <c r="AA5131" s="12">
        <f>N5131*O5131</f>
        <v/>
      </c>
    </row>
    <row r="5132">
      <c r="A5132" s="12" t="inlineStr">
        <is>
          <t>I-MV-0012</t>
        </is>
      </c>
      <c r="B5132" s="12" t="inlineStr">
        <is>
          <t>I</t>
        </is>
      </c>
      <c r="C5132" s="12" t="inlineStr">
        <is>
          <t>Modular / portable power</t>
        </is>
      </c>
      <c r="D5132" s="12" t="inlineStr">
        <is>
          <t>CONT-8 13.8 kV to PAD-EH (extension section, ground tray)</t>
        </is>
      </c>
      <c r="E5132" s="12" t="inlineStr">
        <is>
          <t>CONT-8</t>
        </is>
      </c>
      <c r="F5132" s="12" t="inlineStr">
        <is>
          <t>CONT-8: containerized gas genset 13.8 kV (40 ft)</t>
        </is>
      </c>
      <c r="G5132" s="12" t="inlineStr">
        <is>
          <t>PAD-EH</t>
        </is>
      </c>
      <c r="H5132" s="12" t="inlineStr">
        <is>
          <t>PAD-EH 13.8 kV switchgear e-house</t>
        </is>
      </c>
      <c r="I5132" s="12" t="inlineStr">
        <is>
          <t>MV 15 kV</t>
        </is>
      </c>
      <c r="J5132" s="12" t="inlineStr">
        <is>
          <t>MV-105 15 kV 1/C Cu, EPR 133%, Cu tape shield, PVC jacket (triplexed)</t>
        </is>
      </c>
      <c r="K5132" s="12" t="inlineStr">
        <is>
          <t>MV15|1/C|2</t>
        </is>
      </c>
      <c r="L5132" s="12" t="inlineStr">
        <is>
          <t>1/C</t>
        </is>
      </c>
      <c r="M5132" s="12" t="inlineStr">
        <is>
          <t>2</t>
        </is>
      </c>
      <c r="N5132" s="12" t="n">
        <v>1</v>
      </c>
      <c r="O5132" s="12" t="n">
        <v>3</v>
      </c>
      <c r="P5132" s="12" t="n">
        <v>13800</v>
      </c>
      <c r="Q5132" s="12" t="n">
        <v>2000</v>
      </c>
      <c r="R5132" s="12" t="n">
        <v>93</v>
      </c>
      <c r="S5132" s="12" t="inlineStr">
        <is>
          <t>Surface</t>
        </is>
      </c>
      <c r="T5132" s="17" t="n">
        <v>97</v>
      </c>
      <c r="U5132" s="17" t="n">
        <v>36</v>
      </c>
      <c r="V5132" s="17">
        <f>ROUNDUP((T5132+U5132+2*'Read Me'!$B$13)*(1+'Read Me'!$B$12),-1)</f>
        <v/>
      </c>
      <c r="W5132" s="17">
        <f>V5132*N5132*O5132</f>
        <v/>
      </c>
      <c r="X5132" s="12">
        <f>IF(LEFT(I5132,2)="MV",2*N5132*IF(L5132="1/C",O5132,1),0)</f>
        <v/>
      </c>
      <c r="Y5132" s="12">
        <f>IF(OR(LEFT(K5132,4)="LVAX",LEFT(K5132,6)="MV15AX",LEFT(K5132,4)="CTAX",LEFT(K5132,2)="W|"),2*N5132*O5132,0)</f>
        <v/>
      </c>
      <c r="Z5132" s="12" t="inlineStr"/>
      <c r="AA5132" s="12">
        <f>N5132*O5132</f>
        <v/>
      </c>
    </row>
    <row r="5133">
      <c r="A5133" s="12" t="inlineStr">
        <is>
          <t>I-MV-0013</t>
        </is>
      </c>
      <c r="B5133" s="12" t="inlineStr">
        <is>
          <t>I</t>
        </is>
      </c>
      <c r="C5133" s="12" t="inlineStr">
        <is>
          <t>Modular / portable power</t>
        </is>
      </c>
      <c r="D5133" s="12" t="inlineStr">
        <is>
          <t>TM-1 (TM2500) generator leads to PAD-EH</t>
        </is>
      </c>
      <c r="E5133" s="12" t="inlineStr">
        <is>
          <t>TM-1</t>
        </is>
      </c>
      <c r="F5133" s="12" t="inlineStr">
        <is>
          <t>TM-1: trailer-mounted aeroderivative GT (TM2500 class, ~35 MW)</t>
        </is>
      </c>
      <c r="G5133" s="12" t="inlineStr">
        <is>
          <t>PAD-EH</t>
        </is>
      </c>
      <c r="H5133" s="12" t="inlineStr">
        <is>
          <t>PAD-EH 13.8 kV switchgear e-house</t>
        </is>
      </c>
      <c r="I5133" s="12" t="inlineStr">
        <is>
          <t>MV 15 kV</t>
        </is>
      </c>
      <c r="J5133" s="12" t="inlineStr">
        <is>
          <t>MV-105 15 kV 1/C Cu, EPR 133%, Cu tape shield, PVC jacket (triplexed)</t>
        </is>
      </c>
      <c r="K5133" s="12" t="inlineStr">
        <is>
          <t>MV15|1/C|1000</t>
        </is>
      </c>
      <c r="L5133" s="12" t="inlineStr">
        <is>
          <t>1/C</t>
        </is>
      </c>
      <c r="M5133" s="12" t="inlineStr">
        <is>
          <t>1000 kcmil</t>
        </is>
      </c>
      <c r="N5133" s="12" t="n">
        <v>3</v>
      </c>
      <c r="O5133" s="12" t="n">
        <v>3</v>
      </c>
      <c r="P5133" s="12" t="n">
        <v>13800</v>
      </c>
      <c r="Q5133" s="12" t="n">
        <v>35000</v>
      </c>
      <c r="R5133" s="12" t="n">
        <v>1464</v>
      </c>
      <c r="S5133" s="12" t="inlineStr">
        <is>
          <t>Surface</t>
        </is>
      </c>
      <c r="T5133" s="17" t="n">
        <v>405</v>
      </c>
      <c r="U5133" s="17" t="n">
        <v>27</v>
      </c>
      <c r="V5133" s="17">
        <f>ROUNDUP((T5133+U5133+2*'Read Me'!$B$13)*(1+'Read Me'!$B$12),-1)</f>
        <v/>
      </c>
      <c r="W5133" s="17">
        <f>V5133*N5133*O5133</f>
        <v/>
      </c>
      <c r="X5133" s="12">
        <f>IF(LEFT(I5133,2)="MV",2*N5133*IF(L5133="1/C",O5133,1),0)</f>
        <v/>
      </c>
      <c r="Y5133" s="12">
        <f>IF(OR(LEFT(K5133,4)="LVAX",LEFT(K5133,6)="MV15AX",LEFT(K5133,4)="CTAX",LEFT(K5133,2)="W|"),2*N5133*O5133,0)</f>
        <v/>
      </c>
      <c r="Z5133" s="12" t="inlineStr">
        <is>
          <t>3 per phase for 125 % (the model shows 2 per phase: update the model)</t>
        </is>
      </c>
      <c r="AA5133" s="12">
        <f>N5133*O5133</f>
        <v/>
      </c>
    </row>
    <row r="5134">
      <c r="A5134" s="12" t="inlineStr">
        <is>
          <t>I-MV-0014</t>
        </is>
      </c>
      <c r="B5134" s="12" t="inlineStr">
        <is>
          <t>I</t>
        </is>
      </c>
      <c r="C5134" s="12" t="inlineStr">
        <is>
          <t>Modular / portable power</t>
        </is>
      </c>
      <c r="D5134" s="12" t="inlineStr">
        <is>
          <t>TM-2 (TM2500) generator leads to PAD-EH</t>
        </is>
      </c>
      <c r="E5134" s="12" t="inlineStr">
        <is>
          <t>TM-2</t>
        </is>
      </c>
      <c r="F5134" s="12" t="inlineStr">
        <is>
          <t>TM-2: trailer-mounted aeroderivative GT (TM2500 class, ~35 MW)</t>
        </is>
      </c>
      <c r="G5134" s="12" t="inlineStr">
        <is>
          <t>PAD-EH</t>
        </is>
      </c>
      <c r="H5134" s="12" t="inlineStr">
        <is>
          <t>PAD-EH 13.8 kV switchgear e-house</t>
        </is>
      </c>
      <c r="I5134" s="12" t="inlineStr">
        <is>
          <t>MV 15 kV</t>
        </is>
      </c>
      <c r="J5134" s="12" t="inlineStr">
        <is>
          <t>MV-105 15 kV 1/C Cu, EPR 133%, Cu tape shield, PVC jacket (triplexed)</t>
        </is>
      </c>
      <c r="K5134" s="12" t="inlineStr">
        <is>
          <t>MV15|1/C|1000</t>
        </is>
      </c>
      <c r="L5134" s="12" t="inlineStr">
        <is>
          <t>1/C</t>
        </is>
      </c>
      <c r="M5134" s="12" t="inlineStr">
        <is>
          <t>1000 kcmil</t>
        </is>
      </c>
      <c r="N5134" s="12" t="n">
        <v>3</v>
      </c>
      <c r="O5134" s="12" t="n">
        <v>3</v>
      </c>
      <c r="P5134" s="12" t="n">
        <v>13800</v>
      </c>
      <c r="Q5134" s="12" t="n">
        <v>35000</v>
      </c>
      <c r="R5134" s="12" t="n">
        <v>1464</v>
      </c>
      <c r="S5134" s="12" t="inlineStr">
        <is>
          <t>Surface</t>
        </is>
      </c>
      <c r="T5134" s="17" t="n">
        <v>411</v>
      </c>
      <c r="U5134" s="17" t="n">
        <v>27</v>
      </c>
      <c r="V5134" s="17">
        <f>ROUNDUP((T5134+U5134+2*'Read Me'!$B$13)*(1+'Read Me'!$B$12),-1)</f>
        <v/>
      </c>
      <c r="W5134" s="17">
        <f>V5134*N5134*O5134</f>
        <v/>
      </c>
      <c r="X5134" s="12">
        <f>IF(LEFT(I5134,2)="MV",2*N5134*IF(L5134="1/C",O5134,1),0)</f>
        <v/>
      </c>
      <c r="Y5134" s="12">
        <f>IF(OR(LEFT(K5134,4)="LVAX",LEFT(K5134,6)="MV15AX",LEFT(K5134,4)="CTAX",LEFT(K5134,2)="W|"),2*N5134*O5134,0)</f>
        <v/>
      </c>
      <c r="Z5134" s="12" t="inlineStr">
        <is>
          <t>3 per phase for 125 % (the model shows 2 per phase: update the model)</t>
        </is>
      </c>
      <c r="AA5134" s="12">
        <f>N5134*O5134</f>
        <v/>
      </c>
    </row>
    <row r="5135">
      <c r="A5135" s="12" t="inlineStr">
        <is>
          <t>I-MV-0015</t>
        </is>
      </c>
      <c r="B5135" s="12" t="inlineStr">
        <is>
          <t>I</t>
        </is>
      </c>
      <c r="C5135" s="12" t="inlineStr">
        <is>
          <t>Modular / portable power</t>
        </is>
      </c>
      <c r="D5135" s="12" t="inlineStr">
        <is>
          <t>RICE-1 generator leads to the PCM</t>
        </is>
      </c>
      <c r="E5135" s="12" t="inlineStr">
        <is>
          <t>RICE-1</t>
        </is>
      </c>
      <c r="F5135" s="12" t="inlineStr">
        <is>
          <t>RICE engine-generator 1</t>
        </is>
      </c>
      <c r="G5135" s="12" t="inlineStr"/>
      <c r="H5135" s="12" t="inlineStr">
        <is>
          <t>PCM: power control module</t>
        </is>
      </c>
      <c r="I5135" s="12" t="inlineStr">
        <is>
          <t>MV 15 kV</t>
        </is>
      </c>
      <c r="J5135" s="12" t="inlineStr">
        <is>
          <t>MV-105 15 kV 1/C Cu, EPR 133%, Cu tape shield, PVC jacket (triplexed)</t>
        </is>
      </c>
      <c r="K5135" s="12" t="inlineStr">
        <is>
          <t>MV15|1/C|750</t>
        </is>
      </c>
      <c r="L5135" s="12" t="inlineStr">
        <is>
          <t>1/C</t>
        </is>
      </c>
      <c r="M5135" s="12" t="inlineStr">
        <is>
          <t>750 kcmil</t>
        </is>
      </c>
      <c r="N5135" s="12" t="n">
        <v>2</v>
      </c>
      <c r="O5135" s="12" t="n">
        <v>3</v>
      </c>
      <c r="P5135" s="12" t="n">
        <v>13800</v>
      </c>
      <c r="Q5135" s="12" t="n">
        <v>18400</v>
      </c>
      <c r="R5135" s="12" t="n">
        <v>770</v>
      </c>
      <c r="S5135" s="12" t="inlineStr">
        <is>
          <t>Duct bank</t>
        </is>
      </c>
      <c r="T5135" s="17" t="n">
        <v>576</v>
      </c>
      <c r="U5135" s="17" t="n">
        <v>111</v>
      </c>
      <c r="V5135" s="17">
        <f>ROUNDUP((T5135+U5135+2*'Read Me'!$B$13)*(1+'Read Me'!$B$12),-1)</f>
        <v/>
      </c>
      <c r="W5135" s="17">
        <f>V5135*N5135*O5135</f>
        <v/>
      </c>
      <c r="X5135" s="12">
        <f>IF(LEFT(I5135,2)="MV",2*N5135*IF(L5135="1/C",O5135,1),0)</f>
        <v/>
      </c>
      <c r="Y5135" s="12">
        <f>IF(OR(LEFT(K5135,4)="LVAX",LEFT(K5135,6)="MV15AX",LEFT(K5135,4)="CTAX",LEFT(K5135,2)="W|"),2*N5135*O5135,0)</f>
        <v/>
      </c>
      <c r="Z5135" s="12" t="inlineStr">
        <is>
          <t>18V50 class ~18 MW (typ.)</t>
        </is>
      </c>
      <c r="AA5135" s="12">
        <f>N5135*O5135</f>
        <v/>
      </c>
    </row>
    <row r="5136">
      <c r="A5136" s="12" t="inlineStr">
        <is>
          <t>I-MV-0016</t>
        </is>
      </c>
      <c r="B5136" s="12" t="inlineStr">
        <is>
          <t>I</t>
        </is>
      </c>
      <c r="C5136" s="12" t="inlineStr">
        <is>
          <t>Modular / portable power</t>
        </is>
      </c>
      <c r="D5136" s="12" t="inlineStr">
        <is>
          <t>RICE-2 generator leads to the PCM</t>
        </is>
      </c>
      <c r="E5136" s="12" t="inlineStr">
        <is>
          <t>RICE-2</t>
        </is>
      </c>
      <c r="F5136" s="12" t="inlineStr">
        <is>
          <t>RICE engine-generator 2</t>
        </is>
      </c>
      <c r="G5136" s="12" t="inlineStr"/>
      <c r="H5136" s="12" t="inlineStr">
        <is>
          <t>PCM: power control module</t>
        </is>
      </c>
      <c r="I5136" s="12" t="inlineStr">
        <is>
          <t>MV 15 kV</t>
        </is>
      </c>
      <c r="J5136" s="12" t="inlineStr">
        <is>
          <t>MV-105 15 kV 1/C Cu, EPR 133%, Cu tape shield, PVC jacket (triplexed)</t>
        </is>
      </c>
      <c r="K5136" s="12" t="inlineStr">
        <is>
          <t>MV15|1/C|750</t>
        </is>
      </c>
      <c r="L5136" s="12" t="inlineStr">
        <is>
          <t>1/C</t>
        </is>
      </c>
      <c r="M5136" s="12" t="inlineStr">
        <is>
          <t>750 kcmil</t>
        </is>
      </c>
      <c r="N5136" s="12" t="n">
        <v>2</v>
      </c>
      <c r="O5136" s="12" t="n">
        <v>3</v>
      </c>
      <c r="P5136" s="12" t="n">
        <v>13800</v>
      </c>
      <c r="Q5136" s="12" t="n">
        <v>18400</v>
      </c>
      <c r="R5136" s="12" t="n">
        <v>770</v>
      </c>
      <c r="S5136" s="12" t="inlineStr">
        <is>
          <t>Duct bank</t>
        </is>
      </c>
      <c r="T5136" s="17" t="n">
        <v>550</v>
      </c>
      <c r="U5136" s="17" t="n">
        <v>109</v>
      </c>
      <c r="V5136" s="17">
        <f>ROUNDUP((T5136+U5136+2*'Read Me'!$B$13)*(1+'Read Me'!$B$12),-1)</f>
        <v/>
      </c>
      <c r="W5136" s="17">
        <f>V5136*N5136*O5136</f>
        <v/>
      </c>
      <c r="X5136" s="12">
        <f>IF(LEFT(I5136,2)="MV",2*N5136*IF(L5136="1/C",O5136,1),0)</f>
        <v/>
      </c>
      <c r="Y5136" s="12">
        <f>IF(OR(LEFT(K5136,4)="LVAX",LEFT(K5136,6)="MV15AX",LEFT(K5136,4)="CTAX",LEFT(K5136,2)="W|"),2*N5136*O5136,0)</f>
        <v/>
      </c>
      <c r="Z5136" s="12" t="inlineStr">
        <is>
          <t>18V50 class ~18 MW (typ.)</t>
        </is>
      </c>
      <c r="AA5136" s="12">
        <f>N5136*O5136</f>
        <v/>
      </c>
    </row>
    <row r="5137">
      <c r="A5137" s="12" t="inlineStr">
        <is>
          <t>I-MV-0017</t>
        </is>
      </c>
      <c r="B5137" s="12" t="inlineStr">
        <is>
          <t>I</t>
        </is>
      </c>
      <c r="C5137" s="12" t="inlineStr">
        <is>
          <t>Modular / portable power</t>
        </is>
      </c>
      <c r="D5137" s="12" t="inlineStr">
        <is>
          <t>RICE-3 generator leads to the PCM</t>
        </is>
      </c>
      <c r="E5137" s="12" t="inlineStr">
        <is>
          <t>RICE-3</t>
        </is>
      </c>
      <c r="F5137" s="12" t="inlineStr">
        <is>
          <t>RICE engine-generator 3</t>
        </is>
      </c>
      <c r="G5137" s="12" t="inlineStr"/>
      <c r="H5137" s="12" t="inlineStr">
        <is>
          <t>PCM: power control module</t>
        </is>
      </c>
      <c r="I5137" s="12" t="inlineStr">
        <is>
          <t>MV 15 kV</t>
        </is>
      </c>
      <c r="J5137" s="12" t="inlineStr">
        <is>
          <t>MV-105 15 kV 1/C Cu, EPR 133%, Cu tape shield, PVC jacket (triplexed)</t>
        </is>
      </c>
      <c r="K5137" s="12" t="inlineStr">
        <is>
          <t>MV15|1/C|750</t>
        </is>
      </c>
      <c r="L5137" s="12" t="inlineStr">
        <is>
          <t>1/C</t>
        </is>
      </c>
      <c r="M5137" s="12" t="inlineStr">
        <is>
          <t>750 kcmil</t>
        </is>
      </c>
      <c r="N5137" s="12" t="n">
        <v>2</v>
      </c>
      <c r="O5137" s="12" t="n">
        <v>3</v>
      </c>
      <c r="P5137" s="12" t="n">
        <v>13800</v>
      </c>
      <c r="Q5137" s="12" t="n">
        <v>18400</v>
      </c>
      <c r="R5137" s="12" t="n">
        <v>770</v>
      </c>
      <c r="S5137" s="12" t="inlineStr">
        <is>
          <t>Duct bank</t>
        </is>
      </c>
      <c r="T5137" s="17" t="n">
        <v>550</v>
      </c>
      <c r="U5137" s="17" t="n">
        <v>81</v>
      </c>
      <c r="V5137" s="17">
        <f>ROUNDUP((T5137+U5137+2*'Read Me'!$B$13)*(1+'Read Me'!$B$12),-1)</f>
        <v/>
      </c>
      <c r="W5137" s="17">
        <f>V5137*N5137*O5137</f>
        <v/>
      </c>
      <c r="X5137" s="12">
        <f>IF(LEFT(I5137,2)="MV",2*N5137*IF(L5137="1/C",O5137,1),0)</f>
        <v/>
      </c>
      <c r="Y5137" s="12">
        <f>IF(OR(LEFT(K5137,4)="LVAX",LEFT(K5137,6)="MV15AX",LEFT(K5137,4)="CTAX",LEFT(K5137,2)="W|"),2*N5137*O5137,0)</f>
        <v/>
      </c>
      <c r="Z5137" s="12" t="inlineStr">
        <is>
          <t>18V50 class ~18 MW (typ.)</t>
        </is>
      </c>
      <c r="AA5137" s="12">
        <f>N5137*O5137</f>
        <v/>
      </c>
    </row>
    <row r="5138">
      <c r="A5138" s="12" t="inlineStr">
        <is>
          <t>I-MV-0018</t>
        </is>
      </c>
      <c r="B5138" s="12" t="inlineStr">
        <is>
          <t>I</t>
        </is>
      </c>
      <c r="C5138" s="12" t="inlineStr">
        <is>
          <t>Modular / portable power</t>
        </is>
      </c>
      <c r="D5138" s="12" t="inlineStr">
        <is>
          <t>RICE-4 generator leads to the PCM</t>
        </is>
      </c>
      <c r="E5138" s="12" t="inlineStr">
        <is>
          <t>RICE-4</t>
        </is>
      </c>
      <c r="F5138" s="12" t="inlineStr">
        <is>
          <t>RICE engine-generator 4</t>
        </is>
      </c>
      <c r="G5138" s="12" t="inlineStr"/>
      <c r="H5138" s="12" t="inlineStr">
        <is>
          <t>PCM: power control module</t>
        </is>
      </c>
      <c r="I5138" s="12" t="inlineStr">
        <is>
          <t>MV 15 kV</t>
        </is>
      </c>
      <c r="J5138" s="12" t="inlineStr">
        <is>
          <t>MV-105 15 kV 1/C Cu, EPR 133%, Cu tape shield, PVC jacket (triplexed)</t>
        </is>
      </c>
      <c r="K5138" s="12" t="inlineStr">
        <is>
          <t>MV15|1/C|750</t>
        </is>
      </c>
      <c r="L5138" s="12" t="inlineStr">
        <is>
          <t>1/C</t>
        </is>
      </c>
      <c r="M5138" s="12" t="inlineStr">
        <is>
          <t>750 kcmil</t>
        </is>
      </c>
      <c r="N5138" s="12" t="n">
        <v>2</v>
      </c>
      <c r="O5138" s="12" t="n">
        <v>3</v>
      </c>
      <c r="P5138" s="12" t="n">
        <v>13800</v>
      </c>
      <c r="Q5138" s="12" t="n">
        <v>18400</v>
      </c>
      <c r="R5138" s="12" t="n">
        <v>770</v>
      </c>
      <c r="S5138" s="12" t="inlineStr">
        <is>
          <t>Duct bank</t>
        </is>
      </c>
      <c r="T5138" s="17" t="n">
        <v>550</v>
      </c>
      <c r="U5138" s="17" t="n">
        <v>53</v>
      </c>
      <c r="V5138" s="17">
        <f>ROUNDUP((T5138+U5138+2*'Read Me'!$B$13)*(1+'Read Me'!$B$12),-1)</f>
        <v/>
      </c>
      <c r="W5138" s="17">
        <f>V5138*N5138*O5138</f>
        <v/>
      </c>
      <c r="X5138" s="12">
        <f>IF(LEFT(I5138,2)="MV",2*N5138*IF(L5138="1/C",O5138,1),0)</f>
        <v/>
      </c>
      <c r="Y5138" s="12">
        <f>IF(OR(LEFT(K5138,4)="LVAX",LEFT(K5138,6)="MV15AX",LEFT(K5138,4)="CTAX",LEFT(K5138,2)="W|"),2*N5138*O5138,0)</f>
        <v/>
      </c>
      <c r="Z5138" s="12" t="inlineStr">
        <is>
          <t>18V50 class ~18 MW (typ.)</t>
        </is>
      </c>
      <c r="AA5138" s="12">
        <f>N5138*O5138</f>
        <v/>
      </c>
    </row>
    <row r="5139">
      <c r="A5139" s="12" t="inlineStr">
        <is>
          <t>I-MV-0019</t>
        </is>
      </c>
      <c r="B5139" s="12" t="inlineStr">
        <is>
          <t>I</t>
        </is>
      </c>
      <c r="C5139" s="12" t="inlineStr">
        <is>
          <t>Modular / portable power</t>
        </is>
      </c>
      <c r="D5139" s="12" t="inlineStr">
        <is>
          <t>RICE-5 generator leads to the PCM</t>
        </is>
      </c>
      <c r="E5139" s="12" t="inlineStr">
        <is>
          <t>RICE-5</t>
        </is>
      </c>
      <c r="F5139" s="12" t="inlineStr">
        <is>
          <t>RICE engine-generator 5</t>
        </is>
      </c>
      <c r="G5139" s="12" t="inlineStr"/>
      <c r="H5139" s="12" t="inlineStr">
        <is>
          <t>PCM: power control module</t>
        </is>
      </c>
      <c r="I5139" s="12" t="inlineStr">
        <is>
          <t>MV 15 kV</t>
        </is>
      </c>
      <c r="J5139" s="12" t="inlineStr">
        <is>
          <t>MV-105 15 kV 1/C Cu, EPR 133%, Cu tape shield, PVC jacket (triplexed)</t>
        </is>
      </c>
      <c r="K5139" s="12" t="inlineStr">
        <is>
          <t>MV15|1/C|750</t>
        </is>
      </c>
      <c r="L5139" s="12" t="inlineStr">
        <is>
          <t>1/C</t>
        </is>
      </c>
      <c r="M5139" s="12" t="inlineStr">
        <is>
          <t>750 kcmil</t>
        </is>
      </c>
      <c r="N5139" s="12" t="n">
        <v>2</v>
      </c>
      <c r="O5139" s="12" t="n">
        <v>3</v>
      </c>
      <c r="P5139" s="12" t="n">
        <v>13800</v>
      </c>
      <c r="Q5139" s="12" t="n">
        <v>18400</v>
      </c>
      <c r="R5139" s="12" t="n">
        <v>770</v>
      </c>
      <c r="S5139" s="12" t="inlineStr">
        <is>
          <t>Duct bank</t>
        </is>
      </c>
      <c r="T5139" s="17" t="n">
        <v>525</v>
      </c>
      <c r="U5139" s="17" t="n">
        <v>50</v>
      </c>
      <c r="V5139" s="17">
        <f>ROUNDUP((T5139+U5139+2*'Read Me'!$B$13)*(1+'Read Me'!$B$12),-1)</f>
        <v/>
      </c>
      <c r="W5139" s="17">
        <f>V5139*N5139*O5139</f>
        <v/>
      </c>
      <c r="X5139" s="12">
        <f>IF(LEFT(I5139,2)="MV",2*N5139*IF(L5139="1/C",O5139,1),0)</f>
        <v/>
      </c>
      <c r="Y5139" s="12">
        <f>IF(OR(LEFT(K5139,4)="LVAX",LEFT(K5139,6)="MV15AX",LEFT(K5139,4)="CTAX",LEFT(K5139,2)="W|"),2*N5139*O5139,0)</f>
        <v/>
      </c>
      <c r="Z5139" s="12" t="inlineStr">
        <is>
          <t>18V50 class ~18 MW (typ.)</t>
        </is>
      </c>
      <c r="AA5139" s="12">
        <f>N5139*O5139</f>
        <v/>
      </c>
    </row>
    <row r="5140">
      <c r="A5140" s="12" t="inlineStr">
        <is>
          <t>I-MV-0020</t>
        </is>
      </c>
      <c r="B5140" s="12" t="inlineStr">
        <is>
          <t>I</t>
        </is>
      </c>
      <c r="C5140" s="12" t="inlineStr">
        <is>
          <t>Modular / portable power</t>
        </is>
      </c>
      <c r="D5140" s="12" t="inlineStr">
        <is>
          <t>RICE-6 generator leads to the PCM</t>
        </is>
      </c>
      <c r="E5140" s="12" t="inlineStr">
        <is>
          <t>RICE-6</t>
        </is>
      </c>
      <c r="F5140" s="12" t="inlineStr">
        <is>
          <t>RICE engine-generator 6</t>
        </is>
      </c>
      <c r="G5140" s="12" t="inlineStr"/>
      <c r="H5140" s="12" t="inlineStr">
        <is>
          <t>PCM: power control module</t>
        </is>
      </c>
      <c r="I5140" s="12" t="inlineStr">
        <is>
          <t>MV 15 kV</t>
        </is>
      </c>
      <c r="J5140" s="12" t="inlineStr">
        <is>
          <t>MV-105 15 kV 1/C Cu, EPR 133%, Cu tape shield, PVC jacket (triplexed)</t>
        </is>
      </c>
      <c r="K5140" s="12" t="inlineStr">
        <is>
          <t>MV15|1/C|750</t>
        </is>
      </c>
      <c r="L5140" s="12" t="inlineStr">
        <is>
          <t>1/C</t>
        </is>
      </c>
      <c r="M5140" s="12" t="inlineStr">
        <is>
          <t>750 kcmil</t>
        </is>
      </c>
      <c r="N5140" s="12" t="n">
        <v>2</v>
      </c>
      <c r="O5140" s="12" t="n">
        <v>3</v>
      </c>
      <c r="P5140" s="12" t="n">
        <v>13800</v>
      </c>
      <c r="Q5140" s="12" t="n">
        <v>18400</v>
      </c>
      <c r="R5140" s="12" t="n">
        <v>770</v>
      </c>
      <c r="S5140" s="12" t="inlineStr">
        <is>
          <t>Duct bank</t>
        </is>
      </c>
      <c r="T5140" s="17" t="n">
        <v>469</v>
      </c>
      <c r="U5140" s="17" t="n">
        <v>78</v>
      </c>
      <c r="V5140" s="17">
        <f>ROUNDUP((T5140+U5140+2*'Read Me'!$B$13)*(1+'Read Me'!$B$12),-1)</f>
        <v/>
      </c>
      <c r="W5140" s="17">
        <f>V5140*N5140*O5140</f>
        <v/>
      </c>
      <c r="X5140" s="12">
        <f>IF(LEFT(I5140,2)="MV",2*N5140*IF(L5140="1/C",O5140,1),0)</f>
        <v/>
      </c>
      <c r="Y5140" s="12">
        <f>IF(OR(LEFT(K5140,4)="LVAX",LEFT(K5140,6)="MV15AX",LEFT(K5140,4)="CTAX",LEFT(K5140,2)="W|"),2*N5140*O5140,0)</f>
        <v/>
      </c>
      <c r="Z5140" s="12" t="inlineStr">
        <is>
          <t>18V50 class ~18 MW (typ.)</t>
        </is>
      </c>
      <c r="AA5140" s="12">
        <f>N5140*O5140</f>
        <v/>
      </c>
    </row>
    <row r="5141">
      <c r="A5141" s="12" t="inlineStr">
        <is>
          <t>I-MV-0021</t>
        </is>
      </c>
      <c r="B5141" s="12" t="inlineStr">
        <is>
          <t>I</t>
        </is>
      </c>
      <c r="C5141" s="12" t="inlineStr">
        <is>
          <t>Modular / portable power</t>
        </is>
      </c>
      <c r="D5141" s="12" t="inlineStr">
        <is>
          <t>RICE-7 generator leads to the PCM</t>
        </is>
      </c>
      <c r="E5141" s="12" t="inlineStr">
        <is>
          <t>RICE-7</t>
        </is>
      </c>
      <c r="F5141" s="12" t="inlineStr">
        <is>
          <t>RICE engine-generator 7</t>
        </is>
      </c>
      <c r="G5141" s="12" t="inlineStr"/>
      <c r="H5141" s="12" t="inlineStr">
        <is>
          <t>PCM: power control module</t>
        </is>
      </c>
      <c r="I5141" s="12" t="inlineStr">
        <is>
          <t>MV 15 kV</t>
        </is>
      </c>
      <c r="J5141" s="12" t="inlineStr">
        <is>
          <t>MV-105 15 kV 1/C Cu, EPR 133%, Cu tape shield, PVC jacket (triplexed)</t>
        </is>
      </c>
      <c r="K5141" s="12" t="inlineStr">
        <is>
          <t>MV15|1/C|750</t>
        </is>
      </c>
      <c r="L5141" s="12" t="inlineStr">
        <is>
          <t>1/C</t>
        </is>
      </c>
      <c r="M5141" s="12" t="inlineStr">
        <is>
          <t>750 kcmil</t>
        </is>
      </c>
      <c r="N5141" s="12" t="n">
        <v>2</v>
      </c>
      <c r="O5141" s="12" t="n">
        <v>3</v>
      </c>
      <c r="P5141" s="12" t="n">
        <v>13800</v>
      </c>
      <c r="Q5141" s="12" t="n">
        <v>18400</v>
      </c>
      <c r="R5141" s="12" t="n">
        <v>770</v>
      </c>
      <c r="S5141" s="12" t="inlineStr">
        <is>
          <t>Tray</t>
        </is>
      </c>
      <c r="T5141" s="17" t="n">
        <v>83</v>
      </c>
      <c r="U5141" s="17" t="n">
        <v>106</v>
      </c>
      <c r="V5141" s="17">
        <f>ROUNDUP((T5141+U5141+2*'Read Me'!$B$13)*(1+'Read Me'!$B$12),-1)</f>
        <v/>
      </c>
      <c r="W5141" s="17">
        <f>V5141*N5141*O5141</f>
        <v/>
      </c>
      <c r="X5141" s="12">
        <f>IF(LEFT(I5141,2)="MV",2*N5141*IF(L5141="1/C",O5141,1),0)</f>
        <v/>
      </c>
      <c r="Y5141" s="12">
        <f>IF(OR(LEFT(K5141,4)="LVAX",LEFT(K5141,6)="MV15AX",LEFT(K5141,4)="CTAX",LEFT(K5141,2)="W|"),2*N5141*O5141,0)</f>
        <v/>
      </c>
      <c r="Z5141" s="12" t="inlineStr">
        <is>
          <t>18V50 class ~18 MW (typ.)</t>
        </is>
      </c>
      <c r="AA5141" s="12">
        <f>N5141*O5141</f>
        <v/>
      </c>
    </row>
    <row r="5142">
      <c r="A5142" s="12" t="inlineStr">
        <is>
          <t>I-MV-0022</t>
        </is>
      </c>
      <c r="B5142" s="12" t="inlineStr">
        <is>
          <t>I</t>
        </is>
      </c>
      <c r="C5142" s="12" t="inlineStr">
        <is>
          <t>Modular / portable power</t>
        </is>
      </c>
      <c r="D5142" s="12" t="inlineStr">
        <is>
          <t>RICE-8 generator leads to the PCM</t>
        </is>
      </c>
      <c r="E5142" s="12" t="inlineStr">
        <is>
          <t>RICE-8</t>
        </is>
      </c>
      <c r="F5142" s="12" t="inlineStr">
        <is>
          <t>RICE engine-generator 8</t>
        </is>
      </c>
      <c r="G5142" s="12" t="inlineStr"/>
      <c r="H5142" s="12" t="inlineStr">
        <is>
          <t>PCM: power control module</t>
        </is>
      </c>
      <c r="I5142" s="12" t="inlineStr">
        <is>
          <t>MV 15 kV</t>
        </is>
      </c>
      <c r="J5142" s="12" t="inlineStr">
        <is>
          <t>MV-105 15 kV 1/C Cu, EPR 133%, Cu tape shield, PVC jacket (triplexed)</t>
        </is>
      </c>
      <c r="K5142" s="12" t="inlineStr">
        <is>
          <t>MV15|1/C|750</t>
        </is>
      </c>
      <c r="L5142" s="12" t="inlineStr">
        <is>
          <t>1/C</t>
        </is>
      </c>
      <c r="M5142" s="12" t="inlineStr">
        <is>
          <t>750 kcmil</t>
        </is>
      </c>
      <c r="N5142" s="12" t="n">
        <v>2</v>
      </c>
      <c r="O5142" s="12" t="n">
        <v>3</v>
      </c>
      <c r="P5142" s="12" t="n">
        <v>13800</v>
      </c>
      <c r="Q5142" s="12" t="n">
        <v>18400</v>
      </c>
      <c r="R5142" s="12" t="n">
        <v>770</v>
      </c>
      <c r="S5142" s="12" t="inlineStr">
        <is>
          <t>Tray</t>
        </is>
      </c>
      <c r="T5142" s="17" t="n">
        <v>37</v>
      </c>
      <c r="U5142" s="17" t="n">
        <v>124</v>
      </c>
      <c r="V5142" s="17">
        <f>ROUNDUP((T5142+U5142+2*'Read Me'!$B$13)*(1+'Read Me'!$B$12),-1)</f>
        <v/>
      </c>
      <c r="W5142" s="17">
        <f>V5142*N5142*O5142</f>
        <v/>
      </c>
      <c r="X5142" s="12">
        <f>IF(LEFT(I5142,2)="MV",2*N5142*IF(L5142="1/C",O5142,1),0)</f>
        <v/>
      </c>
      <c r="Y5142" s="12">
        <f>IF(OR(LEFT(K5142,4)="LVAX",LEFT(K5142,6)="MV15AX",LEFT(K5142,4)="CTAX",LEFT(K5142,2)="W|"),2*N5142*O5142,0)</f>
        <v/>
      </c>
      <c r="Z5142" s="12" t="inlineStr">
        <is>
          <t>18V50 class ~18 MW (typ.)</t>
        </is>
      </c>
      <c r="AA5142" s="12">
        <f>N5142*O5142</f>
        <v/>
      </c>
    </row>
    <row r="5143">
      <c r="A5143" s="12" t="inlineStr">
        <is>
          <t>I-MV-0023</t>
        </is>
      </c>
      <c r="B5143" s="12" t="inlineStr">
        <is>
          <t>I</t>
        </is>
      </c>
      <c r="C5143" s="12" t="inlineStr">
        <is>
          <t>Modular / portable power</t>
        </is>
      </c>
      <c r="D5143" s="12" t="inlineStr">
        <is>
          <t>SC-1 (LM6000 class) generator leads to its PCM / GCB</t>
        </is>
      </c>
      <c r="E5143" s="12" t="inlineStr">
        <is>
          <t>SC-1</t>
        </is>
      </c>
      <c r="F5143" s="12" t="inlineStr">
        <is>
          <t>SC-1: aeroderivative simple-cycle unit (LM6000 class)</t>
        </is>
      </c>
      <c r="G5143" s="12" t="inlineStr"/>
      <c r="H5143" s="12" t="inlineStr">
        <is>
          <t>SC-1 PCM + 15 kV GCB</t>
        </is>
      </c>
      <c r="I5143" s="12" t="inlineStr">
        <is>
          <t>MV 15 kV</t>
        </is>
      </c>
      <c r="J5143" s="12" t="inlineStr">
        <is>
          <t>MV-105 15 kV 1/C Cu, EPR 133%, Cu tape shield, PVC jacket (triplexed)</t>
        </is>
      </c>
      <c r="K5143" s="12" t="inlineStr">
        <is>
          <t>MV15|1/C|750</t>
        </is>
      </c>
      <c r="L5143" s="12" t="inlineStr">
        <is>
          <t>1/C</t>
        </is>
      </c>
      <c r="M5143" s="12" t="inlineStr">
        <is>
          <t>750 kcmil</t>
        </is>
      </c>
      <c r="N5143" s="12" t="n">
        <v>5</v>
      </c>
      <c r="O5143" s="12" t="n">
        <v>3</v>
      </c>
      <c r="P5143" s="12" t="n">
        <v>13800</v>
      </c>
      <c r="Q5143" s="12" t="n">
        <v>50000</v>
      </c>
      <c r="R5143" s="12" t="n">
        <v>2092</v>
      </c>
      <c r="S5143" s="12" t="inlineStr">
        <is>
          <t>Tray</t>
        </is>
      </c>
      <c r="T5143" s="17" t="n">
        <v>12</v>
      </c>
      <c r="U5143" s="17" t="n">
        <v>52</v>
      </c>
      <c r="V5143" s="17">
        <f>ROUNDUP((T5143+U5143+2*'Read Me'!$B$13)*(1+'Read Me'!$B$12),-1)</f>
        <v/>
      </c>
      <c r="W5143" s="17">
        <f>V5143*N5143*O5143</f>
        <v/>
      </c>
      <c r="X5143" s="12">
        <f>IF(LEFT(I5143,2)="MV",2*N5143*IF(L5143="1/C",O5143,1),0)</f>
        <v/>
      </c>
      <c r="Y5143" s="12">
        <f>IF(OR(LEFT(K5143,4)="LVAX",LEFT(K5143,6)="MV15AX",LEFT(K5143,4)="CTAX",LEFT(K5143,2)="W|"),2*N5143*O5143,0)</f>
        <v/>
      </c>
      <c r="Z5143" s="12" t="inlineStr"/>
      <c r="AA5143" s="12">
        <f>N5143*O5143</f>
        <v/>
      </c>
    </row>
    <row r="5144">
      <c r="A5144" s="12" t="inlineStr">
        <is>
          <t>I-MV-0024</t>
        </is>
      </c>
      <c r="B5144" s="12" t="inlineStr">
        <is>
          <t>I</t>
        </is>
      </c>
      <c r="C5144" s="12" t="inlineStr">
        <is>
          <t>Modular / portable power</t>
        </is>
      </c>
      <c r="D5144" s="12" t="inlineStr">
        <is>
          <t>SC-2 (LM6000 class) generator leads to its PCM / GCB</t>
        </is>
      </c>
      <c r="E5144" s="12" t="inlineStr">
        <is>
          <t>SC-2</t>
        </is>
      </c>
      <c r="F5144" s="12" t="inlineStr">
        <is>
          <t>SC-2: aeroderivative simple-cycle unit (LM6000 class)</t>
        </is>
      </c>
      <c r="G5144" s="12" t="inlineStr"/>
      <c r="H5144" s="12" t="inlineStr">
        <is>
          <t>SC-2 PCM + 15 kV GCB</t>
        </is>
      </c>
      <c r="I5144" s="12" t="inlineStr">
        <is>
          <t>MV 15 kV</t>
        </is>
      </c>
      <c r="J5144" s="12" t="inlineStr">
        <is>
          <t>MV-105 15 kV 1/C Cu, EPR 133%, Cu tape shield, PVC jacket (triplexed)</t>
        </is>
      </c>
      <c r="K5144" s="12" t="inlineStr">
        <is>
          <t>MV15|1/C|750</t>
        </is>
      </c>
      <c r="L5144" s="12" t="inlineStr">
        <is>
          <t>1/C</t>
        </is>
      </c>
      <c r="M5144" s="12" t="inlineStr">
        <is>
          <t>750 kcmil</t>
        </is>
      </c>
      <c r="N5144" s="12" t="n">
        <v>5</v>
      </c>
      <c r="O5144" s="12" t="n">
        <v>3</v>
      </c>
      <c r="P5144" s="12" t="n">
        <v>13800</v>
      </c>
      <c r="Q5144" s="12" t="n">
        <v>50000</v>
      </c>
      <c r="R5144" s="12" t="n">
        <v>2092</v>
      </c>
      <c r="S5144" s="12" t="inlineStr">
        <is>
          <t>Tray</t>
        </is>
      </c>
      <c r="T5144" s="17" t="n">
        <v>0</v>
      </c>
      <c r="U5144" s="17" t="n">
        <v>57</v>
      </c>
      <c r="V5144" s="17">
        <f>ROUNDUP((T5144+U5144+2*'Read Me'!$B$13)*(1+'Read Me'!$B$12),-1)</f>
        <v/>
      </c>
      <c r="W5144" s="17">
        <f>V5144*N5144*O5144</f>
        <v/>
      </c>
      <c r="X5144" s="12">
        <f>IF(LEFT(I5144,2)="MV",2*N5144*IF(L5144="1/C",O5144,1),0)</f>
        <v/>
      </c>
      <c r="Y5144" s="12">
        <f>IF(OR(LEFT(K5144,4)="LVAX",LEFT(K5144,6)="MV15AX",LEFT(K5144,4)="CTAX",LEFT(K5144,2)="W|"),2*N5144*O5144,0)</f>
        <v/>
      </c>
      <c r="Z5144" s="12" t="inlineStr"/>
      <c r="AA5144" s="12">
        <f>N5144*O5144</f>
        <v/>
      </c>
    </row>
    <row r="5145">
      <c r="A5145" s="12" t="inlineStr">
        <is>
          <t>I-PP-0001</t>
        </is>
      </c>
      <c r="B5145" s="12" t="inlineStr">
        <is>
          <t>I</t>
        </is>
      </c>
      <c r="C5145" s="12" t="inlineStr">
        <is>
          <t>Modular / portable power</t>
        </is>
      </c>
      <c r="D5145" s="12" t="inlineStr">
        <is>
          <t>GEN-E 480 V to PAD-LV (Type W sets, cam-lock)</t>
        </is>
      </c>
      <c r="E5145" s="12" t="inlineStr">
        <is>
          <t>GEN-E</t>
        </is>
      </c>
      <c r="F5145" s="12" t="inlineStr">
        <is>
          <t>GEN-E: enclosed industrial gas genset 2 MW</t>
        </is>
      </c>
      <c r="G5145" s="12" t="inlineStr">
        <is>
          <t>PAD-LV</t>
        </is>
      </c>
      <c r="H5145" s="12" t="inlineStr">
        <is>
          <t>PAD-LV 480 V paralleling switchboard</t>
        </is>
      </c>
      <c r="I5145" s="12" t="inlineStr">
        <is>
          <t>Portable LV</t>
        </is>
      </c>
      <c r="J5145" s="12" t="inlineStr">
        <is>
          <t>Type W 2 kV 1/C Cu, EPDM / CPE (portable, cam-lock)</t>
        </is>
      </c>
      <c r="K5145" s="12" t="inlineStr">
        <is>
          <t>W|1/C|4/0</t>
        </is>
      </c>
      <c r="L5145" s="12" t="inlineStr">
        <is>
          <t>1/C</t>
        </is>
      </c>
      <c r="M5145" s="12" t="inlineStr">
        <is>
          <t>4/0</t>
        </is>
      </c>
      <c r="N5145" s="12" t="n">
        <v>8</v>
      </c>
      <c r="O5145" s="12" t="n">
        <v>4</v>
      </c>
      <c r="P5145" s="12" t="n">
        <v>480</v>
      </c>
      <c r="Q5145" s="12" t="n">
        <v>2000</v>
      </c>
      <c r="R5145" s="12" t="n">
        <v>2406</v>
      </c>
      <c r="S5145" s="12" t="inlineStr">
        <is>
          <t>Surface</t>
        </is>
      </c>
      <c r="T5145" s="17" t="n">
        <v>143</v>
      </c>
      <c r="U5145" s="17" t="n">
        <v>27</v>
      </c>
      <c r="V5145" s="17">
        <f>ROUNDUP((T5145+U5145+2*'Read Me'!$B$13)*(1+'Read Me'!$B$12),-1)</f>
        <v/>
      </c>
      <c r="W5145" s="17">
        <f>V5145*N5145*O5145</f>
        <v/>
      </c>
      <c r="X5145" s="12">
        <f>IF(LEFT(I5145,2)="MV",2*N5145*IF(L5145="1/C",O5145,1),0)</f>
        <v/>
      </c>
      <c r="Y5145" s="12">
        <f>IF(OR(LEFT(K5145,4)="LVAX",LEFT(K5145,6)="MV15AX",LEFT(K5145,4)="CTAX",LEFT(K5145,2)="W|"),2*N5145*O5145,0)</f>
        <v/>
      </c>
      <c r="Z5145" s="12" t="inlineStr">
        <is>
          <t>4 x 1/C per set incl. ground</t>
        </is>
      </c>
      <c r="AA5145" s="12">
        <f>N5145*O5145</f>
        <v/>
      </c>
    </row>
    <row r="5146">
      <c r="A5146" s="12" t="inlineStr">
        <is>
          <t>I-PP-0002</t>
        </is>
      </c>
      <c r="B5146" s="12" t="inlineStr">
        <is>
          <t>I</t>
        </is>
      </c>
      <c r="C5146" s="12" t="inlineStr">
        <is>
          <t>Modular / portable power</t>
        </is>
      </c>
      <c r="D5146" s="12" t="inlineStr">
        <is>
          <t>GEN-O 480 V to PAD-LV (Type W sets, cam-lock)</t>
        </is>
      </c>
      <c r="E5146" s="12" t="inlineStr">
        <is>
          <t>GEN-O</t>
        </is>
      </c>
      <c r="F5146" s="12" t="inlineStr">
        <is>
          <t>GEN-O: open engine-generator skid</t>
        </is>
      </c>
      <c r="G5146" s="12" t="inlineStr">
        <is>
          <t>PAD-LV</t>
        </is>
      </c>
      <c r="H5146" s="12" t="inlineStr">
        <is>
          <t>PAD-LV 480 V paralleling switchboard</t>
        </is>
      </c>
      <c r="I5146" s="12" t="inlineStr">
        <is>
          <t>Portable LV</t>
        </is>
      </c>
      <c r="J5146" s="12" t="inlineStr">
        <is>
          <t>Type W 2 kV 1/C Cu, EPDM / CPE (portable, cam-lock)</t>
        </is>
      </c>
      <c r="K5146" s="12" t="inlineStr">
        <is>
          <t>W|1/C|4/0</t>
        </is>
      </c>
      <c r="L5146" s="12" t="inlineStr">
        <is>
          <t>1/C</t>
        </is>
      </c>
      <c r="M5146" s="12" t="inlineStr">
        <is>
          <t>4/0</t>
        </is>
      </c>
      <c r="N5146" s="12" t="n">
        <v>4</v>
      </c>
      <c r="O5146" s="12" t="n">
        <v>4</v>
      </c>
      <c r="P5146" s="12" t="n">
        <v>480</v>
      </c>
      <c r="Q5146" s="12" t="n">
        <v>1000</v>
      </c>
      <c r="R5146" s="12" t="n">
        <v>1203</v>
      </c>
      <c r="S5146" s="12" t="inlineStr">
        <is>
          <t>Surface</t>
        </is>
      </c>
      <c r="T5146" s="17" t="n">
        <v>132</v>
      </c>
      <c r="U5146" s="17" t="n">
        <v>27</v>
      </c>
      <c r="V5146" s="17">
        <f>ROUNDUP((T5146+U5146+2*'Read Me'!$B$13)*(1+'Read Me'!$B$12),-1)</f>
        <v/>
      </c>
      <c r="W5146" s="17">
        <f>V5146*N5146*O5146</f>
        <v/>
      </c>
      <c r="X5146" s="12">
        <f>IF(LEFT(I5146,2)="MV",2*N5146*IF(L5146="1/C",O5146,1),0)</f>
        <v/>
      </c>
      <c r="Y5146" s="12">
        <f>IF(OR(LEFT(K5146,4)="LVAX",LEFT(K5146,6)="MV15AX",LEFT(K5146,4)="CTAX",LEFT(K5146,2)="W|"),2*N5146*O5146,0)</f>
        <v/>
      </c>
      <c r="Z5146" s="12" t="inlineStr">
        <is>
          <t>4 x 1/C per set incl. ground</t>
        </is>
      </c>
      <c r="AA5146" s="12">
        <f>N5146*O5146</f>
        <v/>
      </c>
    </row>
    <row r="5147">
      <c r="A5147" s="12" t="inlineStr">
        <is>
          <t>I-PP-0003</t>
        </is>
      </c>
      <c r="B5147" s="12" t="inlineStr">
        <is>
          <t>I</t>
        </is>
      </c>
      <c r="C5147" s="12" t="inlineStr">
        <is>
          <t>Modular / portable power</t>
        </is>
      </c>
      <c r="D5147" s="12" t="inlineStr">
        <is>
          <t>CONT-1 13.8 kV leads to GSP-1</t>
        </is>
      </c>
      <c r="E5147" s="12" t="inlineStr">
        <is>
          <t>CONT-1</t>
        </is>
      </c>
      <c r="F5147" s="12" t="inlineStr">
        <is>
          <t>CONT-1: containerized genset 13.8 kV (40 ft)</t>
        </is>
      </c>
      <c r="G5147" s="12" t="inlineStr">
        <is>
          <t>GSP-1</t>
        </is>
      </c>
      <c r="H5147" s="12" t="inlineStr">
        <is>
          <t>GSP-1: generator breaker / protection</t>
        </is>
      </c>
      <c r="I5147" s="12" t="inlineStr">
        <is>
          <t>Portable MV</t>
        </is>
      </c>
      <c r="J5147" s="12" t="inlineStr">
        <is>
          <t>Type SHD-GC 15 kV 3/C Cu, 2 grounds + GC, yellow CPE (portable)</t>
        </is>
      </c>
      <c r="K5147" s="12" t="inlineStr">
        <is>
          <t>SHD|3/C|2</t>
        </is>
      </c>
      <c r="L5147" s="12" t="inlineStr">
        <is>
          <t>3/C</t>
        </is>
      </c>
      <c r="M5147" s="12" t="inlineStr">
        <is>
          <t>2</t>
        </is>
      </c>
      <c r="N5147" s="12" t="n">
        <v>1</v>
      </c>
      <c r="O5147" s="12" t="n">
        <v>1</v>
      </c>
      <c r="P5147" s="12" t="n">
        <v>13800</v>
      </c>
      <c r="Q5147" s="12" t="n">
        <v>2000</v>
      </c>
      <c r="R5147" s="12" t="n">
        <v>93</v>
      </c>
      <c r="S5147" s="12" t="inlineStr">
        <is>
          <t>Tray</t>
        </is>
      </c>
      <c r="T5147" s="17" t="n">
        <v>0</v>
      </c>
      <c r="U5147" s="17" t="n">
        <v>29</v>
      </c>
      <c r="V5147" s="17">
        <f>ROUNDUP((T5147+U5147+2*'Read Me'!$B$13)*(1+'Read Me'!$B$12),-1)</f>
        <v/>
      </c>
      <c r="W5147" s="17">
        <f>V5147*N5147*O5147</f>
        <v/>
      </c>
      <c r="X5147" s="12">
        <f>IF(LEFT(I5147,2)="MV",2*N5147*IF(L5147="1/C",O5147,1),0)</f>
        <v/>
      </c>
      <c r="Y5147" s="12">
        <f>IF(OR(LEFT(K5147,4)="LVAX",LEFT(K5147,6)="MV15AX",LEFT(K5147,4)="CTAX",LEFT(K5147,2)="W|"),2*N5147*O5147,0)</f>
        <v/>
      </c>
      <c r="Z5147" s="12" t="inlineStr">
        <is>
          <t>portable, on grade</t>
        </is>
      </c>
      <c r="AA5147" s="12">
        <f>N5147*O5147</f>
        <v/>
      </c>
    </row>
    <row r="5148">
      <c r="A5148" s="12" t="inlineStr">
        <is>
          <t>I-PP-0004</t>
        </is>
      </c>
      <c r="B5148" s="12" t="inlineStr">
        <is>
          <t>I</t>
        </is>
      </c>
      <c r="C5148" s="12" t="inlineStr">
        <is>
          <t>Modular / portable power</t>
        </is>
      </c>
      <c r="D5148" s="12" t="inlineStr">
        <is>
          <t>CONT-2 13.8 kV leads to GSP-2</t>
        </is>
      </c>
      <c r="E5148" s="12" t="inlineStr">
        <is>
          <t>CONT-2</t>
        </is>
      </c>
      <c r="F5148" s="12" t="inlineStr">
        <is>
          <t>CONT-2: containerized genset 13.8 kV (40 ft)</t>
        </is>
      </c>
      <c r="G5148" s="12" t="inlineStr">
        <is>
          <t>GSP-2</t>
        </is>
      </c>
      <c r="H5148" s="12" t="inlineStr">
        <is>
          <t>GSP-2: generator breaker / protection</t>
        </is>
      </c>
      <c r="I5148" s="12" t="inlineStr">
        <is>
          <t>Portable MV</t>
        </is>
      </c>
      <c r="J5148" s="12" t="inlineStr">
        <is>
          <t>Type SHD-GC 15 kV 3/C Cu, 2 grounds + GC, yellow CPE (portable)</t>
        </is>
      </c>
      <c r="K5148" s="12" t="inlineStr">
        <is>
          <t>SHD|3/C|2</t>
        </is>
      </c>
      <c r="L5148" s="12" t="inlineStr">
        <is>
          <t>3/C</t>
        </is>
      </c>
      <c r="M5148" s="12" t="inlineStr">
        <is>
          <t>2</t>
        </is>
      </c>
      <c r="N5148" s="12" t="n">
        <v>1</v>
      </c>
      <c r="O5148" s="12" t="n">
        <v>1</v>
      </c>
      <c r="P5148" s="12" t="n">
        <v>13800</v>
      </c>
      <c r="Q5148" s="12" t="n">
        <v>2000</v>
      </c>
      <c r="R5148" s="12" t="n">
        <v>93</v>
      </c>
      <c r="S5148" s="12" t="inlineStr">
        <is>
          <t>Riser</t>
        </is>
      </c>
      <c r="T5148" s="17" t="n">
        <v>2</v>
      </c>
      <c r="U5148" s="17" t="n">
        <v>27</v>
      </c>
      <c r="V5148" s="17">
        <f>ROUNDUP((T5148+U5148+2*'Read Me'!$B$13)*(1+'Read Me'!$B$12),-1)</f>
        <v/>
      </c>
      <c r="W5148" s="17">
        <f>V5148*N5148*O5148</f>
        <v/>
      </c>
      <c r="X5148" s="12">
        <f>IF(LEFT(I5148,2)="MV",2*N5148*IF(L5148="1/C",O5148,1),0)</f>
        <v/>
      </c>
      <c r="Y5148" s="12">
        <f>IF(OR(LEFT(K5148,4)="LVAX",LEFT(K5148,6)="MV15AX",LEFT(K5148,4)="CTAX",LEFT(K5148,2)="W|"),2*N5148*O5148,0)</f>
        <v/>
      </c>
      <c r="Z5148" s="12" t="inlineStr">
        <is>
          <t>portable, on grade</t>
        </is>
      </c>
      <c r="AA5148" s="12">
        <f>N5148*O5148</f>
        <v/>
      </c>
    </row>
    <row r="5149">
      <c r="A5149" s="12" t="inlineStr">
        <is>
          <t>I-PP-0005</t>
        </is>
      </c>
      <c r="B5149" s="12" t="inlineStr">
        <is>
          <t>I</t>
        </is>
      </c>
      <c r="C5149" s="12" t="inlineStr">
        <is>
          <t>Modular / portable power</t>
        </is>
      </c>
      <c r="D5149" s="12" t="inlineStr">
        <is>
          <t>PIC to commissioning load bank</t>
        </is>
      </c>
      <c r="E5149" s="12" t="inlineStr">
        <is>
          <t>PIC</t>
        </is>
      </c>
      <c r="F5149" s="12" t="inlineStr">
        <is>
          <t>PIC: portable input cabinet</t>
        </is>
      </c>
      <c r="G5149" s="12" t="inlineStr">
        <is>
          <t>LB</t>
        </is>
      </c>
      <c r="H5149" s="12" t="inlineStr">
        <is>
          <t>LB: commissioning load bank (trailer)</t>
        </is>
      </c>
      <c r="I5149" s="12" t="inlineStr">
        <is>
          <t>Portable MV</t>
        </is>
      </c>
      <c r="J5149" s="12" t="inlineStr">
        <is>
          <t>Type SHD-GC 15 kV 3/C Cu, 2 grounds + GC, yellow CPE (portable)</t>
        </is>
      </c>
      <c r="K5149" s="12" t="inlineStr">
        <is>
          <t>SHD|3/C|2</t>
        </is>
      </c>
      <c r="L5149" s="12" t="inlineStr">
        <is>
          <t>3/C</t>
        </is>
      </c>
      <c r="M5149" s="12" t="inlineStr">
        <is>
          <t>2</t>
        </is>
      </c>
      <c r="N5149" s="12" t="n">
        <v>1</v>
      </c>
      <c r="O5149" s="12" t="n">
        <v>1</v>
      </c>
      <c r="P5149" s="12" t="n">
        <v>13800</v>
      </c>
      <c r="Q5149" s="12" t="n">
        <v>2000</v>
      </c>
      <c r="R5149" s="12" t="n">
        <v>93</v>
      </c>
      <c r="S5149" s="12" t="inlineStr">
        <is>
          <t>Surface</t>
        </is>
      </c>
      <c r="T5149" s="17" t="n">
        <v>27</v>
      </c>
      <c r="U5149" s="17" t="n">
        <v>39</v>
      </c>
      <c r="V5149" s="17">
        <f>ROUNDUP((T5149+U5149+2*'Read Me'!$B$13)*(1+'Read Me'!$B$12),-1)</f>
        <v/>
      </c>
      <c r="W5149" s="17">
        <f>V5149*N5149*O5149</f>
        <v/>
      </c>
      <c r="X5149" s="12">
        <f>IF(LEFT(I5149,2)="MV",2*N5149*IF(L5149="1/C",O5149,1),0)</f>
        <v/>
      </c>
      <c r="Y5149" s="12">
        <f>IF(OR(LEFT(K5149,4)="LVAX",LEFT(K5149,6)="MV15AX",LEFT(K5149,4)="CTAX",LEFT(K5149,2)="W|"),2*N5149*O5149,0)</f>
        <v/>
      </c>
      <c r="Z5149" s="12" t="inlineStr">
        <is>
          <t>portable</t>
        </is>
      </c>
      <c r="AA5149" s="12">
        <f>N5149*O5149</f>
        <v/>
      </c>
    </row>
    <row r="5150">
      <c r="A5150" s="12" t="inlineStr">
        <is>
          <t>I-PP-0006</t>
        </is>
      </c>
      <c r="B5150" s="12" t="inlineStr">
        <is>
          <t>I</t>
        </is>
      </c>
      <c r="C5150" s="12" t="inlineStr">
        <is>
          <t>Modular / portable power</t>
        </is>
      </c>
      <c r="D5150" s="12" t="inlineStr">
        <is>
          <t>GSP-1 to PAD-EH</t>
        </is>
      </c>
      <c r="E5150" s="12" t="inlineStr">
        <is>
          <t>GSP-1</t>
        </is>
      </c>
      <c r="F5150" s="12" t="inlineStr">
        <is>
          <t>GSP-1: generator breaker / protection</t>
        </is>
      </c>
      <c r="G5150" s="12" t="inlineStr">
        <is>
          <t>PAD-EH</t>
        </is>
      </c>
      <c r="H5150" s="12" t="inlineStr">
        <is>
          <t>PAD-EH 13.8 kV switchgear e-house</t>
        </is>
      </c>
      <c r="I5150" s="12" t="inlineStr">
        <is>
          <t>Portable MV</t>
        </is>
      </c>
      <c r="J5150" s="12" t="inlineStr">
        <is>
          <t>Type SHD-GC 15 kV 3/C Cu, 2 grounds + GC, yellow CPE (portable)</t>
        </is>
      </c>
      <c r="K5150" s="12" t="inlineStr">
        <is>
          <t>SHD|3/C|2</t>
        </is>
      </c>
      <c r="L5150" s="12" t="inlineStr">
        <is>
          <t>3/C</t>
        </is>
      </c>
      <c r="M5150" s="12" t="inlineStr">
        <is>
          <t>2</t>
        </is>
      </c>
      <c r="N5150" s="12" t="n">
        <v>1</v>
      </c>
      <c r="O5150" s="12" t="n">
        <v>1</v>
      </c>
      <c r="P5150" s="12" t="n">
        <v>13800</v>
      </c>
      <c r="Q5150" s="12" t="n">
        <v>2000</v>
      </c>
      <c r="R5150" s="12" t="n">
        <v>93</v>
      </c>
      <c r="S5150" s="12" t="inlineStr">
        <is>
          <t>Surface</t>
        </is>
      </c>
      <c r="T5150" s="17" t="n">
        <v>298</v>
      </c>
      <c r="U5150" s="17" t="n">
        <v>37</v>
      </c>
      <c r="V5150" s="17">
        <f>ROUNDUP((T5150+U5150+2*'Read Me'!$B$13)*(1+'Read Me'!$B$12),-1)</f>
        <v/>
      </c>
      <c r="W5150" s="17">
        <f>V5150*N5150*O5150</f>
        <v/>
      </c>
      <c r="X5150" s="12">
        <f>IF(LEFT(I5150,2)="MV",2*N5150*IF(L5150="1/C",O5150,1),0)</f>
        <v/>
      </c>
      <c r="Y5150" s="12">
        <f>IF(OR(LEFT(K5150,4)="LVAX",LEFT(K5150,6)="MV15AX",LEFT(K5150,4)="CTAX",LEFT(K5150,2)="W|"),2*N5150*O5150,0)</f>
        <v/>
      </c>
      <c r="Z5150" s="12" t="inlineStr">
        <is>
          <t>portable, on grade</t>
        </is>
      </c>
      <c r="AA5150" s="12">
        <f>N5150*O5150</f>
        <v/>
      </c>
    </row>
    <row r="5151">
      <c r="A5151" s="12" t="inlineStr">
        <is>
          <t>I-PP-0007</t>
        </is>
      </c>
      <c r="B5151" s="12" t="inlineStr">
        <is>
          <t>I</t>
        </is>
      </c>
      <c r="C5151" s="12" t="inlineStr">
        <is>
          <t>Modular / portable power</t>
        </is>
      </c>
      <c r="D5151" s="12" t="inlineStr">
        <is>
          <t>GSP-2 to PAD-EH</t>
        </is>
      </c>
      <c r="E5151" s="12" t="inlineStr">
        <is>
          <t>GSP-2</t>
        </is>
      </c>
      <c r="F5151" s="12" t="inlineStr">
        <is>
          <t>GSP-2: generator breaker / protection</t>
        </is>
      </c>
      <c r="G5151" s="12" t="inlineStr">
        <is>
          <t>PAD-EH</t>
        </is>
      </c>
      <c r="H5151" s="12" t="inlineStr">
        <is>
          <t>PAD-EH 13.8 kV switchgear e-house</t>
        </is>
      </c>
      <c r="I5151" s="12" t="inlineStr">
        <is>
          <t>Portable MV</t>
        </is>
      </c>
      <c r="J5151" s="12" t="inlineStr">
        <is>
          <t>Type SHD-GC 15 kV 3/C Cu, 2 grounds + GC, yellow CPE (portable)</t>
        </is>
      </c>
      <c r="K5151" s="12" t="inlineStr">
        <is>
          <t>SHD|3/C|2</t>
        </is>
      </c>
      <c r="L5151" s="12" t="inlineStr">
        <is>
          <t>3/C</t>
        </is>
      </c>
      <c r="M5151" s="12" t="inlineStr">
        <is>
          <t>2</t>
        </is>
      </c>
      <c r="N5151" s="12" t="n">
        <v>1</v>
      </c>
      <c r="O5151" s="12" t="n">
        <v>1</v>
      </c>
      <c r="P5151" s="12" t="n">
        <v>13800</v>
      </c>
      <c r="Q5151" s="12" t="n">
        <v>2000</v>
      </c>
      <c r="R5151" s="12" t="n">
        <v>93</v>
      </c>
      <c r="S5151" s="12" t="inlineStr">
        <is>
          <t>Surface</t>
        </is>
      </c>
      <c r="T5151" s="17" t="n">
        <v>269</v>
      </c>
      <c r="U5151" s="17" t="n">
        <v>37</v>
      </c>
      <c r="V5151" s="17">
        <f>ROUNDUP((T5151+U5151+2*'Read Me'!$B$13)*(1+'Read Me'!$B$12),-1)</f>
        <v/>
      </c>
      <c r="W5151" s="17">
        <f>V5151*N5151*O5151</f>
        <v/>
      </c>
      <c r="X5151" s="12">
        <f>IF(LEFT(I5151,2)="MV",2*N5151*IF(L5151="1/C",O5151,1),0)</f>
        <v/>
      </c>
      <c r="Y5151" s="12">
        <f>IF(OR(LEFT(K5151,4)="LVAX",LEFT(K5151,6)="MV15AX",LEFT(K5151,4)="CTAX",LEFT(K5151,2)="W|"),2*N5151*O5151,0)</f>
        <v/>
      </c>
      <c r="Z5151" s="12" t="inlineStr">
        <is>
          <t>portable, on grade</t>
        </is>
      </c>
      <c r="AA5151" s="12">
        <f>N5151*O5151</f>
        <v/>
      </c>
    </row>
    <row r="5152">
      <c r="A5152" s="12" t="inlineStr">
        <is>
          <t>I-PP-0008</t>
        </is>
      </c>
      <c r="B5152" s="12" t="inlineStr">
        <is>
          <t>I</t>
        </is>
      </c>
      <c r="C5152" s="12" t="inlineStr">
        <is>
          <t>Modular / portable power</t>
        </is>
      </c>
      <c r="D5152" s="12" t="inlineStr">
        <is>
          <t>MOB-1 13.8 kV to PIC through the C-L01 ramp</t>
        </is>
      </c>
      <c r="E5152" s="12" t="inlineStr">
        <is>
          <t>MOB-1</t>
        </is>
      </c>
      <c r="F5152" s="12" t="inlineStr">
        <is>
          <t>MOB-1: trailer genset</t>
        </is>
      </c>
      <c r="G5152" s="12" t="inlineStr">
        <is>
          <t>PIC</t>
        </is>
      </c>
      <c r="H5152" s="12" t="inlineStr">
        <is>
          <t>PIC: portable input cabinet</t>
        </is>
      </c>
      <c r="I5152" s="12" t="inlineStr">
        <is>
          <t>Portable MV</t>
        </is>
      </c>
      <c r="J5152" s="12" t="inlineStr">
        <is>
          <t>Type SHD-GC 15 kV 3/C Cu, 2 grounds + GC, yellow CPE (portable)</t>
        </is>
      </c>
      <c r="K5152" s="12" t="inlineStr">
        <is>
          <t>SHD|3/C|2</t>
        </is>
      </c>
      <c r="L5152" s="12" t="inlineStr">
        <is>
          <t>3/C</t>
        </is>
      </c>
      <c r="M5152" s="12" t="inlineStr">
        <is>
          <t>2</t>
        </is>
      </c>
      <c r="N5152" s="12" t="n">
        <v>1</v>
      </c>
      <c r="O5152" s="12" t="n">
        <v>1</v>
      </c>
      <c r="P5152" s="12" t="n">
        <v>13800</v>
      </c>
      <c r="Q5152" s="12" t="n">
        <v>2000</v>
      </c>
      <c r="R5152" s="12" t="n">
        <v>93</v>
      </c>
      <c r="S5152" s="12" t="inlineStr">
        <is>
          <t>Surface</t>
        </is>
      </c>
      <c r="T5152" s="17" t="n">
        <v>162</v>
      </c>
      <c r="U5152" s="17" t="n">
        <v>27</v>
      </c>
      <c r="V5152" s="17">
        <f>ROUNDUP((T5152+U5152+2*'Read Me'!$B$13)*(1+'Read Me'!$B$12),-1)</f>
        <v/>
      </c>
      <c r="W5152" s="17">
        <f>V5152*N5152*O5152</f>
        <v/>
      </c>
      <c r="X5152" s="12">
        <f>IF(LEFT(I5152,2)="MV",2*N5152*IF(L5152="1/C",O5152,1),0)</f>
        <v/>
      </c>
      <c r="Y5152" s="12">
        <f>IF(OR(LEFT(K5152,4)="LVAX",LEFT(K5152,6)="MV15AX",LEFT(K5152,4)="CTAX",LEFT(K5152,2)="W|"),2*N5152*O5152,0)</f>
        <v/>
      </c>
      <c r="Z5152" s="12" t="inlineStr">
        <is>
          <t>portable</t>
        </is>
      </c>
      <c r="AA5152" s="12">
        <f>N5152*O5152</f>
        <v/>
      </c>
    </row>
    <row r="5153">
      <c r="A5153" s="12" t="inlineStr">
        <is>
          <t>J-C-0001</t>
        </is>
      </c>
      <c r="B5153" s="12" t="inlineStr">
        <is>
          <t>J</t>
        </is>
      </c>
      <c r="C5153" s="12" t="inlineStr">
        <is>
          <t>GT inlet chilling</t>
        </is>
      </c>
      <c r="D5153" s="12" t="inlineStr">
        <is>
          <t>Motor 1 of 4: control / local station</t>
        </is>
      </c>
      <c r="E5153" s="12" t="inlineStr"/>
      <c r="F5153" s="12" t="inlineStr">
        <is>
          <t>Inlet-chilling e-house / transformer</t>
        </is>
      </c>
      <c r="G5153" s="12" t="inlineStr"/>
      <c r="H5153" s="12" t="inlineStr">
        <is>
          <t>CHW pumps</t>
        </is>
      </c>
      <c r="I5153" s="12" t="inlineStr">
        <is>
          <t>Control</t>
        </is>
      </c>
      <c r="J5153" s="12" t="inlineStr">
        <is>
          <t>Control cable 600 V Type TC-ER, Cu #14 AWG, PVC jacket</t>
        </is>
      </c>
      <c r="K5153" s="12" t="inlineStr">
        <is>
          <t>CT|7/C|14</t>
        </is>
      </c>
      <c r="L5153" s="12" t="inlineStr">
        <is>
          <t>7/C</t>
        </is>
      </c>
      <c r="M5153" s="12" t="inlineStr">
        <is>
          <t>14</t>
        </is>
      </c>
      <c r="N5153" s="12" t="n">
        <v>1</v>
      </c>
      <c r="O5153" s="12" t="n">
        <v>1</v>
      </c>
      <c r="P5153" s="12" t="n"/>
      <c r="Q5153" s="12" t="n"/>
      <c r="R5153" s="12" t="n"/>
      <c r="S5153" s="12" t="inlineStr">
        <is>
          <t>Duct bank</t>
        </is>
      </c>
      <c r="T5153" s="17" t="n">
        <v>579</v>
      </c>
      <c r="U5153" s="17" t="n">
        <v>32</v>
      </c>
      <c r="V5153" s="17">
        <f>ROUNDUP((T5153+U5153+2*'Read Me'!$B$13)*(1+'Read Me'!$B$12),-1)</f>
        <v/>
      </c>
      <c r="W5153" s="17">
        <f>V5153*N5153*O5153</f>
        <v/>
      </c>
      <c r="X5153" s="12">
        <f>IF(LEFT(I5153,2)="MV",2*N5153*IF(L5153="1/C",O5153,1),0)</f>
        <v/>
      </c>
      <c r="Y5153" s="12">
        <f>IF(OR(LEFT(K5153,4)="LVAX",LEFT(K5153,6)="MV15AX",LEFT(K5153,4)="CTAX",LEFT(K5153,2)="W|"),2*N5153*O5153,0)</f>
        <v/>
      </c>
      <c r="Z5153" s="12" t="inlineStr"/>
      <c r="AA5153" s="12">
        <f>N5153*O5153</f>
        <v/>
      </c>
    </row>
    <row r="5154">
      <c r="A5154" s="12" t="inlineStr">
        <is>
          <t>J-C-0002</t>
        </is>
      </c>
      <c r="B5154" s="12" t="inlineStr">
        <is>
          <t>J</t>
        </is>
      </c>
      <c r="C5154" s="12" t="inlineStr">
        <is>
          <t>GT inlet chilling</t>
        </is>
      </c>
      <c r="D5154" s="12" t="inlineStr">
        <is>
          <t>Motor 2 of 4: control / local station</t>
        </is>
      </c>
      <c r="E5154" s="12" t="inlineStr"/>
      <c r="F5154" s="12" t="inlineStr">
        <is>
          <t>Inlet-chilling e-house / transformer</t>
        </is>
      </c>
      <c r="G5154" s="12" t="inlineStr"/>
      <c r="H5154" s="12" t="inlineStr">
        <is>
          <t>CHW pumps</t>
        </is>
      </c>
      <c r="I5154" s="12" t="inlineStr">
        <is>
          <t>Control</t>
        </is>
      </c>
      <c r="J5154" s="12" t="inlineStr">
        <is>
          <t>Control cable 600 V Type TC-ER, Cu #14 AWG, PVC jacket</t>
        </is>
      </c>
      <c r="K5154" s="12" t="inlineStr">
        <is>
          <t>CT|7/C|14</t>
        </is>
      </c>
      <c r="L5154" s="12" t="inlineStr">
        <is>
          <t>7/C</t>
        </is>
      </c>
      <c r="M5154" s="12" t="inlineStr">
        <is>
          <t>14</t>
        </is>
      </c>
      <c r="N5154" s="12" t="n">
        <v>1</v>
      </c>
      <c r="O5154" s="12" t="n">
        <v>1</v>
      </c>
      <c r="P5154" s="12" t="n"/>
      <c r="Q5154" s="12" t="n"/>
      <c r="R5154" s="12" t="n"/>
      <c r="S5154" s="12" t="inlineStr">
        <is>
          <t>Duct bank</t>
        </is>
      </c>
      <c r="T5154" s="17" t="n">
        <v>579</v>
      </c>
      <c r="U5154" s="17" t="n">
        <v>32</v>
      </c>
      <c r="V5154" s="17">
        <f>ROUNDUP((T5154+U5154+2*'Read Me'!$B$13)*(1+'Read Me'!$B$12),-1)</f>
        <v/>
      </c>
      <c r="W5154" s="17">
        <f>V5154*N5154*O5154</f>
        <v/>
      </c>
      <c r="X5154" s="12">
        <f>IF(LEFT(I5154,2)="MV",2*N5154*IF(L5154="1/C",O5154,1),0)</f>
        <v/>
      </c>
      <c r="Y5154" s="12">
        <f>IF(OR(LEFT(K5154,4)="LVAX",LEFT(K5154,6)="MV15AX",LEFT(K5154,4)="CTAX",LEFT(K5154,2)="W|"),2*N5154*O5154,0)</f>
        <v/>
      </c>
      <c r="Z5154" s="12" t="inlineStr"/>
      <c r="AA5154" s="12">
        <f>N5154*O5154</f>
        <v/>
      </c>
    </row>
    <row r="5155">
      <c r="A5155" s="12" t="inlineStr">
        <is>
          <t>J-C-0003</t>
        </is>
      </c>
      <c r="B5155" s="12" t="inlineStr">
        <is>
          <t>J</t>
        </is>
      </c>
      <c r="C5155" s="12" t="inlineStr">
        <is>
          <t>GT inlet chilling</t>
        </is>
      </c>
      <c r="D5155" s="12" t="inlineStr">
        <is>
          <t>Motor 3 of 4: control / local station</t>
        </is>
      </c>
      <c r="E5155" s="12" t="inlineStr"/>
      <c r="F5155" s="12" t="inlineStr">
        <is>
          <t>Inlet-chilling e-house / transformer</t>
        </is>
      </c>
      <c r="G5155" s="12" t="inlineStr"/>
      <c r="H5155" s="12" t="inlineStr">
        <is>
          <t>CHW pumps</t>
        </is>
      </c>
      <c r="I5155" s="12" t="inlineStr">
        <is>
          <t>Control</t>
        </is>
      </c>
      <c r="J5155" s="12" t="inlineStr">
        <is>
          <t>Control cable 600 V Type TC-ER, Cu #14 AWG, PVC jacket</t>
        </is>
      </c>
      <c r="K5155" s="12" t="inlineStr">
        <is>
          <t>CT|7/C|14</t>
        </is>
      </c>
      <c r="L5155" s="12" t="inlineStr">
        <is>
          <t>7/C</t>
        </is>
      </c>
      <c r="M5155" s="12" t="inlineStr">
        <is>
          <t>14</t>
        </is>
      </c>
      <c r="N5155" s="12" t="n">
        <v>1</v>
      </c>
      <c r="O5155" s="12" t="n">
        <v>1</v>
      </c>
      <c r="P5155" s="12" t="n"/>
      <c r="Q5155" s="12" t="n"/>
      <c r="R5155" s="12" t="n"/>
      <c r="S5155" s="12" t="inlineStr">
        <is>
          <t>Duct bank</t>
        </is>
      </c>
      <c r="T5155" s="17" t="n">
        <v>579</v>
      </c>
      <c r="U5155" s="17" t="n">
        <v>32</v>
      </c>
      <c r="V5155" s="17">
        <f>ROUNDUP((T5155+U5155+2*'Read Me'!$B$13)*(1+'Read Me'!$B$12),-1)</f>
        <v/>
      </c>
      <c r="W5155" s="17">
        <f>V5155*N5155*O5155</f>
        <v/>
      </c>
      <c r="X5155" s="12">
        <f>IF(LEFT(I5155,2)="MV",2*N5155*IF(L5155="1/C",O5155,1),0)</f>
        <v/>
      </c>
      <c r="Y5155" s="12">
        <f>IF(OR(LEFT(K5155,4)="LVAX",LEFT(K5155,6)="MV15AX",LEFT(K5155,4)="CTAX",LEFT(K5155,2)="W|"),2*N5155*O5155,0)</f>
        <v/>
      </c>
      <c r="Z5155" s="12" t="inlineStr"/>
      <c r="AA5155" s="12">
        <f>N5155*O5155</f>
        <v/>
      </c>
    </row>
    <row r="5156">
      <c r="A5156" s="12" t="inlineStr">
        <is>
          <t>J-C-0004</t>
        </is>
      </c>
      <c r="B5156" s="12" t="inlineStr">
        <is>
          <t>J</t>
        </is>
      </c>
      <c r="C5156" s="12" t="inlineStr">
        <is>
          <t>GT inlet chilling</t>
        </is>
      </c>
      <c r="D5156" s="12" t="inlineStr">
        <is>
          <t>Motor 4 of 4: control / local station</t>
        </is>
      </c>
      <c r="E5156" s="12" t="inlineStr"/>
      <c r="F5156" s="12" t="inlineStr">
        <is>
          <t>Inlet-chilling e-house / transformer</t>
        </is>
      </c>
      <c r="G5156" s="12" t="inlineStr"/>
      <c r="H5156" s="12" t="inlineStr">
        <is>
          <t>CHW pumps</t>
        </is>
      </c>
      <c r="I5156" s="12" t="inlineStr">
        <is>
          <t>Control</t>
        </is>
      </c>
      <c r="J5156" s="12" t="inlineStr">
        <is>
          <t>Control cable 600 V Type TC-ER, Cu #14 AWG, PVC jacket</t>
        </is>
      </c>
      <c r="K5156" s="12" t="inlineStr">
        <is>
          <t>CT|7/C|14</t>
        </is>
      </c>
      <c r="L5156" s="12" t="inlineStr">
        <is>
          <t>7/C</t>
        </is>
      </c>
      <c r="M5156" s="12" t="inlineStr">
        <is>
          <t>14</t>
        </is>
      </c>
      <c r="N5156" s="12" t="n">
        <v>1</v>
      </c>
      <c r="O5156" s="12" t="n">
        <v>1</v>
      </c>
      <c r="P5156" s="12" t="n"/>
      <c r="Q5156" s="12" t="n"/>
      <c r="R5156" s="12" t="n"/>
      <c r="S5156" s="12" t="inlineStr">
        <is>
          <t>Duct bank</t>
        </is>
      </c>
      <c r="T5156" s="17" t="n">
        <v>579</v>
      </c>
      <c r="U5156" s="17" t="n">
        <v>32</v>
      </c>
      <c r="V5156" s="17">
        <f>ROUNDUP((T5156+U5156+2*'Read Me'!$B$13)*(1+'Read Me'!$B$12),-1)</f>
        <v/>
      </c>
      <c r="W5156" s="17">
        <f>V5156*N5156*O5156</f>
        <v/>
      </c>
      <c r="X5156" s="12">
        <f>IF(LEFT(I5156,2)="MV",2*N5156*IF(L5156="1/C",O5156,1),0)</f>
        <v/>
      </c>
      <c r="Y5156" s="12">
        <f>IF(OR(LEFT(K5156,4)="LVAX",LEFT(K5156,6)="MV15AX",LEFT(K5156,4)="CTAX",LEFT(K5156,2)="W|"),2*N5156*O5156,0)</f>
        <v/>
      </c>
      <c r="Z5156" s="12" t="inlineStr"/>
      <c r="AA5156" s="12">
        <f>N5156*O5156</f>
        <v/>
      </c>
    </row>
    <row r="5157">
      <c r="A5157" s="12" t="inlineStr">
        <is>
          <t>J-C-0005</t>
        </is>
      </c>
      <c r="B5157" s="12" t="inlineStr">
        <is>
          <t>J</t>
        </is>
      </c>
      <c r="C5157" s="12" t="inlineStr">
        <is>
          <t>GT inlet chilling</t>
        </is>
      </c>
      <c r="D5157" s="12" t="inlineStr">
        <is>
          <t>Motor 1 of 6: control / local station</t>
        </is>
      </c>
      <c r="E5157" s="12" t="inlineStr"/>
      <c r="F5157" s="12" t="inlineStr">
        <is>
          <t>Inlet-chilling e-house / transformer</t>
        </is>
      </c>
      <c r="G5157" s="12" t="inlineStr"/>
      <c r="H5157" s="12" t="inlineStr">
        <is>
          <t>Chillers x6 (water-cooled)</t>
        </is>
      </c>
      <c r="I5157" s="12" t="inlineStr">
        <is>
          <t>Control</t>
        </is>
      </c>
      <c r="J5157" s="12" t="inlineStr">
        <is>
          <t>Control cable 600 V Type TC-ER, Cu #14 AWG, PVC jacket</t>
        </is>
      </c>
      <c r="K5157" s="12" t="inlineStr">
        <is>
          <t>CT|7/C|14</t>
        </is>
      </c>
      <c r="L5157" s="12" t="inlineStr">
        <is>
          <t>7/C</t>
        </is>
      </c>
      <c r="M5157" s="12" t="inlineStr">
        <is>
          <t>14</t>
        </is>
      </c>
      <c r="N5157" s="12" t="n">
        <v>1</v>
      </c>
      <c r="O5157" s="12" t="n">
        <v>1</v>
      </c>
      <c r="P5157" s="12" t="n"/>
      <c r="Q5157" s="12" t="n"/>
      <c r="R5157" s="12" t="n"/>
      <c r="S5157" s="12" t="inlineStr">
        <is>
          <t>Duct bank</t>
        </is>
      </c>
      <c r="T5157" s="17" t="n">
        <v>10</v>
      </c>
      <c r="U5157" s="17" t="n">
        <v>32</v>
      </c>
      <c r="V5157" s="17">
        <f>ROUNDUP((T5157+U5157+2*'Read Me'!$B$13)*(1+'Read Me'!$B$12),-1)</f>
        <v/>
      </c>
      <c r="W5157" s="17">
        <f>V5157*N5157*O5157</f>
        <v/>
      </c>
      <c r="X5157" s="12">
        <f>IF(LEFT(I5157,2)="MV",2*N5157*IF(L5157="1/C",O5157,1),0)</f>
        <v/>
      </c>
      <c r="Y5157" s="12">
        <f>IF(OR(LEFT(K5157,4)="LVAX",LEFT(K5157,6)="MV15AX",LEFT(K5157,4)="CTAX",LEFT(K5157,2)="W|"),2*N5157*O5157,0)</f>
        <v/>
      </c>
      <c r="Z5157" s="12" t="inlineStr"/>
      <c r="AA5157" s="12">
        <f>N5157*O5157</f>
        <v/>
      </c>
    </row>
    <row r="5158">
      <c r="A5158" s="12" t="inlineStr">
        <is>
          <t>J-C-0006</t>
        </is>
      </c>
      <c r="B5158" s="12" t="inlineStr">
        <is>
          <t>J</t>
        </is>
      </c>
      <c r="C5158" s="12" t="inlineStr">
        <is>
          <t>GT inlet chilling</t>
        </is>
      </c>
      <c r="D5158" s="12" t="inlineStr">
        <is>
          <t>Motor 2 of 6: control / local station</t>
        </is>
      </c>
      <c r="E5158" s="12" t="inlineStr"/>
      <c r="F5158" s="12" t="inlineStr">
        <is>
          <t>Inlet-chilling e-house / transformer</t>
        </is>
      </c>
      <c r="G5158" s="12" t="inlineStr"/>
      <c r="H5158" s="12" t="inlineStr">
        <is>
          <t>Chillers x6 (water-cooled)</t>
        </is>
      </c>
      <c r="I5158" s="12" t="inlineStr">
        <is>
          <t>Control</t>
        </is>
      </c>
      <c r="J5158" s="12" t="inlineStr">
        <is>
          <t>Control cable 600 V Type TC-ER, Cu #14 AWG, PVC jacket</t>
        </is>
      </c>
      <c r="K5158" s="12" t="inlineStr">
        <is>
          <t>CT|7/C|14</t>
        </is>
      </c>
      <c r="L5158" s="12" t="inlineStr">
        <is>
          <t>7/C</t>
        </is>
      </c>
      <c r="M5158" s="12" t="inlineStr">
        <is>
          <t>14</t>
        </is>
      </c>
      <c r="N5158" s="12" t="n">
        <v>1</v>
      </c>
      <c r="O5158" s="12" t="n">
        <v>1</v>
      </c>
      <c r="P5158" s="12" t="n"/>
      <c r="Q5158" s="12" t="n"/>
      <c r="R5158" s="12" t="n"/>
      <c r="S5158" s="12" t="inlineStr">
        <is>
          <t>Duct bank</t>
        </is>
      </c>
      <c r="T5158" s="17" t="n">
        <v>10</v>
      </c>
      <c r="U5158" s="17" t="n">
        <v>32</v>
      </c>
      <c r="V5158" s="17">
        <f>ROUNDUP((T5158+U5158+2*'Read Me'!$B$13)*(1+'Read Me'!$B$12),-1)</f>
        <v/>
      </c>
      <c r="W5158" s="17">
        <f>V5158*N5158*O5158</f>
        <v/>
      </c>
      <c r="X5158" s="12">
        <f>IF(LEFT(I5158,2)="MV",2*N5158*IF(L5158="1/C",O5158,1),0)</f>
        <v/>
      </c>
      <c r="Y5158" s="12">
        <f>IF(OR(LEFT(K5158,4)="LVAX",LEFT(K5158,6)="MV15AX",LEFT(K5158,4)="CTAX",LEFT(K5158,2)="W|"),2*N5158*O5158,0)</f>
        <v/>
      </c>
      <c r="Z5158" s="12" t="inlineStr"/>
      <c r="AA5158" s="12">
        <f>N5158*O5158</f>
        <v/>
      </c>
    </row>
    <row r="5159">
      <c r="A5159" s="12" t="inlineStr">
        <is>
          <t>J-C-0007</t>
        </is>
      </c>
      <c r="B5159" s="12" t="inlineStr">
        <is>
          <t>J</t>
        </is>
      </c>
      <c r="C5159" s="12" t="inlineStr">
        <is>
          <t>GT inlet chilling</t>
        </is>
      </c>
      <c r="D5159" s="12" t="inlineStr">
        <is>
          <t>Motor 3 of 6: control / local station</t>
        </is>
      </c>
      <c r="E5159" s="12" t="inlineStr"/>
      <c r="F5159" s="12" t="inlineStr">
        <is>
          <t>Inlet-chilling e-house / transformer</t>
        </is>
      </c>
      <c r="G5159" s="12" t="inlineStr"/>
      <c r="H5159" s="12" t="inlineStr">
        <is>
          <t>Chillers x6 (water-cooled)</t>
        </is>
      </c>
      <c r="I5159" s="12" t="inlineStr">
        <is>
          <t>Control</t>
        </is>
      </c>
      <c r="J5159" s="12" t="inlineStr">
        <is>
          <t>Control cable 600 V Type TC-ER, Cu #14 AWG, PVC jacket</t>
        </is>
      </c>
      <c r="K5159" s="12" t="inlineStr">
        <is>
          <t>CT|7/C|14</t>
        </is>
      </c>
      <c r="L5159" s="12" t="inlineStr">
        <is>
          <t>7/C</t>
        </is>
      </c>
      <c r="M5159" s="12" t="inlineStr">
        <is>
          <t>14</t>
        </is>
      </c>
      <c r="N5159" s="12" t="n">
        <v>1</v>
      </c>
      <c r="O5159" s="12" t="n">
        <v>1</v>
      </c>
      <c r="P5159" s="12" t="n"/>
      <c r="Q5159" s="12" t="n"/>
      <c r="R5159" s="12" t="n"/>
      <c r="S5159" s="12" t="inlineStr">
        <is>
          <t>Duct bank</t>
        </is>
      </c>
      <c r="T5159" s="17" t="n">
        <v>10</v>
      </c>
      <c r="U5159" s="17" t="n">
        <v>32</v>
      </c>
      <c r="V5159" s="17">
        <f>ROUNDUP((T5159+U5159+2*'Read Me'!$B$13)*(1+'Read Me'!$B$12),-1)</f>
        <v/>
      </c>
      <c r="W5159" s="17">
        <f>V5159*N5159*O5159</f>
        <v/>
      </c>
      <c r="X5159" s="12">
        <f>IF(LEFT(I5159,2)="MV",2*N5159*IF(L5159="1/C",O5159,1),0)</f>
        <v/>
      </c>
      <c r="Y5159" s="12">
        <f>IF(OR(LEFT(K5159,4)="LVAX",LEFT(K5159,6)="MV15AX",LEFT(K5159,4)="CTAX",LEFT(K5159,2)="W|"),2*N5159*O5159,0)</f>
        <v/>
      </c>
      <c r="Z5159" s="12" t="inlineStr"/>
      <c r="AA5159" s="12">
        <f>N5159*O5159</f>
        <v/>
      </c>
    </row>
    <row r="5160">
      <c r="A5160" s="12" t="inlineStr">
        <is>
          <t>J-C-0008</t>
        </is>
      </c>
      <c r="B5160" s="12" t="inlineStr">
        <is>
          <t>J</t>
        </is>
      </c>
      <c r="C5160" s="12" t="inlineStr">
        <is>
          <t>GT inlet chilling</t>
        </is>
      </c>
      <c r="D5160" s="12" t="inlineStr">
        <is>
          <t>Motor 4 of 6: control / local station</t>
        </is>
      </c>
      <c r="E5160" s="12" t="inlineStr"/>
      <c r="F5160" s="12" t="inlineStr">
        <is>
          <t>Inlet-chilling e-house / transformer</t>
        </is>
      </c>
      <c r="G5160" s="12" t="inlineStr"/>
      <c r="H5160" s="12" t="inlineStr">
        <is>
          <t>Chillers x6 (water-cooled)</t>
        </is>
      </c>
      <c r="I5160" s="12" t="inlineStr">
        <is>
          <t>Control</t>
        </is>
      </c>
      <c r="J5160" s="12" t="inlineStr">
        <is>
          <t>Control cable 600 V Type TC-ER, Cu #14 AWG, PVC jacket</t>
        </is>
      </c>
      <c r="K5160" s="12" t="inlineStr">
        <is>
          <t>CT|7/C|14</t>
        </is>
      </c>
      <c r="L5160" s="12" t="inlineStr">
        <is>
          <t>7/C</t>
        </is>
      </c>
      <c r="M5160" s="12" t="inlineStr">
        <is>
          <t>14</t>
        </is>
      </c>
      <c r="N5160" s="12" t="n">
        <v>1</v>
      </c>
      <c r="O5160" s="12" t="n">
        <v>1</v>
      </c>
      <c r="P5160" s="12" t="n"/>
      <c r="Q5160" s="12" t="n"/>
      <c r="R5160" s="12" t="n"/>
      <c r="S5160" s="12" t="inlineStr">
        <is>
          <t>Duct bank</t>
        </is>
      </c>
      <c r="T5160" s="17" t="n">
        <v>10</v>
      </c>
      <c r="U5160" s="17" t="n">
        <v>32</v>
      </c>
      <c r="V5160" s="17">
        <f>ROUNDUP((T5160+U5160+2*'Read Me'!$B$13)*(1+'Read Me'!$B$12),-1)</f>
        <v/>
      </c>
      <c r="W5160" s="17">
        <f>V5160*N5160*O5160</f>
        <v/>
      </c>
      <c r="X5160" s="12">
        <f>IF(LEFT(I5160,2)="MV",2*N5160*IF(L5160="1/C",O5160,1),0)</f>
        <v/>
      </c>
      <c r="Y5160" s="12">
        <f>IF(OR(LEFT(K5160,4)="LVAX",LEFT(K5160,6)="MV15AX",LEFT(K5160,4)="CTAX",LEFT(K5160,2)="W|"),2*N5160*O5160,0)</f>
        <v/>
      </c>
      <c r="Z5160" s="12" t="inlineStr"/>
      <c r="AA5160" s="12">
        <f>N5160*O5160</f>
        <v/>
      </c>
    </row>
    <row r="5161">
      <c r="A5161" s="12" t="inlineStr">
        <is>
          <t>J-C-0009</t>
        </is>
      </c>
      <c r="B5161" s="12" t="inlineStr">
        <is>
          <t>J</t>
        </is>
      </c>
      <c r="C5161" s="12" t="inlineStr">
        <is>
          <t>GT inlet chilling</t>
        </is>
      </c>
      <c r="D5161" s="12" t="inlineStr">
        <is>
          <t>Motor 5 of 6: control / local station</t>
        </is>
      </c>
      <c r="E5161" s="12" t="inlineStr"/>
      <c r="F5161" s="12" t="inlineStr">
        <is>
          <t>Inlet-chilling e-house / transformer</t>
        </is>
      </c>
      <c r="G5161" s="12" t="inlineStr"/>
      <c r="H5161" s="12" t="inlineStr">
        <is>
          <t>Chillers x6 (water-cooled)</t>
        </is>
      </c>
      <c r="I5161" s="12" t="inlineStr">
        <is>
          <t>Control</t>
        </is>
      </c>
      <c r="J5161" s="12" t="inlineStr">
        <is>
          <t>Control cable 600 V Type TC-ER, Cu #14 AWG, PVC jacket</t>
        </is>
      </c>
      <c r="K5161" s="12" t="inlineStr">
        <is>
          <t>CT|7/C|14</t>
        </is>
      </c>
      <c r="L5161" s="12" t="inlineStr">
        <is>
          <t>7/C</t>
        </is>
      </c>
      <c r="M5161" s="12" t="inlineStr">
        <is>
          <t>14</t>
        </is>
      </c>
      <c r="N5161" s="12" t="n">
        <v>1</v>
      </c>
      <c r="O5161" s="12" t="n">
        <v>1</v>
      </c>
      <c r="P5161" s="12" t="n"/>
      <c r="Q5161" s="12" t="n"/>
      <c r="R5161" s="12" t="n"/>
      <c r="S5161" s="12" t="inlineStr">
        <is>
          <t>Duct bank</t>
        </is>
      </c>
      <c r="T5161" s="17" t="n">
        <v>10</v>
      </c>
      <c r="U5161" s="17" t="n">
        <v>32</v>
      </c>
      <c r="V5161" s="17">
        <f>ROUNDUP((T5161+U5161+2*'Read Me'!$B$13)*(1+'Read Me'!$B$12),-1)</f>
        <v/>
      </c>
      <c r="W5161" s="17">
        <f>V5161*N5161*O5161</f>
        <v/>
      </c>
      <c r="X5161" s="12">
        <f>IF(LEFT(I5161,2)="MV",2*N5161*IF(L5161="1/C",O5161,1),0)</f>
        <v/>
      </c>
      <c r="Y5161" s="12">
        <f>IF(OR(LEFT(K5161,4)="LVAX",LEFT(K5161,6)="MV15AX",LEFT(K5161,4)="CTAX",LEFT(K5161,2)="W|"),2*N5161*O5161,0)</f>
        <v/>
      </c>
      <c r="Z5161" s="12" t="inlineStr"/>
      <c r="AA5161" s="12">
        <f>N5161*O5161</f>
        <v/>
      </c>
    </row>
    <row r="5162">
      <c r="A5162" s="12" t="inlineStr">
        <is>
          <t>J-C-0010</t>
        </is>
      </c>
      <c r="B5162" s="12" t="inlineStr">
        <is>
          <t>J</t>
        </is>
      </c>
      <c r="C5162" s="12" t="inlineStr">
        <is>
          <t>GT inlet chilling</t>
        </is>
      </c>
      <c r="D5162" s="12" t="inlineStr">
        <is>
          <t>Motor 6 of 6: control / local station</t>
        </is>
      </c>
      <c r="E5162" s="12" t="inlineStr"/>
      <c r="F5162" s="12" t="inlineStr">
        <is>
          <t>Inlet-chilling e-house / transformer</t>
        </is>
      </c>
      <c r="G5162" s="12" t="inlineStr"/>
      <c r="H5162" s="12" t="inlineStr">
        <is>
          <t>Chillers x6 (water-cooled)</t>
        </is>
      </c>
      <c r="I5162" s="12" t="inlineStr">
        <is>
          <t>Control</t>
        </is>
      </c>
      <c r="J5162" s="12" t="inlineStr">
        <is>
          <t>Control cable 600 V Type TC-ER, Cu #14 AWG, PVC jacket</t>
        </is>
      </c>
      <c r="K5162" s="12" t="inlineStr">
        <is>
          <t>CT|7/C|14</t>
        </is>
      </c>
      <c r="L5162" s="12" t="inlineStr">
        <is>
          <t>7/C</t>
        </is>
      </c>
      <c r="M5162" s="12" t="inlineStr">
        <is>
          <t>14</t>
        </is>
      </c>
      <c r="N5162" s="12" t="n">
        <v>1</v>
      </c>
      <c r="O5162" s="12" t="n">
        <v>1</v>
      </c>
      <c r="P5162" s="12" t="n"/>
      <c r="Q5162" s="12" t="n"/>
      <c r="R5162" s="12" t="n"/>
      <c r="S5162" s="12" t="inlineStr">
        <is>
          <t>Duct bank</t>
        </is>
      </c>
      <c r="T5162" s="17" t="n">
        <v>10</v>
      </c>
      <c r="U5162" s="17" t="n">
        <v>32</v>
      </c>
      <c r="V5162" s="17">
        <f>ROUNDUP((T5162+U5162+2*'Read Me'!$B$13)*(1+'Read Me'!$B$12),-1)</f>
        <v/>
      </c>
      <c r="W5162" s="17">
        <f>V5162*N5162*O5162</f>
        <v/>
      </c>
      <c r="X5162" s="12">
        <f>IF(LEFT(I5162,2)="MV",2*N5162*IF(L5162="1/C",O5162,1),0)</f>
        <v/>
      </c>
      <c r="Y5162" s="12">
        <f>IF(OR(LEFT(K5162,4)="LVAX",LEFT(K5162,6)="MV15AX",LEFT(K5162,4)="CTAX",LEFT(K5162,2)="W|"),2*N5162*O5162,0)</f>
        <v/>
      </c>
      <c r="Z5162" s="12" t="inlineStr"/>
      <c r="AA5162" s="12">
        <f>N5162*O5162</f>
        <v/>
      </c>
    </row>
    <row r="5163">
      <c r="A5163" s="12" t="inlineStr">
        <is>
          <t>J-C-0011</t>
        </is>
      </c>
      <c r="B5163" s="12" t="inlineStr">
        <is>
          <t>J</t>
        </is>
      </c>
      <c r="C5163" s="12" t="inlineStr">
        <is>
          <t>GT inlet chilling</t>
        </is>
      </c>
      <c r="D5163" s="12" t="inlineStr">
        <is>
          <t>Control</t>
        </is>
      </c>
      <c r="E5163" s="12" t="inlineStr"/>
      <c r="F5163" s="12" t="inlineStr">
        <is>
          <t>Inlet-chilling e-house / transformer</t>
        </is>
      </c>
      <c r="G5163" s="12" t="inlineStr"/>
      <c r="H5163" s="12" t="inlineStr">
        <is>
          <t>Inlet-chilling e-house / transformer</t>
        </is>
      </c>
      <c r="I5163" s="12" t="inlineStr">
        <is>
          <t>Control</t>
        </is>
      </c>
      <c r="J5163" s="12" t="inlineStr">
        <is>
          <t>Control cable 600 V Type TC-ER, Cu #14 AWG, PVC jacket</t>
        </is>
      </c>
      <c r="K5163" s="12" t="inlineStr">
        <is>
          <t>CT|7/C|14</t>
        </is>
      </c>
      <c r="L5163" s="12" t="inlineStr">
        <is>
          <t>7/C</t>
        </is>
      </c>
      <c r="M5163" s="12" t="inlineStr">
        <is>
          <t>14</t>
        </is>
      </c>
      <c r="N5163" s="12" t="n">
        <v>1</v>
      </c>
      <c r="O5163" s="12" t="n">
        <v>1</v>
      </c>
      <c r="P5163" s="12" t="n"/>
      <c r="Q5163" s="12" t="n"/>
      <c r="R5163" s="12" t="n"/>
      <c r="S5163" s="12" t="inlineStr">
        <is>
          <t>Tray</t>
        </is>
      </c>
      <c r="T5163" s="17" t="n">
        <v>0</v>
      </c>
      <c r="U5163" s="17" t="n">
        <v>32</v>
      </c>
      <c r="V5163" s="17">
        <f>ROUNDUP((T5163+U5163+2*'Read Me'!$B$13)*(1+'Read Me'!$B$12),-1)</f>
        <v/>
      </c>
      <c r="W5163" s="17">
        <f>V5163*N5163*O5163</f>
        <v/>
      </c>
      <c r="X5163" s="12">
        <f>IF(LEFT(I5163,2)="MV",2*N5163*IF(L5163="1/C",O5163,1),0)</f>
        <v/>
      </c>
      <c r="Y5163" s="12">
        <f>IF(OR(LEFT(K5163,4)="LVAX",LEFT(K5163,6)="MV15AX",LEFT(K5163,4)="CTAX",LEFT(K5163,2)="W|"),2*N5163*O5163,0)</f>
        <v/>
      </c>
      <c r="Z5163" s="12" t="inlineStr"/>
      <c r="AA5163" s="12">
        <f>N5163*O5163</f>
        <v/>
      </c>
    </row>
    <row r="5164">
      <c r="A5164" s="12" t="inlineStr">
        <is>
          <t>J-C-0012</t>
        </is>
      </c>
      <c r="B5164" s="12" t="inlineStr">
        <is>
          <t>J</t>
        </is>
      </c>
      <c r="C5164" s="12" t="inlineStr">
        <is>
          <t>GT inlet chilling</t>
        </is>
      </c>
      <c r="D5164" s="12" t="inlineStr">
        <is>
          <t>Control</t>
        </is>
      </c>
      <c r="E5164" s="12" t="inlineStr"/>
      <c r="F5164" s="12" t="inlineStr">
        <is>
          <t>Inlet-chilling e-house / transformer</t>
        </is>
      </c>
      <c r="G5164" s="12" t="inlineStr"/>
      <c r="H5164" s="12" t="inlineStr">
        <is>
          <t>Inlet-chilling e-house / transformer</t>
        </is>
      </c>
      <c r="I5164" s="12" t="inlineStr">
        <is>
          <t>Control</t>
        </is>
      </c>
      <c r="J5164" s="12" t="inlineStr">
        <is>
          <t>Control cable 600 V Type TC-ER, Cu #14 AWG, PVC jacket</t>
        </is>
      </c>
      <c r="K5164" s="12" t="inlineStr">
        <is>
          <t>CT|12/C|14</t>
        </is>
      </c>
      <c r="L5164" s="12" t="inlineStr">
        <is>
          <t>12/C</t>
        </is>
      </c>
      <c r="M5164" s="12" t="inlineStr">
        <is>
          <t>14</t>
        </is>
      </c>
      <c r="N5164" s="12" t="n">
        <v>1</v>
      </c>
      <c r="O5164" s="12" t="n">
        <v>1</v>
      </c>
      <c r="P5164" s="12" t="n"/>
      <c r="Q5164" s="12" t="n"/>
      <c r="R5164" s="12" t="n"/>
      <c r="S5164" s="12" t="inlineStr">
        <is>
          <t>Tray</t>
        </is>
      </c>
      <c r="T5164" s="17" t="n">
        <v>0</v>
      </c>
      <c r="U5164" s="17" t="n">
        <v>32</v>
      </c>
      <c r="V5164" s="17">
        <f>ROUNDUP((T5164+U5164+2*'Read Me'!$B$13)*(1+'Read Me'!$B$12),-1)</f>
        <v/>
      </c>
      <c r="W5164" s="17">
        <f>V5164*N5164*O5164</f>
        <v/>
      </c>
      <c r="X5164" s="12">
        <f>IF(LEFT(I5164,2)="MV",2*N5164*IF(L5164="1/C",O5164,1),0)</f>
        <v/>
      </c>
      <c r="Y5164" s="12">
        <f>IF(OR(LEFT(K5164,4)="LVAX",LEFT(K5164,6)="MV15AX",LEFT(K5164,4)="CTAX",LEFT(K5164,2)="W|"),2*N5164*O5164,0)</f>
        <v/>
      </c>
      <c r="Z5164" s="12" t="inlineStr"/>
      <c r="AA5164" s="12">
        <f>N5164*O5164</f>
        <v/>
      </c>
    </row>
    <row r="5165">
      <c r="A5165" s="12" t="inlineStr">
        <is>
          <t>J-C-0013</t>
        </is>
      </c>
      <c r="B5165" s="12" t="inlineStr">
        <is>
          <t>J</t>
        </is>
      </c>
      <c r="C5165" s="12" t="inlineStr">
        <is>
          <t>GT inlet chilling</t>
        </is>
      </c>
      <c r="D5165" s="12" t="inlineStr">
        <is>
          <t>CT / VT</t>
        </is>
      </c>
      <c r="E5165" s="12" t="inlineStr"/>
      <c r="F5165" s="12" t="inlineStr">
        <is>
          <t>Inlet-chilling e-house / transformer</t>
        </is>
      </c>
      <c r="G5165" s="12" t="inlineStr"/>
      <c r="H5165" s="12" t="inlineStr">
        <is>
          <t>Inlet-chilling e-house / transformer</t>
        </is>
      </c>
      <c r="I5165" s="12" t="inlineStr">
        <is>
          <t>Control</t>
        </is>
      </c>
      <c r="J5165" s="12" t="inlineStr">
        <is>
          <t>Control cable 600 V Type TC-ER, Cu #10 AWG (CT / VT circuits)</t>
        </is>
      </c>
      <c r="K5165" s="12" t="inlineStr">
        <is>
          <t>CTCT|4/C|10</t>
        </is>
      </c>
      <c r="L5165" s="12" t="inlineStr">
        <is>
          <t>4/C</t>
        </is>
      </c>
      <c r="M5165" s="12" t="inlineStr">
        <is>
          <t>10</t>
        </is>
      </c>
      <c r="N5165" s="12" t="n">
        <v>1</v>
      </c>
      <c r="O5165" s="12" t="n">
        <v>1</v>
      </c>
      <c r="P5165" s="12" t="n"/>
      <c r="Q5165" s="12" t="n"/>
      <c r="R5165" s="12" t="n"/>
      <c r="S5165" s="12" t="inlineStr">
        <is>
          <t>Tray</t>
        </is>
      </c>
      <c r="T5165" s="17" t="n">
        <v>0</v>
      </c>
      <c r="U5165" s="17" t="n">
        <v>32</v>
      </c>
      <c r="V5165" s="17">
        <f>ROUNDUP((T5165+U5165+2*'Read Me'!$B$13)*(1+'Read Me'!$B$12),-1)</f>
        <v/>
      </c>
      <c r="W5165" s="17">
        <f>V5165*N5165*O5165</f>
        <v/>
      </c>
      <c r="X5165" s="12">
        <f>IF(LEFT(I5165,2)="MV",2*N5165*IF(L5165="1/C",O5165,1),0)</f>
        <v/>
      </c>
      <c r="Y5165" s="12">
        <f>IF(OR(LEFT(K5165,4)="LVAX",LEFT(K5165,6)="MV15AX",LEFT(K5165,4)="CTAX",LEFT(K5165,2)="W|"),2*N5165*O5165,0)</f>
        <v/>
      </c>
      <c r="Z5165" s="12" t="inlineStr"/>
      <c r="AA5165" s="12">
        <f>N5165*O5165</f>
        <v/>
      </c>
    </row>
    <row r="5166">
      <c r="A5166" s="12" t="inlineStr">
        <is>
          <t>J-C-0014</t>
        </is>
      </c>
      <c r="B5166" s="12" t="inlineStr">
        <is>
          <t>J</t>
        </is>
      </c>
      <c r="C5166" s="12" t="inlineStr">
        <is>
          <t>GT inlet chilling</t>
        </is>
      </c>
      <c r="D5166" s="12" t="inlineStr">
        <is>
          <t>CT / VT</t>
        </is>
      </c>
      <c r="E5166" s="12" t="inlineStr"/>
      <c r="F5166" s="12" t="inlineStr">
        <is>
          <t>Inlet-chilling e-house / transformer</t>
        </is>
      </c>
      <c r="G5166" s="12" t="inlineStr"/>
      <c r="H5166" s="12" t="inlineStr">
        <is>
          <t>Inlet-chilling e-house / transformer</t>
        </is>
      </c>
      <c r="I5166" s="12" t="inlineStr">
        <is>
          <t>Control</t>
        </is>
      </c>
      <c r="J5166" s="12" t="inlineStr">
        <is>
          <t>Control cable 600 V Type TC-ER, Cu #10 AWG (CT / VT circuits)</t>
        </is>
      </c>
      <c r="K5166" s="12" t="inlineStr">
        <is>
          <t>CTCT|4/C|10</t>
        </is>
      </c>
      <c r="L5166" s="12" t="inlineStr">
        <is>
          <t>4/C</t>
        </is>
      </c>
      <c r="M5166" s="12" t="inlineStr">
        <is>
          <t>10</t>
        </is>
      </c>
      <c r="N5166" s="12" t="n">
        <v>1</v>
      </c>
      <c r="O5166" s="12" t="n">
        <v>1</v>
      </c>
      <c r="P5166" s="12" t="n"/>
      <c r="Q5166" s="12" t="n"/>
      <c r="R5166" s="12" t="n"/>
      <c r="S5166" s="12" t="inlineStr">
        <is>
          <t>Tray</t>
        </is>
      </c>
      <c r="T5166" s="17" t="n">
        <v>0</v>
      </c>
      <c r="U5166" s="17" t="n">
        <v>32</v>
      </c>
      <c r="V5166" s="17">
        <f>ROUNDUP((T5166+U5166+2*'Read Me'!$B$13)*(1+'Read Me'!$B$12),-1)</f>
        <v/>
      </c>
      <c r="W5166" s="17">
        <f>V5166*N5166*O5166</f>
        <v/>
      </c>
      <c r="X5166" s="12">
        <f>IF(LEFT(I5166,2)="MV",2*N5166*IF(L5166="1/C",O5166,1),0)</f>
        <v/>
      </c>
      <c r="Y5166" s="12">
        <f>IF(OR(LEFT(K5166,4)="LVAX",LEFT(K5166,6)="MV15AX",LEFT(K5166,4)="CTAX",LEFT(K5166,2)="W|"),2*N5166*O5166,0)</f>
        <v/>
      </c>
      <c r="Z5166" s="12" t="inlineStr"/>
      <c r="AA5166" s="12">
        <f>N5166*O5166</f>
        <v/>
      </c>
    </row>
    <row r="5167">
      <c r="A5167" s="12" t="inlineStr">
        <is>
          <t>J-C-0015</t>
        </is>
      </c>
      <c r="B5167" s="12" t="inlineStr">
        <is>
          <t>J</t>
        </is>
      </c>
      <c r="C5167" s="12" t="inlineStr">
        <is>
          <t>GT inlet chilling</t>
        </is>
      </c>
      <c r="D5167" s="12" t="inlineStr">
        <is>
          <t>Motor 1 of 12: control / local station</t>
        </is>
      </c>
      <c r="E5167" s="12" t="inlineStr"/>
      <c r="F5167" s="12" t="inlineStr">
        <is>
          <t>Inlet-chilling e-house / transformer</t>
        </is>
      </c>
      <c r="G5167" s="12" t="inlineStr"/>
      <c r="H5167" s="12" t="inlineStr">
        <is>
          <t>Inlet-chilling tower (12 cells): chiller heat rejection</t>
        </is>
      </c>
      <c r="I5167" s="12" t="inlineStr">
        <is>
          <t>Control</t>
        </is>
      </c>
      <c r="J5167" s="12" t="inlineStr">
        <is>
          <t>Control cable 600 V Type TC-ER, Cu #14 AWG, PVC jacket</t>
        </is>
      </c>
      <c r="K5167" s="12" t="inlineStr">
        <is>
          <t>CT|7/C|14</t>
        </is>
      </c>
      <c r="L5167" s="12" t="inlineStr">
        <is>
          <t>7/C</t>
        </is>
      </c>
      <c r="M5167" s="12" t="inlineStr">
        <is>
          <t>14</t>
        </is>
      </c>
      <c r="N5167" s="12" t="n">
        <v>1</v>
      </c>
      <c r="O5167" s="12" t="n">
        <v>1</v>
      </c>
      <c r="P5167" s="12" t="n"/>
      <c r="Q5167" s="12" t="n"/>
      <c r="R5167" s="12" t="n"/>
      <c r="S5167" s="12" t="inlineStr">
        <is>
          <t>Duct bank</t>
        </is>
      </c>
      <c r="T5167" s="17" t="n">
        <v>478</v>
      </c>
      <c r="U5167" s="17" t="n">
        <v>38</v>
      </c>
      <c r="V5167" s="17">
        <f>ROUNDUP((T5167+U5167+2*'Read Me'!$B$13)*(1+'Read Me'!$B$12),-1)</f>
        <v/>
      </c>
      <c r="W5167" s="17">
        <f>V5167*N5167*O5167</f>
        <v/>
      </c>
      <c r="X5167" s="12">
        <f>IF(LEFT(I5167,2)="MV",2*N5167*IF(L5167="1/C",O5167,1),0)</f>
        <v/>
      </c>
      <c r="Y5167" s="12">
        <f>IF(OR(LEFT(K5167,4)="LVAX",LEFT(K5167,6)="MV15AX",LEFT(K5167,4)="CTAX",LEFT(K5167,2)="W|"),2*N5167*O5167,0)</f>
        <v/>
      </c>
      <c r="Z5167" s="12" t="inlineStr"/>
      <c r="AA5167" s="12">
        <f>N5167*O5167</f>
        <v/>
      </c>
    </row>
    <row r="5168">
      <c r="A5168" s="12" t="inlineStr">
        <is>
          <t>J-C-0016</t>
        </is>
      </c>
      <c r="B5168" s="12" t="inlineStr">
        <is>
          <t>J</t>
        </is>
      </c>
      <c r="C5168" s="12" t="inlineStr">
        <is>
          <t>GT inlet chilling</t>
        </is>
      </c>
      <c r="D5168" s="12" t="inlineStr">
        <is>
          <t>Motor 2 of 12: control / local station</t>
        </is>
      </c>
      <c r="E5168" s="12" t="inlineStr"/>
      <c r="F5168" s="12" t="inlineStr">
        <is>
          <t>Inlet-chilling e-house / transformer</t>
        </is>
      </c>
      <c r="G5168" s="12" t="inlineStr"/>
      <c r="H5168" s="12" t="inlineStr">
        <is>
          <t>Inlet-chilling tower (12 cells): chiller heat rejection</t>
        </is>
      </c>
      <c r="I5168" s="12" t="inlineStr">
        <is>
          <t>Control</t>
        </is>
      </c>
      <c r="J5168" s="12" t="inlineStr">
        <is>
          <t>Control cable 600 V Type TC-ER, Cu #14 AWG, PVC jacket</t>
        </is>
      </c>
      <c r="K5168" s="12" t="inlineStr">
        <is>
          <t>CT|7/C|14</t>
        </is>
      </c>
      <c r="L5168" s="12" t="inlineStr">
        <is>
          <t>7/C</t>
        </is>
      </c>
      <c r="M5168" s="12" t="inlineStr">
        <is>
          <t>14</t>
        </is>
      </c>
      <c r="N5168" s="12" t="n">
        <v>1</v>
      </c>
      <c r="O5168" s="12" t="n">
        <v>1</v>
      </c>
      <c r="P5168" s="12" t="n"/>
      <c r="Q5168" s="12" t="n"/>
      <c r="R5168" s="12" t="n"/>
      <c r="S5168" s="12" t="inlineStr">
        <is>
          <t>Duct bank</t>
        </is>
      </c>
      <c r="T5168" s="17" t="n">
        <v>478</v>
      </c>
      <c r="U5168" s="17" t="n">
        <v>38</v>
      </c>
      <c r="V5168" s="17">
        <f>ROUNDUP((T5168+U5168+2*'Read Me'!$B$13)*(1+'Read Me'!$B$12),-1)</f>
        <v/>
      </c>
      <c r="W5168" s="17">
        <f>V5168*N5168*O5168</f>
        <v/>
      </c>
      <c r="X5168" s="12">
        <f>IF(LEFT(I5168,2)="MV",2*N5168*IF(L5168="1/C",O5168,1),0)</f>
        <v/>
      </c>
      <c r="Y5168" s="12">
        <f>IF(OR(LEFT(K5168,4)="LVAX",LEFT(K5168,6)="MV15AX",LEFT(K5168,4)="CTAX",LEFT(K5168,2)="W|"),2*N5168*O5168,0)</f>
        <v/>
      </c>
      <c r="Z5168" s="12" t="inlineStr"/>
      <c r="AA5168" s="12">
        <f>N5168*O5168</f>
        <v/>
      </c>
    </row>
    <row r="5169">
      <c r="A5169" s="12" t="inlineStr">
        <is>
          <t>J-C-0017</t>
        </is>
      </c>
      <c r="B5169" s="12" t="inlineStr">
        <is>
          <t>J</t>
        </is>
      </c>
      <c r="C5169" s="12" t="inlineStr">
        <is>
          <t>GT inlet chilling</t>
        </is>
      </c>
      <c r="D5169" s="12" t="inlineStr">
        <is>
          <t>Motor 3 of 12: control / local station</t>
        </is>
      </c>
      <c r="E5169" s="12" t="inlineStr"/>
      <c r="F5169" s="12" t="inlineStr">
        <is>
          <t>Inlet-chilling e-house / transformer</t>
        </is>
      </c>
      <c r="G5169" s="12" t="inlineStr"/>
      <c r="H5169" s="12" t="inlineStr">
        <is>
          <t>Inlet-chilling tower (12 cells): chiller heat rejection</t>
        </is>
      </c>
      <c r="I5169" s="12" t="inlineStr">
        <is>
          <t>Control</t>
        </is>
      </c>
      <c r="J5169" s="12" t="inlineStr">
        <is>
          <t>Control cable 600 V Type TC-ER, Cu #14 AWG, PVC jacket</t>
        </is>
      </c>
      <c r="K5169" s="12" t="inlineStr">
        <is>
          <t>CT|7/C|14</t>
        </is>
      </c>
      <c r="L5169" s="12" t="inlineStr">
        <is>
          <t>7/C</t>
        </is>
      </c>
      <c r="M5169" s="12" t="inlineStr">
        <is>
          <t>14</t>
        </is>
      </c>
      <c r="N5169" s="12" t="n">
        <v>1</v>
      </c>
      <c r="O5169" s="12" t="n">
        <v>1</v>
      </c>
      <c r="P5169" s="12" t="n"/>
      <c r="Q5169" s="12" t="n"/>
      <c r="R5169" s="12" t="n"/>
      <c r="S5169" s="12" t="inlineStr">
        <is>
          <t>Duct bank</t>
        </is>
      </c>
      <c r="T5169" s="17" t="n">
        <v>478</v>
      </c>
      <c r="U5169" s="17" t="n">
        <v>38</v>
      </c>
      <c r="V5169" s="17">
        <f>ROUNDUP((T5169+U5169+2*'Read Me'!$B$13)*(1+'Read Me'!$B$12),-1)</f>
        <v/>
      </c>
      <c r="W5169" s="17">
        <f>V5169*N5169*O5169</f>
        <v/>
      </c>
      <c r="X5169" s="12">
        <f>IF(LEFT(I5169,2)="MV",2*N5169*IF(L5169="1/C",O5169,1),0)</f>
        <v/>
      </c>
      <c r="Y5169" s="12">
        <f>IF(OR(LEFT(K5169,4)="LVAX",LEFT(K5169,6)="MV15AX",LEFT(K5169,4)="CTAX",LEFT(K5169,2)="W|"),2*N5169*O5169,0)</f>
        <v/>
      </c>
      <c r="Z5169" s="12" t="inlineStr"/>
      <c r="AA5169" s="12">
        <f>N5169*O5169</f>
        <v/>
      </c>
    </row>
    <row r="5170">
      <c r="A5170" s="12" t="inlineStr">
        <is>
          <t>J-C-0018</t>
        </is>
      </c>
      <c r="B5170" s="12" t="inlineStr">
        <is>
          <t>J</t>
        </is>
      </c>
      <c r="C5170" s="12" t="inlineStr">
        <is>
          <t>GT inlet chilling</t>
        </is>
      </c>
      <c r="D5170" s="12" t="inlineStr">
        <is>
          <t>Motor 4 of 12: control / local station</t>
        </is>
      </c>
      <c r="E5170" s="12" t="inlineStr"/>
      <c r="F5170" s="12" t="inlineStr">
        <is>
          <t>Inlet-chilling e-house / transformer</t>
        </is>
      </c>
      <c r="G5170" s="12" t="inlineStr"/>
      <c r="H5170" s="12" t="inlineStr">
        <is>
          <t>Inlet-chilling tower (12 cells): chiller heat rejection</t>
        </is>
      </c>
      <c r="I5170" s="12" t="inlineStr">
        <is>
          <t>Control</t>
        </is>
      </c>
      <c r="J5170" s="12" t="inlineStr">
        <is>
          <t>Control cable 600 V Type TC-ER, Cu #14 AWG, PVC jacket</t>
        </is>
      </c>
      <c r="K5170" s="12" t="inlineStr">
        <is>
          <t>CT|7/C|14</t>
        </is>
      </c>
      <c r="L5170" s="12" t="inlineStr">
        <is>
          <t>7/C</t>
        </is>
      </c>
      <c r="M5170" s="12" t="inlineStr">
        <is>
          <t>14</t>
        </is>
      </c>
      <c r="N5170" s="12" t="n">
        <v>1</v>
      </c>
      <c r="O5170" s="12" t="n">
        <v>1</v>
      </c>
      <c r="P5170" s="12" t="n"/>
      <c r="Q5170" s="12" t="n"/>
      <c r="R5170" s="12" t="n"/>
      <c r="S5170" s="12" t="inlineStr">
        <is>
          <t>Duct bank</t>
        </is>
      </c>
      <c r="T5170" s="17" t="n">
        <v>478</v>
      </c>
      <c r="U5170" s="17" t="n">
        <v>38</v>
      </c>
      <c r="V5170" s="17">
        <f>ROUNDUP((T5170+U5170+2*'Read Me'!$B$13)*(1+'Read Me'!$B$12),-1)</f>
        <v/>
      </c>
      <c r="W5170" s="17">
        <f>V5170*N5170*O5170</f>
        <v/>
      </c>
      <c r="X5170" s="12">
        <f>IF(LEFT(I5170,2)="MV",2*N5170*IF(L5170="1/C",O5170,1),0)</f>
        <v/>
      </c>
      <c r="Y5170" s="12">
        <f>IF(OR(LEFT(K5170,4)="LVAX",LEFT(K5170,6)="MV15AX",LEFT(K5170,4)="CTAX",LEFT(K5170,2)="W|"),2*N5170*O5170,0)</f>
        <v/>
      </c>
      <c r="Z5170" s="12" t="inlineStr"/>
      <c r="AA5170" s="12">
        <f>N5170*O5170</f>
        <v/>
      </c>
    </row>
    <row r="5171">
      <c r="A5171" s="12" t="inlineStr">
        <is>
          <t>J-C-0019</t>
        </is>
      </c>
      <c r="B5171" s="12" t="inlineStr">
        <is>
          <t>J</t>
        </is>
      </c>
      <c r="C5171" s="12" t="inlineStr">
        <is>
          <t>GT inlet chilling</t>
        </is>
      </c>
      <c r="D5171" s="12" t="inlineStr">
        <is>
          <t>Motor 5 of 12: control / local station</t>
        </is>
      </c>
      <c r="E5171" s="12" t="inlineStr"/>
      <c r="F5171" s="12" t="inlineStr">
        <is>
          <t>Inlet-chilling e-house / transformer</t>
        </is>
      </c>
      <c r="G5171" s="12" t="inlineStr"/>
      <c r="H5171" s="12" t="inlineStr">
        <is>
          <t>Inlet-chilling tower (12 cells): chiller heat rejection</t>
        </is>
      </c>
      <c r="I5171" s="12" t="inlineStr">
        <is>
          <t>Control</t>
        </is>
      </c>
      <c r="J5171" s="12" t="inlineStr">
        <is>
          <t>Control cable 600 V Type TC-ER, Cu #14 AWG, PVC jacket</t>
        </is>
      </c>
      <c r="K5171" s="12" t="inlineStr">
        <is>
          <t>CT|7/C|14</t>
        </is>
      </c>
      <c r="L5171" s="12" t="inlineStr">
        <is>
          <t>7/C</t>
        </is>
      </c>
      <c r="M5171" s="12" t="inlineStr">
        <is>
          <t>14</t>
        </is>
      </c>
      <c r="N5171" s="12" t="n">
        <v>1</v>
      </c>
      <c r="O5171" s="12" t="n">
        <v>1</v>
      </c>
      <c r="P5171" s="12" t="n"/>
      <c r="Q5171" s="12" t="n"/>
      <c r="R5171" s="12" t="n"/>
      <c r="S5171" s="12" t="inlineStr">
        <is>
          <t>Duct bank</t>
        </is>
      </c>
      <c r="T5171" s="17" t="n">
        <v>478</v>
      </c>
      <c r="U5171" s="17" t="n">
        <v>38</v>
      </c>
      <c r="V5171" s="17">
        <f>ROUNDUP((T5171+U5171+2*'Read Me'!$B$13)*(1+'Read Me'!$B$12),-1)</f>
        <v/>
      </c>
      <c r="W5171" s="17">
        <f>V5171*N5171*O5171</f>
        <v/>
      </c>
      <c r="X5171" s="12">
        <f>IF(LEFT(I5171,2)="MV",2*N5171*IF(L5171="1/C",O5171,1),0)</f>
        <v/>
      </c>
      <c r="Y5171" s="12">
        <f>IF(OR(LEFT(K5171,4)="LVAX",LEFT(K5171,6)="MV15AX",LEFT(K5171,4)="CTAX",LEFT(K5171,2)="W|"),2*N5171*O5171,0)</f>
        <v/>
      </c>
      <c r="Z5171" s="12" t="inlineStr"/>
      <c r="AA5171" s="12">
        <f>N5171*O5171</f>
        <v/>
      </c>
    </row>
    <row r="5172">
      <c r="A5172" s="12" t="inlineStr">
        <is>
          <t>J-C-0020</t>
        </is>
      </c>
      <c r="B5172" s="12" t="inlineStr">
        <is>
          <t>J</t>
        </is>
      </c>
      <c r="C5172" s="12" t="inlineStr">
        <is>
          <t>GT inlet chilling</t>
        </is>
      </c>
      <c r="D5172" s="12" t="inlineStr">
        <is>
          <t>Motor 6 of 12: control / local station</t>
        </is>
      </c>
      <c r="E5172" s="12" t="inlineStr"/>
      <c r="F5172" s="12" t="inlineStr">
        <is>
          <t>Inlet-chilling e-house / transformer</t>
        </is>
      </c>
      <c r="G5172" s="12" t="inlineStr"/>
      <c r="H5172" s="12" t="inlineStr">
        <is>
          <t>Inlet-chilling tower (12 cells): chiller heat rejection</t>
        </is>
      </c>
      <c r="I5172" s="12" t="inlineStr">
        <is>
          <t>Control</t>
        </is>
      </c>
      <c r="J5172" s="12" t="inlineStr">
        <is>
          <t>Control cable 600 V Type TC-ER, Cu #14 AWG, PVC jacket</t>
        </is>
      </c>
      <c r="K5172" s="12" t="inlineStr">
        <is>
          <t>CT|7/C|14</t>
        </is>
      </c>
      <c r="L5172" s="12" t="inlineStr">
        <is>
          <t>7/C</t>
        </is>
      </c>
      <c r="M5172" s="12" t="inlineStr">
        <is>
          <t>14</t>
        </is>
      </c>
      <c r="N5172" s="12" t="n">
        <v>1</v>
      </c>
      <c r="O5172" s="12" t="n">
        <v>1</v>
      </c>
      <c r="P5172" s="12" t="n"/>
      <c r="Q5172" s="12" t="n"/>
      <c r="R5172" s="12" t="n"/>
      <c r="S5172" s="12" t="inlineStr">
        <is>
          <t>Duct bank</t>
        </is>
      </c>
      <c r="T5172" s="17" t="n">
        <v>478</v>
      </c>
      <c r="U5172" s="17" t="n">
        <v>38</v>
      </c>
      <c r="V5172" s="17">
        <f>ROUNDUP((T5172+U5172+2*'Read Me'!$B$13)*(1+'Read Me'!$B$12),-1)</f>
        <v/>
      </c>
      <c r="W5172" s="17">
        <f>V5172*N5172*O5172</f>
        <v/>
      </c>
      <c r="X5172" s="12">
        <f>IF(LEFT(I5172,2)="MV",2*N5172*IF(L5172="1/C",O5172,1),0)</f>
        <v/>
      </c>
      <c r="Y5172" s="12">
        <f>IF(OR(LEFT(K5172,4)="LVAX",LEFT(K5172,6)="MV15AX",LEFT(K5172,4)="CTAX",LEFT(K5172,2)="W|"),2*N5172*O5172,0)</f>
        <v/>
      </c>
      <c r="Z5172" s="12" t="inlineStr"/>
      <c r="AA5172" s="12">
        <f>N5172*O5172</f>
        <v/>
      </c>
    </row>
    <row r="5173">
      <c r="A5173" s="12" t="inlineStr">
        <is>
          <t>J-C-0021</t>
        </is>
      </c>
      <c r="B5173" s="12" t="inlineStr">
        <is>
          <t>J</t>
        </is>
      </c>
      <c r="C5173" s="12" t="inlineStr">
        <is>
          <t>GT inlet chilling</t>
        </is>
      </c>
      <c r="D5173" s="12" t="inlineStr">
        <is>
          <t>Motor 7 of 12: control / local station</t>
        </is>
      </c>
      <c r="E5173" s="12" t="inlineStr"/>
      <c r="F5173" s="12" t="inlineStr">
        <is>
          <t>Inlet-chilling e-house / transformer</t>
        </is>
      </c>
      <c r="G5173" s="12" t="inlineStr"/>
      <c r="H5173" s="12" t="inlineStr">
        <is>
          <t>Inlet-chilling tower (12 cells): chiller heat rejection</t>
        </is>
      </c>
      <c r="I5173" s="12" t="inlineStr">
        <is>
          <t>Control</t>
        </is>
      </c>
      <c r="J5173" s="12" t="inlineStr">
        <is>
          <t>Control cable 600 V Type TC-ER, Cu #14 AWG, PVC jacket</t>
        </is>
      </c>
      <c r="K5173" s="12" t="inlineStr">
        <is>
          <t>CT|7/C|14</t>
        </is>
      </c>
      <c r="L5173" s="12" t="inlineStr">
        <is>
          <t>7/C</t>
        </is>
      </c>
      <c r="M5173" s="12" t="inlineStr">
        <is>
          <t>14</t>
        </is>
      </c>
      <c r="N5173" s="12" t="n">
        <v>1</v>
      </c>
      <c r="O5173" s="12" t="n">
        <v>1</v>
      </c>
      <c r="P5173" s="12" t="n"/>
      <c r="Q5173" s="12" t="n"/>
      <c r="R5173" s="12" t="n"/>
      <c r="S5173" s="12" t="inlineStr">
        <is>
          <t>Duct bank</t>
        </is>
      </c>
      <c r="T5173" s="17" t="n">
        <v>478</v>
      </c>
      <c r="U5173" s="17" t="n">
        <v>38</v>
      </c>
      <c r="V5173" s="17">
        <f>ROUNDUP((T5173+U5173+2*'Read Me'!$B$13)*(1+'Read Me'!$B$12),-1)</f>
        <v/>
      </c>
      <c r="W5173" s="17">
        <f>V5173*N5173*O5173</f>
        <v/>
      </c>
      <c r="X5173" s="12">
        <f>IF(LEFT(I5173,2)="MV",2*N5173*IF(L5173="1/C",O5173,1),0)</f>
        <v/>
      </c>
      <c r="Y5173" s="12">
        <f>IF(OR(LEFT(K5173,4)="LVAX",LEFT(K5173,6)="MV15AX",LEFT(K5173,4)="CTAX",LEFT(K5173,2)="W|"),2*N5173*O5173,0)</f>
        <v/>
      </c>
      <c r="Z5173" s="12" t="inlineStr"/>
      <c r="AA5173" s="12">
        <f>N5173*O5173</f>
        <v/>
      </c>
    </row>
    <row r="5174">
      <c r="A5174" s="12" t="inlineStr">
        <is>
          <t>J-C-0022</t>
        </is>
      </c>
      <c r="B5174" s="12" t="inlineStr">
        <is>
          <t>J</t>
        </is>
      </c>
      <c r="C5174" s="12" t="inlineStr">
        <is>
          <t>GT inlet chilling</t>
        </is>
      </c>
      <c r="D5174" s="12" t="inlineStr">
        <is>
          <t>Motor 8 of 12: control / local station</t>
        </is>
      </c>
      <c r="E5174" s="12" t="inlineStr"/>
      <c r="F5174" s="12" t="inlineStr">
        <is>
          <t>Inlet-chilling e-house / transformer</t>
        </is>
      </c>
      <c r="G5174" s="12" t="inlineStr"/>
      <c r="H5174" s="12" t="inlineStr">
        <is>
          <t>Inlet-chilling tower (12 cells): chiller heat rejection</t>
        </is>
      </c>
      <c r="I5174" s="12" t="inlineStr">
        <is>
          <t>Control</t>
        </is>
      </c>
      <c r="J5174" s="12" t="inlineStr">
        <is>
          <t>Control cable 600 V Type TC-ER, Cu #14 AWG, PVC jacket</t>
        </is>
      </c>
      <c r="K5174" s="12" t="inlineStr">
        <is>
          <t>CT|7/C|14</t>
        </is>
      </c>
      <c r="L5174" s="12" t="inlineStr">
        <is>
          <t>7/C</t>
        </is>
      </c>
      <c r="M5174" s="12" t="inlineStr">
        <is>
          <t>14</t>
        </is>
      </c>
      <c r="N5174" s="12" t="n">
        <v>1</v>
      </c>
      <c r="O5174" s="12" t="n">
        <v>1</v>
      </c>
      <c r="P5174" s="12" t="n"/>
      <c r="Q5174" s="12" t="n"/>
      <c r="R5174" s="12" t="n"/>
      <c r="S5174" s="12" t="inlineStr">
        <is>
          <t>Duct bank</t>
        </is>
      </c>
      <c r="T5174" s="17" t="n">
        <v>478</v>
      </c>
      <c r="U5174" s="17" t="n">
        <v>38</v>
      </c>
      <c r="V5174" s="17">
        <f>ROUNDUP((T5174+U5174+2*'Read Me'!$B$13)*(1+'Read Me'!$B$12),-1)</f>
        <v/>
      </c>
      <c r="W5174" s="17">
        <f>V5174*N5174*O5174</f>
        <v/>
      </c>
      <c r="X5174" s="12">
        <f>IF(LEFT(I5174,2)="MV",2*N5174*IF(L5174="1/C",O5174,1),0)</f>
        <v/>
      </c>
      <c r="Y5174" s="12">
        <f>IF(OR(LEFT(K5174,4)="LVAX",LEFT(K5174,6)="MV15AX",LEFT(K5174,4)="CTAX",LEFT(K5174,2)="W|"),2*N5174*O5174,0)</f>
        <v/>
      </c>
      <c r="Z5174" s="12" t="inlineStr"/>
      <c r="AA5174" s="12">
        <f>N5174*O5174</f>
        <v/>
      </c>
    </row>
    <row r="5175">
      <c r="A5175" s="12" t="inlineStr">
        <is>
          <t>J-C-0023</t>
        </is>
      </c>
      <c r="B5175" s="12" t="inlineStr">
        <is>
          <t>J</t>
        </is>
      </c>
      <c r="C5175" s="12" t="inlineStr">
        <is>
          <t>GT inlet chilling</t>
        </is>
      </c>
      <c r="D5175" s="12" t="inlineStr">
        <is>
          <t>Motor 9 of 12: control / local station</t>
        </is>
      </c>
      <c r="E5175" s="12" t="inlineStr"/>
      <c r="F5175" s="12" t="inlineStr">
        <is>
          <t>Inlet-chilling e-house / transformer</t>
        </is>
      </c>
      <c r="G5175" s="12" t="inlineStr"/>
      <c r="H5175" s="12" t="inlineStr">
        <is>
          <t>Inlet-chilling tower (12 cells): chiller heat rejection</t>
        </is>
      </c>
      <c r="I5175" s="12" t="inlineStr">
        <is>
          <t>Control</t>
        </is>
      </c>
      <c r="J5175" s="12" t="inlineStr">
        <is>
          <t>Control cable 600 V Type TC-ER, Cu #14 AWG, PVC jacket</t>
        </is>
      </c>
      <c r="K5175" s="12" t="inlineStr">
        <is>
          <t>CT|7/C|14</t>
        </is>
      </c>
      <c r="L5175" s="12" t="inlineStr">
        <is>
          <t>7/C</t>
        </is>
      </c>
      <c r="M5175" s="12" t="inlineStr">
        <is>
          <t>14</t>
        </is>
      </c>
      <c r="N5175" s="12" t="n">
        <v>1</v>
      </c>
      <c r="O5175" s="12" t="n">
        <v>1</v>
      </c>
      <c r="P5175" s="12" t="n"/>
      <c r="Q5175" s="12" t="n"/>
      <c r="R5175" s="12" t="n"/>
      <c r="S5175" s="12" t="inlineStr">
        <is>
          <t>Duct bank</t>
        </is>
      </c>
      <c r="T5175" s="17" t="n">
        <v>478</v>
      </c>
      <c r="U5175" s="17" t="n">
        <v>38</v>
      </c>
      <c r="V5175" s="17">
        <f>ROUNDUP((T5175+U5175+2*'Read Me'!$B$13)*(1+'Read Me'!$B$12),-1)</f>
        <v/>
      </c>
      <c r="W5175" s="17">
        <f>V5175*N5175*O5175</f>
        <v/>
      </c>
      <c r="X5175" s="12">
        <f>IF(LEFT(I5175,2)="MV",2*N5175*IF(L5175="1/C",O5175,1),0)</f>
        <v/>
      </c>
      <c r="Y5175" s="12">
        <f>IF(OR(LEFT(K5175,4)="LVAX",LEFT(K5175,6)="MV15AX",LEFT(K5175,4)="CTAX",LEFT(K5175,2)="W|"),2*N5175*O5175,0)</f>
        <v/>
      </c>
      <c r="Z5175" s="12" t="inlineStr"/>
      <c r="AA5175" s="12">
        <f>N5175*O5175</f>
        <v/>
      </c>
    </row>
    <row r="5176">
      <c r="A5176" s="12" t="inlineStr">
        <is>
          <t>J-C-0024</t>
        </is>
      </c>
      <c r="B5176" s="12" t="inlineStr">
        <is>
          <t>J</t>
        </is>
      </c>
      <c r="C5176" s="12" t="inlineStr">
        <is>
          <t>GT inlet chilling</t>
        </is>
      </c>
      <c r="D5176" s="12" t="inlineStr">
        <is>
          <t>Motor 10 of 12: control / local station</t>
        </is>
      </c>
      <c r="E5176" s="12" t="inlineStr"/>
      <c r="F5176" s="12" t="inlineStr">
        <is>
          <t>Inlet-chilling e-house / transformer</t>
        </is>
      </c>
      <c r="G5176" s="12" t="inlineStr"/>
      <c r="H5176" s="12" t="inlineStr">
        <is>
          <t>Inlet-chilling tower (12 cells): chiller heat rejection</t>
        </is>
      </c>
      <c r="I5176" s="12" t="inlineStr">
        <is>
          <t>Control</t>
        </is>
      </c>
      <c r="J5176" s="12" t="inlineStr">
        <is>
          <t>Control cable 600 V Type TC-ER, Cu #14 AWG, PVC jacket</t>
        </is>
      </c>
      <c r="K5176" s="12" t="inlineStr">
        <is>
          <t>CT|7/C|14</t>
        </is>
      </c>
      <c r="L5176" s="12" t="inlineStr">
        <is>
          <t>7/C</t>
        </is>
      </c>
      <c r="M5176" s="12" t="inlineStr">
        <is>
          <t>14</t>
        </is>
      </c>
      <c r="N5176" s="12" t="n">
        <v>1</v>
      </c>
      <c r="O5176" s="12" t="n">
        <v>1</v>
      </c>
      <c r="P5176" s="12" t="n"/>
      <c r="Q5176" s="12" t="n"/>
      <c r="R5176" s="12" t="n"/>
      <c r="S5176" s="12" t="inlineStr">
        <is>
          <t>Duct bank</t>
        </is>
      </c>
      <c r="T5176" s="17" t="n">
        <v>478</v>
      </c>
      <c r="U5176" s="17" t="n">
        <v>38</v>
      </c>
      <c r="V5176" s="17">
        <f>ROUNDUP((T5176+U5176+2*'Read Me'!$B$13)*(1+'Read Me'!$B$12),-1)</f>
        <v/>
      </c>
      <c r="W5176" s="17">
        <f>V5176*N5176*O5176</f>
        <v/>
      </c>
      <c r="X5176" s="12">
        <f>IF(LEFT(I5176,2)="MV",2*N5176*IF(L5176="1/C",O5176,1),0)</f>
        <v/>
      </c>
      <c r="Y5176" s="12">
        <f>IF(OR(LEFT(K5176,4)="LVAX",LEFT(K5176,6)="MV15AX",LEFT(K5176,4)="CTAX",LEFT(K5176,2)="W|"),2*N5176*O5176,0)</f>
        <v/>
      </c>
      <c r="Z5176" s="12" t="inlineStr"/>
      <c r="AA5176" s="12">
        <f>N5176*O5176</f>
        <v/>
      </c>
    </row>
    <row r="5177">
      <c r="A5177" s="12" t="inlineStr">
        <is>
          <t>J-C-0025</t>
        </is>
      </c>
      <c r="B5177" s="12" t="inlineStr">
        <is>
          <t>J</t>
        </is>
      </c>
      <c r="C5177" s="12" t="inlineStr">
        <is>
          <t>GT inlet chilling</t>
        </is>
      </c>
      <c r="D5177" s="12" t="inlineStr">
        <is>
          <t>Motor 11 of 12: control / local station</t>
        </is>
      </c>
      <c r="E5177" s="12" t="inlineStr"/>
      <c r="F5177" s="12" t="inlineStr">
        <is>
          <t>Inlet-chilling e-house / transformer</t>
        </is>
      </c>
      <c r="G5177" s="12" t="inlineStr"/>
      <c r="H5177" s="12" t="inlineStr">
        <is>
          <t>Inlet-chilling tower (12 cells): chiller heat rejection</t>
        </is>
      </c>
      <c r="I5177" s="12" t="inlineStr">
        <is>
          <t>Control</t>
        </is>
      </c>
      <c r="J5177" s="12" t="inlineStr">
        <is>
          <t>Control cable 600 V Type TC-ER, Cu #14 AWG, PVC jacket</t>
        </is>
      </c>
      <c r="K5177" s="12" t="inlineStr">
        <is>
          <t>CT|7/C|14</t>
        </is>
      </c>
      <c r="L5177" s="12" t="inlineStr">
        <is>
          <t>7/C</t>
        </is>
      </c>
      <c r="M5177" s="12" t="inlineStr">
        <is>
          <t>14</t>
        </is>
      </c>
      <c r="N5177" s="12" t="n">
        <v>1</v>
      </c>
      <c r="O5177" s="12" t="n">
        <v>1</v>
      </c>
      <c r="P5177" s="12" t="n"/>
      <c r="Q5177" s="12" t="n"/>
      <c r="R5177" s="12" t="n"/>
      <c r="S5177" s="12" t="inlineStr">
        <is>
          <t>Duct bank</t>
        </is>
      </c>
      <c r="T5177" s="17" t="n">
        <v>478</v>
      </c>
      <c r="U5177" s="17" t="n">
        <v>38</v>
      </c>
      <c r="V5177" s="17">
        <f>ROUNDUP((T5177+U5177+2*'Read Me'!$B$13)*(1+'Read Me'!$B$12),-1)</f>
        <v/>
      </c>
      <c r="W5177" s="17">
        <f>V5177*N5177*O5177</f>
        <v/>
      </c>
      <c r="X5177" s="12">
        <f>IF(LEFT(I5177,2)="MV",2*N5177*IF(L5177="1/C",O5177,1),0)</f>
        <v/>
      </c>
      <c r="Y5177" s="12">
        <f>IF(OR(LEFT(K5177,4)="LVAX",LEFT(K5177,6)="MV15AX",LEFT(K5177,4)="CTAX",LEFT(K5177,2)="W|"),2*N5177*O5177,0)</f>
        <v/>
      </c>
      <c r="Z5177" s="12" t="inlineStr"/>
      <c r="AA5177" s="12">
        <f>N5177*O5177</f>
        <v/>
      </c>
    </row>
    <row r="5178">
      <c r="A5178" s="12" t="inlineStr">
        <is>
          <t>J-C-0026</t>
        </is>
      </c>
      <c r="B5178" s="12" t="inlineStr">
        <is>
          <t>J</t>
        </is>
      </c>
      <c r="C5178" s="12" t="inlineStr">
        <is>
          <t>GT inlet chilling</t>
        </is>
      </c>
      <c r="D5178" s="12" t="inlineStr">
        <is>
          <t>Motor 12 of 12: control / local station</t>
        </is>
      </c>
      <c r="E5178" s="12" t="inlineStr"/>
      <c r="F5178" s="12" t="inlineStr">
        <is>
          <t>Inlet-chilling e-house / transformer</t>
        </is>
      </c>
      <c r="G5178" s="12" t="inlineStr"/>
      <c r="H5178" s="12" t="inlineStr">
        <is>
          <t>Inlet-chilling tower (12 cells): chiller heat rejection</t>
        </is>
      </c>
      <c r="I5178" s="12" t="inlineStr">
        <is>
          <t>Control</t>
        </is>
      </c>
      <c r="J5178" s="12" t="inlineStr">
        <is>
          <t>Control cable 600 V Type TC-ER, Cu #14 AWG, PVC jacket</t>
        </is>
      </c>
      <c r="K5178" s="12" t="inlineStr">
        <is>
          <t>CT|7/C|14</t>
        </is>
      </c>
      <c r="L5178" s="12" t="inlineStr">
        <is>
          <t>7/C</t>
        </is>
      </c>
      <c r="M5178" s="12" t="inlineStr">
        <is>
          <t>14</t>
        </is>
      </c>
      <c r="N5178" s="12" t="n">
        <v>1</v>
      </c>
      <c r="O5178" s="12" t="n">
        <v>1</v>
      </c>
      <c r="P5178" s="12" t="n"/>
      <c r="Q5178" s="12" t="n"/>
      <c r="R5178" s="12" t="n"/>
      <c r="S5178" s="12" t="inlineStr">
        <is>
          <t>Duct bank</t>
        </is>
      </c>
      <c r="T5178" s="17" t="n">
        <v>478</v>
      </c>
      <c r="U5178" s="17" t="n">
        <v>38</v>
      </c>
      <c r="V5178" s="17">
        <f>ROUNDUP((T5178+U5178+2*'Read Me'!$B$13)*(1+'Read Me'!$B$12),-1)</f>
        <v/>
      </c>
      <c r="W5178" s="17">
        <f>V5178*N5178*O5178</f>
        <v/>
      </c>
      <c r="X5178" s="12">
        <f>IF(LEFT(I5178,2)="MV",2*N5178*IF(L5178="1/C",O5178,1),0)</f>
        <v/>
      </c>
      <c r="Y5178" s="12">
        <f>IF(OR(LEFT(K5178,4)="LVAX",LEFT(K5178,6)="MV15AX",LEFT(K5178,4)="CTAX",LEFT(K5178,2)="W|"),2*N5178*O5178,0)</f>
        <v/>
      </c>
      <c r="Z5178" s="12" t="inlineStr"/>
      <c r="AA5178" s="12">
        <f>N5178*O5178</f>
        <v/>
      </c>
    </row>
    <row r="5179">
      <c r="A5179" s="12" t="inlineStr">
        <is>
          <t>J-I-0001</t>
        </is>
      </c>
      <c r="B5179" s="12" t="inlineStr">
        <is>
          <t>J</t>
        </is>
      </c>
      <c r="C5179" s="12" t="inlineStr">
        <is>
          <t>GT inlet chilling</t>
        </is>
      </c>
      <c r="D5179" s="12" t="inlineStr">
        <is>
          <t>Analog instrument to JB JB-CHW pumps-AI01: 12 x 1 pr (field cables)</t>
        </is>
      </c>
      <c r="E5179" s="12" t="inlineStr"/>
      <c r="F5179" s="12" t="inlineStr">
        <is>
          <t>CHW pumps</t>
        </is>
      </c>
      <c r="G5179" s="12" t="inlineStr">
        <is>
          <t>JB-CHW pumps-AI01</t>
        </is>
      </c>
      <c r="H5179" s="12" t="inlineStr">
        <is>
          <t>CHW pumps</t>
        </is>
      </c>
      <c r="I5179" s="12" t="inlineStr">
        <is>
          <t>Instrumentation</t>
        </is>
      </c>
      <c r="J5179" s="12" t="inlineStr">
        <is>
          <t>Instrumentation PLTC / TC-ER 300 V, #18 twisted shielded pairs, overall shield</t>
        </is>
      </c>
      <c r="K5179" s="12" t="inlineStr">
        <is>
          <t>PLTC|1 pr|16</t>
        </is>
      </c>
      <c r="L5179" s="12" t="inlineStr">
        <is>
          <t>1 pr</t>
        </is>
      </c>
      <c r="M5179" s="12" t="inlineStr">
        <is>
          <t>16</t>
        </is>
      </c>
      <c r="N5179" s="12" t="n">
        <v>12</v>
      </c>
      <c r="O5179" s="12" t="n">
        <v>1</v>
      </c>
      <c r="P5179" s="12" t="n"/>
      <c r="Q5179" s="12" t="n"/>
      <c r="R5179" s="12" t="n"/>
      <c r="S5179" s="12" t="inlineStr">
        <is>
          <t>Tray / conduit</t>
        </is>
      </c>
      <c r="T5179" s="17" t="n">
        <v>92</v>
      </c>
      <c r="U5179" s="17" t="n">
        <v>10</v>
      </c>
      <c r="V5179" s="17">
        <f>ROUNDUP((T5179+U5179+2*'Read Me'!$B$13)*(1+'Read Me'!$B$12),-1)</f>
        <v/>
      </c>
      <c r="W5179" s="17">
        <f>V5179*N5179*O5179</f>
        <v/>
      </c>
      <c r="X5179" s="12">
        <f>IF(LEFT(I5179,2)="MV",2*N5179*IF(L5179="1/C",O5179,1),0)</f>
        <v/>
      </c>
      <c r="Y5179" s="12">
        <f>IF(OR(LEFT(K5179,4)="LVAX",LEFT(K5179,6)="MV15AX",LEFT(K5179,4)="CTAX",LEFT(K5179,2)="W|"),2*N5179*O5179,0)</f>
        <v/>
      </c>
      <c r="Z5179" s="12" t="inlineStr">
        <is>
          <t>device-to-JB field wiring, one cable per device</t>
        </is>
      </c>
      <c r="AA5179" s="12">
        <f>N5179*O5179</f>
        <v/>
      </c>
    </row>
    <row r="5180">
      <c r="A5180" s="12" t="inlineStr">
        <is>
          <t>J-I-0002</t>
        </is>
      </c>
      <c r="B5180" s="12" t="inlineStr">
        <is>
          <t>J</t>
        </is>
      </c>
      <c r="C5180" s="12" t="inlineStr">
        <is>
          <t>GT inlet chilling</t>
        </is>
      </c>
      <c r="D5180" s="12" t="inlineStr">
        <is>
          <t>Home run JB-CHW pumps-AI01 to the control / marshalling room</t>
        </is>
      </c>
      <c r="E5180" s="12" t="inlineStr"/>
      <c r="F5180" s="12" t="inlineStr">
        <is>
          <t>Inlet-chilling e-house / transformer</t>
        </is>
      </c>
      <c r="G5180" s="12" t="inlineStr">
        <is>
          <t>JB-CHW pumps-AI01</t>
        </is>
      </c>
      <c r="H5180" s="12" t="inlineStr">
        <is>
          <t>CHW pumps</t>
        </is>
      </c>
      <c r="I5180" s="12" t="inlineStr">
        <is>
          <t>Instrumentation</t>
        </is>
      </c>
      <c r="J5180" s="12" t="inlineStr">
        <is>
          <t>Instrumentation PLTC / TC-ER 300 V, #18 twisted shielded pairs, overall shield</t>
        </is>
      </c>
      <c r="K5180" s="12" t="inlineStr">
        <is>
          <t>PLTC|24 pr|18</t>
        </is>
      </c>
      <c r="L5180" s="12" t="inlineStr">
        <is>
          <t>24 pr</t>
        </is>
      </c>
      <c r="M5180" s="12" t="inlineStr">
        <is>
          <t>18</t>
        </is>
      </c>
      <c r="N5180" s="12" t="n">
        <v>1</v>
      </c>
      <c r="O5180" s="12" t="n">
        <v>1</v>
      </c>
      <c r="P5180" s="12" t="n"/>
      <c r="Q5180" s="12" t="n"/>
      <c r="R5180" s="12" t="n"/>
      <c r="S5180" s="12" t="inlineStr">
        <is>
          <t>Duct bank</t>
        </is>
      </c>
      <c r="T5180" s="17" t="n">
        <v>579</v>
      </c>
      <c r="U5180" s="17" t="n">
        <v>32</v>
      </c>
      <c r="V5180" s="17">
        <f>ROUNDUP((T5180+U5180+2*'Read Me'!$B$13)*(1+'Read Me'!$B$12),-1)</f>
        <v/>
      </c>
      <c r="W5180" s="17">
        <f>V5180*N5180*O5180</f>
        <v/>
      </c>
      <c r="X5180" s="12">
        <f>IF(LEFT(I5180,2)="MV",2*N5180*IF(L5180="1/C",O5180,1),0)</f>
        <v/>
      </c>
      <c r="Y5180" s="12">
        <f>IF(OR(LEFT(K5180,4)="LVAX",LEFT(K5180,6)="MV15AX",LEFT(K5180,4)="CTAX",LEFT(K5180,2)="W|"),2*N5180*O5180,0)</f>
        <v/>
      </c>
      <c r="Z5180" s="12" t="inlineStr"/>
      <c r="AA5180" s="12">
        <f>N5180*O5180</f>
        <v/>
      </c>
    </row>
    <row r="5181">
      <c r="A5181" s="12" t="inlineStr">
        <is>
          <t>J-I-0003</t>
        </is>
      </c>
      <c r="B5181" s="12" t="inlineStr">
        <is>
          <t>J</t>
        </is>
      </c>
      <c r="C5181" s="12" t="inlineStr">
        <is>
          <t>GT inlet chilling</t>
        </is>
      </c>
      <c r="D5181" s="12" t="inlineStr">
        <is>
          <t>Discrete device to JB JB-CHW pumps-DI01: 12 x 1 pr (field cables)</t>
        </is>
      </c>
      <c r="E5181" s="12" t="inlineStr"/>
      <c r="F5181" s="12" t="inlineStr">
        <is>
          <t>CHW pumps</t>
        </is>
      </c>
      <c r="G5181" s="12" t="inlineStr">
        <is>
          <t>JB-CHW pumps-DI01</t>
        </is>
      </c>
      <c r="H5181" s="12" t="inlineStr">
        <is>
          <t>CHW pumps</t>
        </is>
      </c>
      <c r="I5181" s="12" t="inlineStr">
        <is>
          <t>Instrumentation</t>
        </is>
      </c>
      <c r="J5181" s="12" t="inlineStr">
        <is>
          <t>Instrumentation PLTC / TC-ER 300 V, #18 twisted shielded pairs, overall shield</t>
        </is>
      </c>
      <c r="K5181" s="12" t="inlineStr">
        <is>
          <t>PLTC|1 pr|16</t>
        </is>
      </c>
      <c r="L5181" s="12" t="inlineStr">
        <is>
          <t>1 pr</t>
        </is>
      </c>
      <c r="M5181" s="12" t="inlineStr">
        <is>
          <t>16</t>
        </is>
      </c>
      <c r="N5181" s="12" t="n">
        <v>12</v>
      </c>
      <c r="O5181" s="12" t="n">
        <v>1</v>
      </c>
      <c r="P5181" s="12" t="n"/>
      <c r="Q5181" s="12" t="n"/>
      <c r="R5181" s="12" t="n"/>
      <c r="S5181" s="12" t="inlineStr">
        <is>
          <t>Tray / conduit</t>
        </is>
      </c>
      <c r="T5181" s="17" t="n">
        <v>92</v>
      </c>
      <c r="U5181" s="17" t="n">
        <v>10</v>
      </c>
      <c r="V5181" s="17">
        <f>ROUNDUP((T5181+U5181+2*'Read Me'!$B$13)*(1+'Read Me'!$B$12),-1)</f>
        <v/>
      </c>
      <c r="W5181" s="17">
        <f>V5181*N5181*O5181</f>
        <v/>
      </c>
      <c r="X5181" s="12">
        <f>IF(LEFT(I5181,2)="MV",2*N5181*IF(L5181="1/C",O5181,1),0)</f>
        <v/>
      </c>
      <c r="Y5181" s="12">
        <f>IF(OR(LEFT(K5181,4)="LVAX",LEFT(K5181,6)="MV15AX",LEFT(K5181,4)="CTAX",LEFT(K5181,2)="W|"),2*N5181*O5181,0)</f>
        <v/>
      </c>
      <c r="Z5181" s="12" t="inlineStr">
        <is>
          <t>device-to-JB field wiring, one cable per device</t>
        </is>
      </c>
      <c r="AA5181" s="12">
        <f>N5181*O5181</f>
        <v/>
      </c>
    </row>
    <row r="5182">
      <c r="A5182" s="12" t="inlineStr">
        <is>
          <t>J-I-0004</t>
        </is>
      </c>
      <c r="B5182" s="12" t="inlineStr">
        <is>
          <t>J</t>
        </is>
      </c>
      <c r="C5182" s="12" t="inlineStr">
        <is>
          <t>GT inlet chilling</t>
        </is>
      </c>
      <c r="D5182" s="12" t="inlineStr">
        <is>
          <t>Home run JB-CHW pumps-DI01 to the control / marshalling room</t>
        </is>
      </c>
      <c r="E5182" s="12" t="inlineStr"/>
      <c r="F5182" s="12" t="inlineStr">
        <is>
          <t>Inlet-chilling e-house / transformer</t>
        </is>
      </c>
      <c r="G5182" s="12" t="inlineStr">
        <is>
          <t>JB-CHW pumps-DI01</t>
        </is>
      </c>
      <c r="H5182" s="12" t="inlineStr">
        <is>
          <t>CHW pumps</t>
        </is>
      </c>
      <c r="I5182" s="12" t="inlineStr">
        <is>
          <t>Instrumentation</t>
        </is>
      </c>
      <c r="J5182" s="12" t="inlineStr">
        <is>
          <t>Instrumentation PLTC / TC-ER 300 V, #18 twisted shielded pairs, overall shield</t>
        </is>
      </c>
      <c r="K5182" s="12" t="inlineStr">
        <is>
          <t>PLTC|24 pr|18</t>
        </is>
      </c>
      <c r="L5182" s="12" t="inlineStr">
        <is>
          <t>24 pr</t>
        </is>
      </c>
      <c r="M5182" s="12" t="inlineStr">
        <is>
          <t>18</t>
        </is>
      </c>
      <c r="N5182" s="12" t="n">
        <v>1</v>
      </c>
      <c r="O5182" s="12" t="n">
        <v>1</v>
      </c>
      <c r="P5182" s="12" t="n"/>
      <c r="Q5182" s="12" t="n"/>
      <c r="R5182" s="12" t="n"/>
      <c r="S5182" s="12" t="inlineStr">
        <is>
          <t>Duct bank</t>
        </is>
      </c>
      <c r="T5182" s="17" t="n">
        <v>579</v>
      </c>
      <c r="U5182" s="17" t="n">
        <v>32</v>
      </c>
      <c r="V5182" s="17">
        <f>ROUNDUP((T5182+U5182+2*'Read Me'!$B$13)*(1+'Read Me'!$B$12),-1)</f>
        <v/>
      </c>
      <c r="W5182" s="17">
        <f>V5182*N5182*O5182</f>
        <v/>
      </c>
      <c r="X5182" s="12">
        <f>IF(LEFT(I5182,2)="MV",2*N5182*IF(L5182="1/C",O5182,1),0)</f>
        <v/>
      </c>
      <c r="Y5182" s="12">
        <f>IF(OR(LEFT(K5182,4)="LVAX",LEFT(K5182,6)="MV15AX",LEFT(K5182,4)="CTAX",LEFT(K5182,2)="W|"),2*N5182*O5182,0)</f>
        <v/>
      </c>
      <c r="Z5182" s="12" t="inlineStr"/>
      <c r="AA5182" s="12">
        <f>N5182*O5182</f>
        <v/>
      </c>
    </row>
    <row r="5183">
      <c r="A5183" s="12" t="inlineStr">
        <is>
          <t>J-I-0005</t>
        </is>
      </c>
      <c r="B5183" s="12" t="inlineStr">
        <is>
          <t>J</t>
        </is>
      </c>
      <c r="C5183" s="12" t="inlineStr">
        <is>
          <t>GT inlet chilling</t>
        </is>
      </c>
      <c r="D5183" s="12" t="inlineStr">
        <is>
          <t>Analog instrument to JB JB-CONDITIONAL: TES c-AI01: 4 x 1 pr (field cables)</t>
        </is>
      </c>
      <c r="E5183" s="12" t="inlineStr"/>
      <c r="F5183" s="12" t="inlineStr">
        <is>
          <t>CONDITIONAL: TES chilled-water tank</t>
        </is>
      </c>
      <c r="G5183" s="12" t="inlineStr">
        <is>
          <t>JB-CONDITIONAL: TES c-AI01</t>
        </is>
      </c>
      <c r="H5183" s="12" t="inlineStr">
        <is>
          <t>CONDITIONAL: TES chilled-water tank</t>
        </is>
      </c>
      <c r="I5183" s="12" t="inlineStr">
        <is>
          <t>Instrumentation</t>
        </is>
      </c>
      <c r="J5183" s="12" t="inlineStr">
        <is>
          <t>Instrumentation PLTC / TC-ER 300 V, #18 twisted shielded pairs, overall shield</t>
        </is>
      </c>
      <c r="K5183" s="12" t="inlineStr">
        <is>
          <t>PLTC|1 pr|16</t>
        </is>
      </c>
      <c r="L5183" s="12" t="inlineStr">
        <is>
          <t>1 pr</t>
        </is>
      </c>
      <c r="M5183" s="12" t="inlineStr">
        <is>
          <t>16</t>
        </is>
      </c>
      <c r="N5183" s="12" t="n">
        <v>4</v>
      </c>
      <c r="O5183" s="12" t="n">
        <v>1</v>
      </c>
      <c r="P5183" s="12" t="n"/>
      <c r="Q5183" s="12" t="n"/>
      <c r="R5183" s="12" t="n"/>
      <c r="S5183" s="12" t="inlineStr">
        <is>
          <t>Tray / conduit</t>
        </is>
      </c>
      <c r="T5183" s="17" t="n">
        <v>91</v>
      </c>
      <c r="U5183" s="17" t="n">
        <v>10</v>
      </c>
      <c r="V5183" s="17">
        <f>ROUNDUP((T5183+U5183+2*'Read Me'!$B$13)*(1+'Read Me'!$B$12),-1)</f>
        <v/>
      </c>
      <c r="W5183" s="17">
        <f>V5183*N5183*O5183</f>
        <v/>
      </c>
      <c r="X5183" s="12">
        <f>IF(LEFT(I5183,2)="MV",2*N5183*IF(L5183="1/C",O5183,1),0)</f>
        <v/>
      </c>
      <c r="Y5183" s="12">
        <f>IF(OR(LEFT(K5183,4)="LVAX",LEFT(K5183,6)="MV15AX",LEFT(K5183,4)="CTAX",LEFT(K5183,2)="W|"),2*N5183*O5183,0)</f>
        <v/>
      </c>
      <c r="Z5183" s="12" t="inlineStr">
        <is>
          <t>device-to-JB field wiring, one cable per device</t>
        </is>
      </c>
      <c r="AA5183" s="12">
        <f>N5183*O5183</f>
        <v/>
      </c>
    </row>
    <row r="5184">
      <c r="A5184" s="12" t="inlineStr">
        <is>
          <t>J-I-0006</t>
        </is>
      </c>
      <c r="B5184" s="12" t="inlineStr">
        <is>
          <t>J</t>
        </is>
      </c>
      <c r="C5184" s="12" t="inlineStr">
        <is>
          <t>GT inlet chilling</t>
        </is>
      </c>
      <c r="D5184" s="12" t="inlineStr">
        <is>
          <t>Home run JB-CONDITIONAL: TES c-AI01 to the control / marshalling room</t>
        </is>
      </c>
      <c r="E5184" s="12" t="inlineStr"/>
      <c r="F5184" s="12" t="inlineStr">
        <is>
          <t>Inlet-chilling e-house / transformer</t>
        </is>
      </c>
      <c r="G5184" s="12" t="inlineStr">
        <is>
          <t>JB-CONDITIONAL: TES c-AI01</t>
        </is>
      </c>
      <c r="H5184" s="12" t="inlineStr">
        <is>
          <t>CONDITIONAL: TES chilled-water tank</t>
        </is>
      </c>
      <c r="I5184" s="12" t="inlineStr">
        <is>
          <t>Instrumentation</t>
        </is>
      </c>
      <c r="J5184" s="12" t="inlineStr">
        <is>
          <t>Instrumentation PLTC / TC-ER 300 V, #18 twisted shielded pairs, overall shield</t>
        </is>
      </c>
      <c r="K5184" s="12" t="inlineStr">
        <is>
          <t>PLTC|24 pr|18</t>
        </is>
      </c>
      <c r="L5184" s="12" t="inlineStr">
        <is>
          <t>24 pr</t>
        </is>
      </c>
      <c r="M5184" s="12" t="inlineStr">
        <is>
          <t>18</t>
        </is>
      </c>
      <c r="N5184" s="12" t="n">
        <v>1</v>
      </c>
      <c r="O5184" s="12" t="n">
        <v>1</v>
      </c>
      <c r="P5184" s="12" t="n"/>
      <c r="Q5184" s="12" t="n"/>
      <c r="R5184" s="12" t="n"/>
      <c r="S5184" s="12" t="inlineStr">
        <is>
          <t>Duct bank</t>
        </is>
      </c>
      <c r="T5184" s="17" t="n">
        <v>271</v>
      </c>
      <c r="U5184" s="17" t="n">
        <v>217</v>
      </c>
      <c r="V5184" s="17">
        <f>ROUNDUP((T5184+U5184+2*'Read Me'!$B$13)*(1+'Read Me'!$B$12),-1)</f>
        <v/>
      </c>
      <c r="W5184" s="17">
        <f>V5184*N5184*O5184</f>
        <v/>
      </c>
      <c r="X5184" s="12">
        <f>IF(LEFT(I5184,2)="MV",2*N5184*IF(L5184="1/C",O5184,1),0)</f>
        <v/>
      </c>
      <c r="Y5184" s="12">
        <f>IF(OR(LEFT(K5184,4)="LVAX",LEFT(K5184,6)="MV15AX",LEFT(K5184,4)="CTAX",LEFT(K5184,2)="W|"),2*N5184*O5184,0)</f>
        <v/>
      </c>
      <c r="Z5184" s="12" t="inlineStr"/>
      <c r="AA5184" s="12">
        <f>N5184*O5184</f>
        <v/>
      </c>
    </row>
    <row r="5185">
      <c r="A5185" s="12" t="inlineStr">
        <is>
          <t>J-I-0007</t>
        </is>
      </c>
      <c r="B5185" s="12" t="inlineStr">
        <is>
          <t>J</t>
        </is>
      </c>
      <c r="C5185" s="12" t="inlineStr">
        <is>
          <t>GT inlet chilling</t>
        </is>
      </c>
      <c r="D5185" s="12" t="inlineStr">
        <is>
          <t>Discrete device to JB JB-CONDITIONAL: TES c-DI01: 4 x 1 pr (field cables)</t>
        </is>
      </c>
      <c r="E5185" s="12" t="inlineStr"/>
      <c r="F5185" s="12" t="inlineStr">
        <is>
          <t>CONDITIONAL: TES chilled-water tank</t>
        </is>
      </c>
      <c r="G5185" s="12" t="inlineStr">
        <is>
          <t>JB-CONDITIONAL: TES c-DI01</t>
        </is>
      </c>
      <c r="H5185" s="12" t="inlineStr">
        <is>
          <t>CONDITIONAL: TES chilled-water tank</t>
        </is>
      </c>
      <c r="I5185" s="12" t="inlineStr">
        <is>
          <t>Instrumentation</t>
        </is>
      </c>
      <c r="J5185" s="12" t="inlineStr">
        <is>
          <t>Instrumentation PLTC / TC-ER 300 V, #18 twisted shielded pairs, overall shield</t>
        </is>
      </c>
      <c r="K5185" s="12" t="inlineStr">
        <is>
          <t>PLTC|1 pr|16</t>
        </is>
      </c>
      <c r="L5185" s="12" t="inlineStr">
        <is>
          <t>1 pr</t>
        </is>
      </c>
      <c r="M5185" s="12" t="inlineStr">
        <is>
          <t>16</t>
        </is>
      </c>
      <c r="N5185" s="12" t="n">
        <v>4</v>
      </c>
      <c r="O5185" s="12" t="n">
        <v>1</v>
      </c>
      <c r="P5185" s="12" t="n"/>
      <c r="Q5185" s="12" t="n"/>
      <c r="R5185" s="12" t="n"/>
      <c r="S5185" s="12" t="inlineStr">
        <is>
          <t>Tray / conduit</t>
        </is>
      </c>
      <c r="T5185" s="17" t="n">
        <v>91</v>
      </c>
      <c r="U5185" s="17" t="n">
        <v>10</v>
      </c>
      <c r="V5185" s="17">
        <f>ROUNDUP((T5185+U5185+2*'Read Me'!$B$13)*(1+'Read Me'!$B$12),-1)</f>
        <v/>
      </c>
      <c r="W5185" s="17">
        <f>V5185*N5185*O5185</f>
        <v/>
      </c>
      <c r="X5185" s="12">
        <f>IF(LEFT(I5185,2)="MV",2*N5185*IF(L5185="1/C",O5185,1),0)</f>
        <v/>
      </c>
      <c r="Y5185" s="12">
        <f>IF(OR(LEFT(K5185,4)="LVAX",LEFT(K5185,6)="MV15AX",LEFT(K5185,4)="CTAX",LEFT(K5185,2)="W|"),2*N5185*O5185,0)</f>
        <v/>
      </c>
      <c r="Z5185" s="12" t="inlineStr">
        <is>
          <t>device-to-JB field wiring, one cable per device</t>
        </is>
      </c>
      <c r="AA5185" s="12">
        <f>N5185*O5185</f>
        <v/>
      </c>
    </row>
    <row r="5186">
      <c r="A5186" s="12" t="inlineStr">
        <is>
          <t>J-I-0008</t>
        </is>
      </c>
      <c r="B5186" s="12" t="inlineStr">
        <is>
          <t>J</t>
        </is>
      </c>
      <c r="C5186" s="12" t="inlineStr">
        <is>
          <t>GT inlet chilling</t>
        </is>
      </c>
      <c r="D5186" s="12" t="inlineStr">
        <is>
          <t>Home run JB-CONDITIONAL: TES c-DI01 to the control / marshalling room</t>
        </is>
      </c>
      <c r="E5186" s="12" t="inlineStr"/>
      <c r="F5186" s="12" t="inlineStr">
        <is>
          <t>Inlet-chilling e-house / transformer</t>
        </is>
      </c>
      <c r="G5186" s="12" t="inlineStr">
        <is>
          <t>JB-CONDITIONAL: TES c-DI01</t>
        </is>
      </c>
      <c r="H5186" s="12" t="inlineStr">
        <is>
          <t>CONDITIONAL: TES chilled-water tank</t>
        </is>
      </c>
      <c r="I5186" s="12" t="inlineStr">
        <is>
          <t>Instrumentation</t>
        </is>
      </c>
      <c r="J5186" s="12" t="inlineStr">
        <is>
          <t>Instrumentation PLTC / TC-ER 300 V, #18 twisted shielded pairs, overall shield</t>
        </is>
      </c>
      <c r="K5186" s="12" t="inlineStr">
        <is>
          <t>PLTC|24 pr|18</t>
        </is>
      </c>
      <c r="L5186" s="12" t="inlineStr">
        <is>
          <t>24 pr</t>
        </is>
      </c>
      <c r="M5186" s="12" t="inlineStr">
        <is>
          <t>18</t>
        </is>
      </c>
      <c r="N5186" s="12" t="n">
        <v>1</v>
      </c>
      <c r="O5186" s="12" t="n">
        <v>1</v>
      </c>
      <c r="P5186" s="12" t="n"/>
      <c r="Q5186" s="12" t="n"/>
      <c r="R5186" s="12" t="n"/>
      <c r="S5186" s="12" t="inlineStr">
        <is>
          <t>Duct bank</t>
        </is>
      </c>
      <c r="T5186" s="17" t="n">
        <v>271</v>
      </c>
      <c r="U5186" s="17" t="n">
        <v>217</v>
      </c>
      <c r="V5186" s="17">
        <f>ROUNDUP((T5186+U5186+2*'Read Me'!$B$13)*(1+'Read Me'!$B$12),-1)</f>
        <v/>
      </c>
      <c r="W5186" s="17">
        <f>V5186*N5186*O5186</f>
        <v/>
      </c>
      <c r="X5186" s="12">
        <f>IF(LEFT(I5186,2)="MV",2*N5186*IF(L5186="1/C",O5186,1),0)</f>
        <v/>
      </c>
      <c r="Y5186" s="12">
        <f>IF(OR(LEFT(K5186,4)="LVAX",LEFT(K5186,6)="MV15AX",LEFT(K5186,4)="CTAX",LEFT(K5186,2)="W|"),2*N5186*O5186,0)</f>
        <v/>
      </c>
      <c r="Z5186" s="12" t="inlineStr"/>
      <c r="AA5186" s="12">
        <f>N5186*O5186</f>
        <v/>
      </c>
    </row>
    <row r="5187">
      <c r="A5187" s="12" t="inlineStr">
        <is>
          <t>J-I-0009</t>
        </is>
      </c>
      <c r="B5187" s="12" t="inlineStr">
        <is>
          <t>J</t>
        </is>
      </c>
      <c r="C5187" s="12" t="inlineStr">
        <is>
          <t>GT inlet chilling</t>
        </is>
      </c>
      <c r="D5187" s="12" t="inlineStr">
        <is>
          <t>Analog instrument to JB JB-CW pumps (inlet ch-AI01: 20 x 1 pr (field cables)</t>
        </is>
      </c>
      <c r="E5187" s="12" t="inlineStr"/>
      <c r="F5187" s="12" t="inlineStr">
        <is>
          <t>CW pumps (inlet chilling)</t>
        </is>
      </c>
      <c r="G5187" s="12" t="inlineStr">
        <is>
          <t>JB-CW pumps (inlet ch-AI01</t>
        </is>
      </c>
      <c r="H5187" s="12" t="inlineStr">
        <is>
          <t>CW pumps (inlet chilling)</t>
        </is>
      </c>
      <c r="I5187" s="12" t="inlineStr">
        <is>
          <t>Instrumentation</t>
        </is>
      </c>
      <c r="J5187" s="12" t="inlineStr">
        <is>
          <t>Instrumentation PLTC / TC-ER 300 V, #18 twisted shielded pairs, overall shield</t>
        </is>
      </c>
      <c r="K5187" s="12" t="inlineStr">
        <is>
          <t>PLTC|1 pr|16</t>
        </is>
      </c>
      <c r="L5187" s="12" t="inlineStr">
        <is>
          <t>1 pr</t>
        </is>
      </c>
      <c r="M5187" s="12" t="inlineStr">
        <is>
          <t>16</t>
        </is>
      </c>
      <c r="N5187" s="12" t="n">
        <v>20</v>
      </c>
      <c r="O5187" s="12" t="n">
        <v>1</v>
      </c>
      <c r="P5187" s="12" t="n"/>
      <c r="Q5187" s="12" t="n"/>
      <c r="R5187" s="12" t="n"/>
      <c r="S5187" s="12" t="inlineStr">
        <is>
          <t>Tray / conduit</t>
        </is>
      </c>
      <c r="T5187" s="17" t="n">
        <v>92</v>
      </c>
      <c r="U5187" s="17" t="n">
        <v>10</v>
      </c>
      <c r="V5187" s="17">
        <f>ROUNDUP((T5187+U5187+2*'Read Me'!$B$13)*(1+'Read Me'!$B$12),-1)</f>
        <v/>
      </c>
      <c r="W5187" s="17">
        <f>V5187*N5187*O5187</f>
        <v/>
      </c>
      <c r="X5187" s="12">
        <f>IF(LEFT(I5187,2)="MV",2*N5187*IF(L5187="1/C",O5187,1),0)</f>
        <v/>
      </c>
      <c r="Y5187" s="12">
        <f>IF(OR(LEFT(K5187,4)="LVAX",LEFT(K5187,6)="MV15AX",LEFT(K5187,4)="CTAX",LEFT(K5187,2)="W|"),2*N5187*O5187,0)</f>
        <v/>
      </c>
      <c r="Z5187" s="12" t="inlineStr">
        <is>
          <t>device-to-JB field wiring, one cable per device</t>
        </is>
      </c>
      <c r="AA5187" s="12">
        <f>N5187*O5187</f>
        <v/>
      </c>
    </row>
    <row r="5188">
      <c r="A5188" s="12" t="inlineStr">
        <is>
          <t>J-I-0010</t>
        </is>
      </c>
      <c r="B5188" s="12" t="inlineStr">
        <is>
          <t>J</t>
        </is>
      </c>
      <c r="C5188" s="12" t="inlineStr">
        <is>
          <t>GT inlet chilling</t>
        </is>
      </c>
      <c r="D5188" s="12" t="inlineStr">
        <is>
          <t>Home run JB-CW pumps (inlet ch-AI01 to the control / marshalling room</t>
        </is>
      </c>
      <c r="E5188" s="12" t="inlineStr"/>
      <c r="F5188" s="12" t="inlineStr">
        <is>
          <t>Inlet-chilling e-house / transformer</t>
        </is>
      </c>
      <c r="G5188" s="12" t="inlineStr">
        <is>
          <t>JB-CW pumps (inlet ch-AI01</t>
        </is>
      </c>
      <c r="H5188" s="12" t="inlineStr">
        <is>
          <t>CW pumps (inlet chilling)</t>
        </is>
      </c>
      <c r="I5188" s="12" t="inlineStr">
        <is>
          <t>Instrumentation</t>
        </is>
      </c>
      <c r="J5188" s="12" t="inlineStr">
        <is>
          <t>Instrumentation PLTC / TC-ER 300 V, #18 twisted shielded pairs, overall shield</t>
        </is>
      </c>
      <c r="K5188" s="12" t="inlineStr">
        <is>
          <t>PLTC|24 pr|18</t>
        </is>
      </c>
      <c r="L5188" s="12" t="inlineStr">
        <is>
          <t>24 pr</t>
        </is>
      </c>
      <c r="M5188" s="12" t="inlineStr">
        <is>
          <t>18</t>
        </is>
      </c>
      <c r="N5188" s="12" t="n">
        <v>1</v>
      </c>
      <c r="O5188" s="12" t="n">
        <v>1</v>
      </c>
      <c r="P5188" s="12" t="n"/>
      <c r="Q5188" s="12" t="n"/>
      <c r="R5188" s="12" t="n"/>
      <c r="S5188" s="12" t="inlineStr">
        <is>
          <t>Tray</t>
        </is>
      </c>
      <c r="T5188" s="17" t="n">
        <v>0</v>
      </c>
      <c r="U5188" s="17" t="n">
        <v>70</v>
      </c>
      <c r="V5188" s="17">
        <f>ROUNDUP((T5188+U5188+2*'Read Me'!$B$13)*(1+'Read Me'!$B$12),-1)</f>
        <v/>
      </c>
      <c r="W5188" s="17">
        <f>V5188*N5188*O5188</f>
        <v/>
      </c>
      <c r="X5188" s="12">
        <f>IF(LEFT(I5188,2)="MV",2*N5188*IF(L5188="1/C",O5188,1),0)</f>
        <v/>
      </c>
      <c r="Y5188" s="12">
        <f>IF(OR(LEFT(K5188,4)="LVAX",LEFT(K5188,6)="MV15AX",LEFT(K5188,4)="CTAX",LEFT(K5188,2)="W|"),2*N5188*O5188,0)</f>
        <v/>
      </c>
      <c r="Z5188" s="12" t="inlineStr"/>
      <c r="AA5188" s="12">
        <f>N5188*O5188</f>
        <v/>
      </c>
    </row>
    <row r="5189">
      <c r="A5189" s="12" t="inlineStr">
        <is>
          <t>J-I-0011</t>
        </is>
      </c>
      <c r="B5189" s="12" t="inlineStr">
        <is>
          <t>J</t>
        </is>
      </c>
      <c r="C5189" s="12" t="inlineStr">
        <is>
          <t>GT inlet chilling</t>
        </is>
      </c>
      <c r="D5189" s="12" t="inlineStr">
        <is>
          <t>Analog instrument to JB JB-CW pumps (inlet ch-AI02: 4 x 1 pr (field cables)</t>
        </is>
      </c>
      <c r="E5189" s="12" t="inlineStr"/>
      <c r="F5189" s="12" t="inlineStr">
        <is>
          <t>CW pumps (inlet chilling)</t>
        </is>
      </c>
      <c r="G5189" s="12" t="inlineStr">
        <is>
          <t>JB-CW pumps (inlet ch-AI02</t>
        </is>
      </c>
      <c r="H5189" s="12" t="inlineStr">
        <is>
          <t>CW pumps (inlet chilling)</t>
        </is>
      </c>
      <c r="I5189" s="12" t="inlineStr">
        <is>
          <t>Instrumentation</t>
        </is>
      </c>
      <c r="J5189" s="12" t="inlineStr">
        <is>
          <t>Instrumentation PLTC / TC-ER 300 V, #18 twisted shielded pairs, overall shield</t>
        </is>
      </c>
      <c r="K5189" s="12" t="inlineStr">
        <is>
          <t>PLTC|1 pr|16</t>
        </is>
      </c>
      <c r="L5189" s="12" t="inlineStr">
        <is>
          <t>1 pr</t>
        </is>
      </c>
      <c r="M5189" s="12" t="inlineStr">
        <is>
          <t>16</t>
        </is>
      </c>
      <c r="N5189" s="12" t="n">
        <v>4</v>
      </c>
      <c r="O5189" s="12" t="n">
        <v>1</v>
      </c>
      <c r="P5189" s="12" t="n"/>
      <c r="Q5189" s="12" t="n"/>
      <c r="R5189" s="12" t="n"/>
      <c r="S5189" s="12" t="inlineStr">
        <is>
          <t>Tray / conduit</t>
        </is>
      </c>
      <c r="T5189" s="17" t="n">
        <v>92</v>
      </c>
      <c r="U5189" s="17" t="n">
        <v>10</v>
      </c>
      <c r="V5189" s="17">
        <f>ROUNDUP((T5189+U5189+2*'Read Me'!$B$13)*(1+'Read Me'!$B$12),-1)</f>
        <v/>
      </c>
      <c r="W5189" s="17">
        <f>V5189*N5189*O5189</f>
        <v/>
      </c>
      <c r="X5189" s="12">
        <f>IF(LEFT(I5189,2)="MV",2*N5189*IF(L5189="1/C",O5189,1),0)</f>
        <v/>
      </c>
      <c r="Y5189" s="12">
        <f>IF(OR(LEFT(K5189,4)="LVAX",LEFT(K5189,6)="MV15AX",LEFT(K5189,4)="CTAX",LEFT(K5189,2)="W|"),2*N5189*O5189,0)</f>
        <v/>
      </c>
      <c r="Z5189" s="12" t="inlineStr">
        <is>
          <t>device-to-JB field wiring, one cable per device</t>
        </is>
      </c>
      <c r="AA5189" s="12">
        <f>N5189*O5189</f>
        <v/>
      </c>
    </row>
    <row r="5190">
      <c r="A5190" s="12" t="inlineStr">
        <is>
          <t>J-I-0012</t>
        </is>
      </c>
      <c r="B5190" s="12" t="inlineStr">
        <is>
          <t>J</t>
        </is>
      </c>
      <c r="C5190" s="12" t="inlineStr">
        <is>
          <t>GT inlet chilling</t>
        </is>
      </c>
      <c r="D5190" s="12" t="inlineStr">
        <is>
          <t>Home run JB-CW pumps (inlet ch-AI02 to the control / marshalling room</t>
        </is>
      </c>
      <c r="E5190" s="12" t="inlineStr"/>
      <c r="F5190" s="12" t="inlineStr">
        <is>
          <t>Inlet-chilling e-house / transformer</t>
        </is>
      </c>
      <c r="G5190" s="12" t="inlineStr">
        <is>
          <t>JB-CW pumps (inlet ch-AI02</t>
        </is>
      </c>
      <c r="H5190" s="12" t="inlineStr">
        <is>
          <t>CW pumps (inlet chilling)</t>
        </is>
      </c>
      <c r="I5190" s="12" t="inlineStr">
        <is>
          <t>Instrumentation</t>
        </is>
      </c>
      <c r="J5190" s="12" t="inlineStr">
        <is>
          <t>Instrumentation PLTC / TC-ER 300 V, #18 twisted shielded pairs, overall shield</t>
        </is>
      </c>
      <c r="K5190" s="12" t="inlineStr">
        <is>
          <t>PLTC|24 pr|18</t>
        </is>
      </c>
      <c r="L5190" s="12" t="inlineStr">
        <is>
          <t>24 pr</t>
        </is>
      </c>
      <c r="M5190" s="12" t="inlineStr">
        <is>
          <t>18</t>
        </is>
      </c>
      <c r="N5190" s="12" t="n">
        <v>1</v>
      </c>
      <c r="O5190" s="12" t="n">
        <v>1</v>
      </c>
      <c r="P5190" s="12" t="n"/>
      <c r="Q5190" s="12" t="n"/>
      <c r="R5190" s="12" t="n"/>
      <c r="S5190" s="12" t="inlineStr">
        <is>
          <t>Tray</t>
        </is>
      </c>
      <c r="T5190" s="17" t="n">
        <v>0</v>
      </c>
      <c r="U5190" s="17" t="n">
        <v>70</v>
      </c>
      <c r="V5190" s="17">
        <f>ROUNDUP((T5190+U5190+2*'Read Me'!$B$13)*(1+'Read Me'!$B$12),-1)</f>
        <v/>
      </c>
      <c r="W5190" s="17">
        <f>V5190*N5190*O5190</f>
        <v/>
      </c>
      <c r="X5190" s="12">
        <f>IF(LEFT(I5190,2)="MV",2*N5190*IF(L5190="1/C",O5190,1),0)</f>
        <v/>
      </c>
      <c r="Y5190" s="12">
        <f>IF(OR(LEFT(K5190,4)="LVAX",LEFT(K5190,6)="MV15AX",LEFT(K5190,4)="CTAX",LEFT(K5190,2)="W|"),2*N5190*O5190,0)</f>
        <v/>
      </c>
      <c r="Z5190" s="12" t="inlineStr"/>
      <c r="AA5190" s="12">
        <f>N5190*O5190</f>
        <v/>
      </c>
    </row>
    <row r="5191">
      <c r="A5191" s="12" t="inlineStr">
        <is>
          <t>J-I-0013</t>
        </is>
      </c>
      <c r="B5191" s="12" t="inlineStr">
        <is>
          <t>J</t>
        </is>
      </c>
      <c r="C5191" s="12" t="inlineStr">
        <is>
          <t>GT inlet chilling</t>
        </is>
      </c>
      <c r="D5191" s="12" t="inlineStr">
        <is>
          <t>Discrete device to JB JB-CW pumps (inlet ch-DI01: 20 x 1 pr (field cables)</t>
        </is>
      </c>
      <c r="E5191" s="12" t="inlineStr"/>
      <c r="F5191" s="12" t="inlineStr">
        <is>
          <t>CW pumps (inlet chilling)</t>
        </is>
      </c>
      <c r="G5191" s="12" t="inlineStr">
        <is>
          <t>JB-CW pumps (inlet ch-DI01</t>
        </is>
      </c>
      <c r="H5191" s="12" t="inlineStr">
        <is>
          <t>CW pumps (inlet chilling)</t>
        </is>
      </c>
      <c r="I5191" s="12" t="inlineStr">
        <is>
          <t>Instrumentation</t>
        </is>
      </c>
      <c r="J5191" s="12" t="inlineStr">
        <is>
          <t>Instrumentation PLTC / TC-ER 300 V, #18 twisted shielded pairs, overall shield</t>
        </is>
      </c>
      <c r="K5191" s="12" t="inlineStr">
        <is>
          <t>PLTC|1 pr|16</t>
        </is>
      </c>
      <c r="L5191" s="12" t="inlineStr">
        <is>
          <t>1 pr</t>
        </is>
      </c>
      <c r="M5191" s="12" t="inlineStr">
        <is>
          <t>16</t>
        </is>
      </c>
      <c r="N5191" s="12" t="n">
        <v>20</v>
      </c>
      <c r="O5191" s="12" t="n">
        <v>1</v>
      </c>
      <c r="P5191" s="12" t="n"/>
      <c r="Q5191" s="12" t="n"/>
      <c r="R5191" s="12" t="n"/>
      <c r="S5191" s="12" t="inlineStr">
        <is>
          <t>Tray / conduit</t>
        </is>
      </c>
      <c r="T5191" s="17" t="n">
        <v>92</v>
      </c>
      <c r="U5191" s="17" t="n">
        <v>10</v>
      </c>
      <c r="V5191" s="17">
        <f>ROUNDUP((T5191+U5191+2*'Read Me'!$B$13)*(1+'Read Me'!$B$12),-1)</f>
        <v/>
      </c>
      <c r="W5191" s="17">
        <f>V5191*N5191*O5191</f>
        <v/>
      </c>
      <c r="X5191" s="12">
        <f>IF(LEFT(I5191,2)="MV",2*N5191*IF(L5191="1/C",O5191,1),0)</f>
        <v/>
      </c>
      <c r="Y5191" s="12">
        <f>IF(OR(LEFT(K5191,4)="LVAX",LEFT(K5191,6)="MV15AX",LEFT(K5191,4)="CTAX",LEFT(K5191,2)="W|"),2*N5191*O5191,0)</f>
        <v/>
      </c>
      <c r="Z5191" s="12" t="inlineStr">
        <is>
          <t>device-to-JB field wiring, one cable per device</t>
        </is>
      </c>
      <c r="AA5191" s="12">
        <f>N5191*O5191</f>
        <v/>
      </c>
    </row>
    <row r="5192">
      <c r="A5192" s="12" t="inlineStr">
        <is>
          <t>J-I-0014</t>
        </is>
      </c>
      <c r="B5192" s="12" t="inlineStr">
        <is>
          <t>J</t>
        </is>
      </c>
      <c r="C5192" s="12" t="inlineStr">
        <is>
          <t>GT inlet chilling</t>
        </is>
      </c>
      <c r="D5192" s="12" t="inlineStr">
        <is>
          <t>Home run JB-CW pumps (inlet ch-DI01 to the control / marshalling room</t>
        </is>
      </c>
      <c r="E5192" s="12" t="inlineStr"/>
      <c r="F5192" s="12" t="inlineStr">
        <is>
          <t>Inlet-chilling e-house / transformer</t>
        </is>
      </c>
      <c r="G5192" s="12" t="inlineStr">
        <is>
          <t>JB-CW pumps (inlet ch-DI01</t>
        </is>
      </c>
      <c r="H5192" s="12" t="inlineStr">
        <is>
          <t>CW pumps (inlet chilling)</t>
        </is>
      </c>
      <c r="I5192" s="12" t="inlineStr">
        <is>
          <t>Instrumentation</t>
        </is>
      </c>
      <c r="J5192" s="12" t="inlineStr">
        <is>
          <t>Instrumentation PLTC / TC-ER 300 V, #18 twisted shielded pairs, overall shield</t>
        </is>
      </c>
      <c r="K5192" s="12" t="inlineStr">
        <is>
          <t>PLTC|24 pr|18</t>
        </is>
      </c>
      <c r="L5192" s="12" t="inlineStr">
        <is>
          <t>24 pr</t>
        </is>
      </c>
      <c r="M5192" s="12" t="inlineStr">
        <is>
          <t>18</t>
        </is>
      </c>
      <c r="N5192" s="12" t="n">
        <v>1</v>
      </c>
      <c r="O5192" s="12" t="n">
        <v>1</v>
      </c>
      <c r="P5192" s="12" t="n"/>
      <c r="Q5192" s="12" t="n"/>
      <c r="R5192" s="12" t="n"/>
      <c r="S5192" s="12" t="inlineStr">
        <is>
          <t>Tray</t>
        </is>
      </c>
      <c r="T5192" s="17" t="n">
        <v>0</v>
      </c>
      <c r="U5192" s="17" t="n">
        <v>70</v>
      </c>
      <c r="V5192" s="17">
        <f>ROUNDUP((T5192+U5192+2*'Read Me'!$B$13)*(1+'Read Me'!$B$12),-1)</f>
        <v/>
      </c>
      <c r="W5192" s="17">
        <f>V5192*N5192*O5192</f>
        <v/>
      </c>
      <c r="X5192" s="12">
        <f>IF(LEFT(I5192,2)="MV",2*N5192*IF(L5192="1/C",O5192,1),0)</f>
        <v/>
      </c>
      <c r="Y5192" s="12">
        <f>IF(OR(LEFT(K5192,4)="LVAX",LEFT(K5192,6)="MV15AX",LEFT(K5192,4)="CTAX",LEFT(K5192,2)="W|"),2*N5192*O5192,0)</f>
        <v/>
      </c>
      <c r="Z5192" s="12" t="inlineStr"/>
      <c r="AA5192" s="12">
        <f>N5192*O5192</f>
        <v/>
      </c>
    </row>
    <row r="5193">
      <c r="A5193" s="12" t="inlineStr">
        <is>
          <t>J-I-0015</t>
        </is>
      </c>
      <c r="B5193" s="12" t="inlineStr">
        <is>
          <t>J</t>
        </is>
      </c>
      <c r="C5193" s="12" t="inlineStr">
        <is>
          <t>GT inlet chilling</t>
        </is>
      </c>
      <c r="D5193" s="12" t="inlineStr">
        <is>
          <t>Discrete device to JB JB-CW pumps (inlet ch-DI02: 4 x 1 pr (field cables)</t>
        </is>
      </c>
      <c r="E5193" s="12" t="inlineStr"/>
      <c r="F5193" s="12" t="inlineStr">
        <is>
          <t>CW pumps (inlet chilling)</t>
        </is>
      </c>
      <c r="G5193" s="12" t="inlineStr">
        <is>
          <t>JB-CW pumps (inlet ch-DI02</t>
        </is>
      </c>
      <c r="H5193" s="12" t="inlineStr">
        <is>
          <t>CW pumps (inlet chilling)</t>
        </is>
      </c>
      <c r="I5193" s="12" t="inlineStr">
        <is>
          <t>Instrumentation</t>
        </is>
      </c>
      <c r="J5193" s="12" t="inlineStr">
        <is>
          <t>Instrumentation PLTC / TC-ER 300 V, #18 twisted shielded pairs, overall shield</t>
        </is>
      </c>
      <c r="K5193" s="12" t="inlineStr">
        <is>
          <t>PLTC|1 pr|16</t>
        </is>
      </c>
      <c r="L5193" s="12" t="inlineStr">
        <is>
          <t>1 pr</t>
        </is>
      </c>
      <c r="M5193" s="12" t="inlineStr">
        <is>
          <t>16</t>
        </is>
      </c>
      <c r="N5193" s="12" t="n">
        <v>4</v>
      </c>
      <c r="O5193" s="12" t="n">
        <v>1</v>
      </c>
      <c r="P5193" s="12" t="n"/>
      <c r="Q5193" s="12" t="n"/>
      <c r="R5193" s="12" t="n"/>
      <c r="S5193" s="12" t="inlineStr">
        <is>
          <t>Tray / conduit</t>
        </is>
      </c>
      <c r="T5193" s="17" t="n">
        <v>92</v>
      </c>
      <c r="U5193" s="17" t="n">
        <v>10</v>
      </c>
      <c r="V5193" s="17">
        <f>ROUNDUP((T5193+U5193+2*'Read Me'!$B$13)*(1+'Read Me'!$B$12),-1)</f>
        <v/>
      </c>
      <c r="W5193" s="17">
        <f>V5193*N5193*O5193</f>
        <v/>
      </c>
      <c r="X5193" s="12">
        <f>IF(LEFT(I5193,2)="MV",2*N5193*IF(L5193="1/C",O5193,1),0)</f>
        <v/>
      </c>
      <c r="Y5193" s="12">
        <f>IF(OR(LEFT(K5193,4)="LVAX",LEFT(K5193,6)="MV15AX",LEFT(K5193,4)="CTAX",LEFT(K5193,2)="W|"),2*N5193*O5193,0)</f>
        <v/>
      </c>
      <c r="Z5193" s="12" t="inlineStr">
        <is>
          <t>device-to-JB field wiring, one cable per device</t>
        </is>
      </c>
      <c r="AA5193" s="12">
        <f>N5193*O5193</f>
        <v/>
      </c>
    </row>
    <row r="5194">
      <c r="A5194" s="12" t="inlineStr">
        <is>
          <t>J-I-0016</t>
        </is>
      </c>
      <c r="B5194" s="12" t="inlineStr">
        <is>
          <t>J</t>
        </is>
      </c>
      <c r="C5194" s="12" t="inlineStr">
        <is>
          <t>GT inlet chilling</t>
        </is>
      </c>
      <c r="D5194" s="12" t="inlineStr">
        <is>
          <t>Home run JB-CW pumps (inlet ch-DI02 to the control / marshalling room</t>
        </is>
      </c>
      <c r="E5194" s="12" t="inlineStr"/>
      <c r="F5194" s="12" t="inlineStr">
        <is>
          <t>Inlet-chilling e-house / transformer</t>
        </is>
      </c>
      <c r="G5194" s="12" t="inlineStr">
        <is>
          <t>JB-CW pumps (inlet ch-DI02</t>
        </is>
      </c>
      <c r="H5194" s="12" t="inlineStr">
        <is>
          <t>CW pumps (inlet chilling)</t>
        </is>
      </c>
      <c r="I5194" s="12" t="inlineStr">
        <is>
          <t>Instrumentation</t>
        </is>
      </c>
      <c r="J5194" s="12" t="inlineStr">
        <is>
          <t>Instrumentation PLTC / TC-ER 300 V, #18 twisted shielded pairs, overall shield</t>
        </is>
      </c>
      <c r="K5194" s="12" t="inlineStr">
        <is>
          <t>PLTC|24 pr|18</t>
        </is>
      </c>
      <c r="L5194" s="12" t="inlineStr">
        <is>
          <t>24 pr</t>
        </is>
      </c>
      <c r="M5194" s="12" t="inlineStr">
        <is>
          <t>18</t>
        </is>
      </c>
      <c r="N5194" s="12" t="n">
        <v>1</v>
      </c>
      <c r="O5194" s="12" t="n">
        <v>1</v>
      </c>
      <c r="P5194" s="12" t="n"/>
      <c r="Q5194" s="12" t="n"/>
      <c r="R5194" s="12" t="n"/>
      <c r="S5194" s="12" t="inlineStr">
        <is>
          <t>Tray</t>
        </is>
      </c>
      <c r="T5194" s="17" t="n">
        <v>0</v>
      </c>
      <c r="U5194" s="17" t="n">
        <v>70</v>
      </c>
      <c r="V5194" s="17">
        <f>ROUNDUP((T5194+U5194+2*'Read Me'!$B$13)*(1+'Read Me'!$B$12),-1)</f>
        <v/>
      </c>
      <c r="W5194" s="17">
        <f>V5194*N5194*O5194</f>
        <v/>
      </c>
      <c r="X5194" s="12">
        <f>IF(LEFT(I5194,2)="MV",2*N5194*IF(L5194="1/C",O5194,1),0)</f>
        <v/>
      </c>
      <c r="Y5194" s="12">
        <f>IF(OR(LEFT(K5194,4)="LVAX",LEFT(K5194,6)="MV15AX",LEFT(K5194,4)="CTAX",LEFT(K5194,2)="W|"),2*N5194*O5194,0)</f>
        <v/>
      </c>
      <c r="Z5194" s="12" t="inlineStr"/>
      <c r="AA5194" s="12">
        <f>N5194*O5194</f>
        <v/>
      </c>
    </row>
    <row r="5195">
      <c r="A5195" s="12" t="inlineStr">
        <is>
          <t>J-I-0017</t>
        </is>
      </c>
      <c r="B5195" s="12" t="inlineStr">
        <is>
          <t>J</t>
        </is>
      </c>
      <c r="C5195" s="12" t="inlineStr">
        <is>
          <t>GT inlet chilling</t>
        </is>
      </c>
      <c r="D5195" s="12" t="inlineStr">
        <is>
          <t>Analog instrument to JB JB-Chillers x6 (water-AI01: 20 x 1 pr (field cables)</t>
        </is>
      </c>
      <c r="E5195" s="12" t="inlineStr"/>
      <c r="F5195" s="12" t="inlineStr">
        <is>
          <t>Chillers x6 (water-cooled)</t>
        </is>
      </c>
      <c r="G5195" s="12" t="inlineStr">
        <is>
          <t>JB-Chillers x6 (water-AI01</t>
        </is>
      </c>
      <c r="H5195" s="12" t="inlineStr">
        <is>
          <t>Chillers x6 (water-cooled)</t>
        </is>
      </c>
      <c r="I5195" s="12" t="inlineStr">
        <is>
          <t>Instrumentation</t>
        </is>
      </c>
      <c r="J5195" s="12" t="inlineStr">
        <is>
          <t>Instrumentation PLTC / TC-ER 300 V, #18 twisted shielded pairs, overall shield</t>
        </is>
      </c>
      <c r="K5195" s="12" t="inlineStr">
        <is>
          <t>PLTC|1 pr|16</t>
        </is>
      </c>
      <c r="L5195" s="12" t="inlineStr">
        <is>
          <t>1 pr</t>
        </is>
      </c>
      <c r="M5195" s="12" t="inlineStr">
        <is>
          <t>16</t>
        </is>
      </c>
      <c r="N5195" s="12" t="n">
        <v>20</v>
      </c>
      <c r="O5195" s="12" t="n">
        <v>1</v>
      </c>
      <c r="P5195" s="12" t="n"/>
      <c r="Q5195" s="12" t="n"/>
      <c r="R5195" s="12" t="n"/>
      <c r="S5195" s="12" t="inlineStr">
        <is>
          <t>Tray / conduit</t>
        </is>
      </c>
      <c r="T5195" s="17" t="n">
        <v>190</v>
      </c>
      <c r="U5195" s="17" t="n">
        <v>10</v>
      </c>
      <c r="V5195" s="17">
        <f>ROUNDUP((T5195+U5195+2*'Read Me'!$B$13)*(1+'Read Me'!$B$12),-1)</f>
        <v/>
      </c>
      <c r="W5195" s="17">
        <f>V5195*N5195*O5195</f>
        <v/>
      </c>
      <c r="X5195" s="12">
        <f>IF(LEFT(I5195,2)="MV",2*N5195*IF(L5195="1/C",O5195,1),0)</f>
        <v/>
      </c>
      <c r="Y5195" s="12">
        <f>IF(OR(LEFT(K5195,4)="LVAX",LEFT(K5195,6)="MV15AX",LEFT(K5195,4)="CTAX",LEFT(K5195,2)="W|"),2*N5195*O5195,0)</f>
        <v/>
      </c>
      <c r="Z5195" s="12" t="inlineStr">
        <is>
          <t>device-to-JB field wiring, one cable per device</t>
        </is>
      </c>
      <c r="AA5195" s="12">
        <f>N5195*O5195</f>
        <v/>
      </c>
    </row>
    <row r="5196">
      <c r="A5196" s="12" t="inlineStr">
        <is>
          <t>J-I-0018</t>
        </is>
      </c>
      <c r="B5196" s="12" t="inlineStr">
        <is>
          <t>J</t>
        </is>
      </c>
      <c r="C5196" s="12" t="inlineStr">
        <is>
          <t>GT inlet chilling</t>
        </is>
      </c>
      <c r="D5196" s="12" t="inlineStr">
        <is>
          <t>Home run JB-Chillers x6 (water-AI01 to the control / marshalling room</t>
        </is>
      </c>
      <c r="E5196" s="12" t="inlineStr"/>
      <c r="F5196" s="12" t="inlineStr">
        <is>
          <t>Inlet-chilling e-house / transformer</t>
        </is>
      </c>
      <c r="G5196" s="12" t="inlineStr">
        <is>
          <t>JB-Chillers x6 (water-AI01</t>
        </is>
      </c>
      <c r="H5196" s="12" t="inlineStr">
        <is>
          <t>Chillers x6 (water-cooled)</t>
        </is>
      </c>
      <c r="I5196" s="12" t="inlineStr">
        <is>
          <t>Instrumentation</t>
        </is>
      </c>
      <c r="J5196" s="12" t="inlineStr">
        <is>
          <t>Instrumentation PLTC / TC-ER 300 V, #18 twisted shielded pairs, overall shield</t>
        </is>
      </c>
      <c r="K5196" s="12" t="inlineStr">
        <is>
          <t>PLTC|24 pr|18</t>
        </is>
      </c>
      <c r="L5196" s="12" t="inlineStr">
        <is>
          <t>24 pr</t>
        </is>
      </c>
      <c r="M5196" s="12" t="inlineStr">
        <is>
          <t>18</t>
        </is>
      </c>
      <c r="N5196" s="12" t="n">
        <v>1</v>
      </c>
      <c r="O5196" s="12" t="n">
        <v>1</v>
      </c>
      <c r="P5196" s="12" t="n"/>
      <c r="Q5196" s="12" t="n"/>
      <c r="R5196" s="12" t="n"/>
      <c r="S5196" s="12" t="inlineStr">
        <is>
          <t>Duct bank</t>
        </is>
      </c>
      <c r="T5196" s="17" t="n">
        <v>10</v>
      </c>
      <c r="U5196" s="17" t="n">
        <v>32</v>
      </c>
      <c r="V5196" s="17">
        <f>ROUNDUP((T5196+U5196+2*'Read Me'!$B$13)*(1+'Read Me'!$B$12),-1)</f>
        <v/>
      </c>
      <c r="W5196" s="17">
        <f>V5196*N5196*O5196</f>
        <v/>
      </c>
      <c r="X5196" s="12">
        <f>IF(LEFT(I5196,2)="MV",2*N5196*IF(L5196="1/C",O5196,1),0)</f>
        <v/>
      </c>
      <c r="Y5196" s="12">
        <f>IF(OR(LEFT(K5196,4)="LVAX",LEFT(K5196,6)="MV15AX",LEFT(K5196,4)="CTAX",LEFT(K5196,2)="W|"),2*N5196*O5196,0)</f>
        <v/>
      </c>
      <c r="Z5196" s="12" t="inlineStr"/>
      <c r="AA5196" s="12">
        <f>N5196*O5196</f>
        <v/>
      </c>
    </row>
    <row r="5197">
      <c r="A5197" s="12" t="inlineStr">
        <is>
          <t>J-I-0019</t>
        </is>
      </c>
      <c r="B5197" s="12" t="inlineStr">
        <is>
          <t>J</t>
        </is>
      </c>
      <c r="C5197" s="12" t="inlineStr">
        <is>
          <t>GT inlet chilling</t>
        </is>
      </c>
      <c r="D5197" s="12" t="inlineStr">
        <is>
          <t>Analog instrument to JB JB-Chillers x6 (water-AI02: 20 x 1 pr (field cables)</t>
        </is>
      </c>
      <c r="E5197" s="12" t="inlineStr"/>
      <c r="F5197" s="12" t="inlineStr">
        <is>
          <t>Chillers x6 (water-cooled)</t>
        </is>
      </c>
      <c r="G5197" s="12" t="inlineStr">
        <is>
          <t>JB-Chillers x6 (water-AI02</t>
        </is>
      </c>
      <c r="H5197" s="12" t="inlineStr">
        <is>
          <t>Chillers x6 (water-cooled)</t>
        </is>
      </c>
      <c r="I5197" s="12" t="inlineStr">
        <is>
          <t>Instrumentation</t>
        </is>
      </c>
      <c r="J5197" s="12" t="inlineStr">
        <is>
          <t>Instrumentation PLTC / TC-ER 300 V, #18 twisted shielded pairs, overall shield</t>
        </is>
      </c>
      <c r="K5197" s="12" t="inlineStr">
        <is>
          <t>PLTC|1 pr|16</t>
        </is>
      </c>
      <c r="L5197" s="12" t="inlineStr">
        <is>
          <t>1 pr</t>
        </is>
      </c>
      <c r="M5197" s="12" t="inlineStr">
        <is>
          <t>16</t>
        </is>
      </c>
      <c r="N5197" s="12" t="n">
        <v>20</v>
      </c>
      <c r="O5197" s="12" t="n">
        <v>1</v>
      </c>
      <c r="P5197" s="12" t="n"/>
      <c r="Q5197" s="12" t="n"/>
      <c r="R5197" s="12" t="n"/>
      <c r="S5197" s="12" t="inlineStr">
        <is>
          <t>Tray / conduit</t>
        </is>
      </c>
      <c r="T5197" s="17" t="n">
        <v>190</v>
      </c>
      <c r="U5197" s="17" t="n">
        <v>10</v>
      </c>
      <c r="V5197" s="17">
        <f>ROUNDUP((T5197+U5197+2*'Read Me'!$B$13)*(1+'Read Me'!$B$12),-1)</f>
        <v/>
      </c>
      <c r="W5197" s="17">
        <f>V5197*N5197*O5197</f>
        <v/>
      </c>
      <c r="X5197" s="12">
        <f>IF(LEFT(I5197,2)="MV",2*N5197*IF(L5197="1/C",O5197,1),0)</f>
        <v/>
      </c>
      <c r="Y5197" s="12">
        <f>IF(OR(LEFT(K5197,4)="LVAX",LEFT(K5197,6)="MV15AX",LEFT(K5197,4)="CTAX",LEFT(K5197,2)="W|"),2*N5197*O5197,0)</f>
        <v/>
      </c>
      <c r="Z5197" s="12" t="inlineStr">
        <is>
          <t>device-to-JB field wiring, one cable per device</t>
        </is>
      </c>
      <c r="AA5197" s="12">
        <f>N5197*O5197</f>
        <v/>
      </c>
    </row>
    <row r="5198">
      <c r="A5198" s="12" t="inlineStr">
        <is>
          <t>J-I-0020</t>
        </is>
      </c>
      <c r="B5198" s="12" t="inlineStr">
        <is>
          <t>J</t>
        </is>
      </c>
      <c r="C5198" s="12" t="inlineStr">
        <is>
          <t>GT inlet chilling</t>
        </is>
      </c>
      <c r="D5198" s="12" t="inlineStr">
        <is>
          <t>Home run JB-Chillers x6 (water-AI02 to the control / marshalling room</t>
        </is>
      </c>
      <c r="E5198" s="12" t="inlineStr"/>
      <c r="F5198" s="12" t="inlineStr">
        <is>
          <t>Inlet-chilling e-house / transformer</t>
        </is>
      </c>
      <c r="G5198" s="12" t="inlineStr">
        <is>
          <t>JB-Chillers x6 (water-AI02</t>
        </is>
      </c>
      <c r="H5198" s="12" t="inlineStr">
        <is>
          <t>Chillers x6 (water-cooled)</t>
        </is>
      </c>
      <c r="I5198" s="12" t="inlineStr">
        <is>
          <t>Instrumentation</t>
        </is>
      </c>
      <c r="J5198" s="12" t="inlineStr">
        <is>
          <t>Instrumentation PLTC / TC-ER 300 V, #18 twisted shielded pairs, overall shield</t>
        </is>
      </c>
      <c r="K5198" s="12" t="inlineStr">
        <is>
          <t>PLTC|24 pr|18</t>
        </is>
      </c>
      <c r="L5198" s="12" t="inlineStr">
        <is>
          <t>24 pr</t>
        </is>
      </c>
      <c r="M5198" s="12" t="inlineStr">
        <is>
          <t>18</t>
        </is>
      </c>
      <c r="N5198" s="12" t="n">
        <v>1</v>
      </c>
      <c r="O5198" s="12" t="n">
        <v>1</v>
      </c>
      <c r="P5198" s="12" t="n"/>
      <c r="Q5198" s="12" t="n"/>
      <c r="R5198" s="12" t="n"/>
      <c r="S5198" s="12" t="inlineStr">
        <is>
          <t>Duct bank</t>
        </is>
      </c>
      <c r="T5198" s="17" t="n">
        <v>10</v>
      </c>
      <c r="U5198" s="17" t="n">
        <v>32</v>
      </c>
      <c r="V5198" s="17">
        <f>ROUNDUP((T5198+U5198+2*'Read Me'!$B$13)*(1+'Read Me'!$B$12),-1)</f>
        <v/>
      </c>
      <c r="W5198" s="17">
        <f>V5198*N5198*O5198</f>
        <v/>
      </c>
      <c r="X5198" s="12">
        <f>IF(LEFT(I5198,2)="MV",2*N5198*IF(L5198="1/C",O5198,1),0)</f>
        <v/>
      </c>
      <c r="Y5198" s="12">
        <f>IF(OR(LEFT(K5198,4)="LVAX",LEFT(K5198,6)="MV15AX",LEFT(K5198,4)="CTAX",LEFT(K5198,2)="W|"),2*N5198*O5198,0)</f>
        <v/>
      </c>
      <c r="Z5198" s="12" t="inlineStr"/>
      <c r="AA5198" s="12">
        <f>N5198*O5198</f>
        <v/>
      </c>
    </row>
    <row r="5199">
      <c r="A5199" s="12" t="inlineStr">
        <is>
          <t>J-I-0021</t>
        </is>
      </c>
      <c r="B5199" s="12" t="inlineStr">
        <is>
          <t>J</t>
        </is>
      </c>
      <c r="C5199" s="12" t="inlineStr">
        <is>
          <t>GT inlet chilling</t>
        </is>
      </c>
      <c r="D5199" s="12" t="inlineStr">
        <is>
          <t>Analog instrument to JB JB-Chillers x6 (water-AI03: 20 x 1 pr (field cables)</t>
        </is>
      </c>
      <c r="E5199" s="12" t="inlineStr"/>
      <c r="F5199" s="12" t="inlineStr">
        <is>
          <t>Chillers x6 (water-cooled)</t>
        </is>
      </c>
      <c r="G5199" s="12" t="inlineStr">
        <is>
          <t>JB-Chillers x6 (water-AI03</t>
        </is>
      </c>
      <c r="H5199" s="12" t="inlineStr">
        <is>
          <t>Chillers x6 (water-cooled)</t>
        </is>
      </c>
      <c r="I5199" s="12" t="inlineStr">
        <is>
          <t>Instrumentation</t>
        </is>
      </c>
      <c r="J5199" s="12" t="inlineStr">
        <is>
          <t>Instrumentation PLTC / TC-ER 300 V, #18 twisted shielded pairs, overall shield</t>
        </is>
      </c>
      <c r="K5199" s="12" t="inlineStr">
        <is>
          <t>PLTC|1 pr|16</t>
        </is>
      </c>
      <c r="L5199" s="12" t="inlineStr">
        <is>
          <t>1 pr</t>
        </is>
      </c>
      <c r="M5199" s="12" t="inlineStr">
        <is>
          <t>16</t>
        </is>
      </c>
      <c r="N5199" s="12" t="n">
        <v>20</v>
      </c>
      <c r="O5199" s="12" t="n">
        <v>1</v>
      </c>
      <c r="P5199" s="12" t="n"/>
      <c r="Q5199" s="12" t="n"/>
      <c r="R5199" s="12" t="n"/>
      <c r="S5199" s="12" t="inlineStr">
        <is>
          <t>Tray / conduit</t>
        </is>
      </c>
      <c r="T5199" s="17" t="n">
        <v>190</v>
      </c>
      <c r="U5199" s="17" t="n">
        <v>10</v>
      </c>
      <c r="V5199" s="17">
        <f>ROUNDUP((T5199+U5199+2*'Read Me'!$B$13)*(1+'Read Me'!$B$12),-1)</f>
        <v/>
      </c>
      <c r="W5199" s="17">
        <f>V5199*N5199*O5199</f>
        <v/>
      </c>
      <c r="X5199" s="12">
        <f>IF(LEFT(I5199,2)="MV",2*N5199*IF(L5199="1/C",O5199,1),0)</f>
        <v/>
      </c>
      <c r="Y5199" s="12">
        <f>IF(OR(LEFT(K5199,4)="LVAX",LEFT(K5199,6)="MV15AX",LEFT(K5199,4)="CTAX",LEFT(K5199,2)="W|"),2*N5199*O5199,0)</f>
        <v/>
      </c>
      <c r="Z5199" s="12" t="inlineStr">
        <is>
          <t>device-to-JB field wiring, one cable per device</t>
        </is>
      </c>
      <c r="AA5199" s="12">
        <f>N5199*O5199</f>
        <v/>
      </c>
    </row>
    <row r="5200">
      <c r="A5200" s="12" t="inlineStr">
        <is>
          <t>J-I-0022</t>
        </is>
      </c>
      <c r="B5200" s="12" t="inlineStr">
        <is>
          <t>J</t>
        </is>
      </c>
      <c r="C5200" s="12" t="inlineStr">
        <is>
          <t>GT inlet chilling</t>
        </is>
      </c>
      <c r="D5200" s="12" t="inlineStr">
        <is>
          <t>Home run JB-Chillers x6 (water-AI03 to the control / marshalling room</t>
        </is>
      </c>
      <c r="E5200" s="12" t="inlineStr"/>
      <c r="F5200" s="12" t="inlineStr">
        <is>
          <t>Inlet-chilling e-house / transformer</t>
        </is>
      </c>
      <c r="G5200" s="12" t="inlineStr">
        <is>
          <t>JB-Chillers x6 (water-AI03</t>
        </is>
      </c>
      <c r="H5200" s="12" t="inlineStr">
        <is>
          <t>Chillers x6 (water-cooled)</t>
        </is>
      </c>
      <c r="I5200" s="12" t="inlineStr">
        <is>
          <t>Instrumentation</t>
        </is>
      </c>
      <c r="J5200" s="12" t="inlineStr">
        <is>
          <t>Instrumentation PLTC / TC-ER 300 V, #18 twisted shielded pairs, overall shield</t>
        </is>
      </c>
      <c r="K5200" s="12" t="inlineStr">
        <is>
          <t>PLTC|24 pr|18</t>
        </is>
      </c>
      <c r="L5200" s="12" t="inlineStr">
        <is>
          <t>24 pr</t>
        </is>
      </c>
      <c r="M5200" s="12" t="inlineStr">
        <is>
          <t>18</t>
        </is>
      </c>
      <c r="N5200" s="12" t="n">
        <v>1</v>
      </c>
      <c r="O5200" s="12" t="n">
        <v>1</v>
      </c>
      <c r="P5200" s="12" t="n"/>
      <c r="Q5200" s="12" t="n"/>
      <c r="R5200" s="12" t="n"/>
      <c r="S5200" s="12" t="inlineStr">
        <is>
          <t>Duct bank</t>
        </is>
      </c>
      <c r="T5200" s="17" t="n">
        <v>10</v>
      </c>
      <c r="U5200" s="17" t="n">
        <v>32</v>
      </c>
      <c r="V5200" s="17">
        <f>ROUNDUP((T5200+U5200+2*'Read Me'!$B$13)*(1+'Read Me'!$B$12),-1)</f>
        <v/>
      </c>
      <c r="W5200" s="17">
        <f>V5200*N5200*O5200</f>
        <v/>
      </c>
      <c r="X5200" s="12">
        <f>IF(LEFT(I5200,2)="MV",2*N5200*IF(L5200="1/C",O5200,1),0)</f>
        <v/>
      </c>
      <c r="Y5200" s="12">
        <f>IF(OR(LEFT(K5200,4)="LVAX",LEFT(K5200,6)="MV15AX",LEFT(K5200,4)="CTAX",LEFT(K5200,2)="W|"),2*N5200*O5200,0)</f>
        <v/>
      </c>
      <c r="Z5200" s="12" t="inlineStr"/>
      <c r="AA5200" s="12">
        <f>N5200*O5200</f>
        <v/>
      </c>
    </row>
    <row r="5201">
      <c r="A5201" s="12" t="inlineStr">
        <is>
          <t>J-I-0023</t>
        </is>
      </c>
      <c r="B5201" s="12" t="inlineStr">
        <is>
          <t>J</t>
        </is>
      </c>
      <c r="C5201" s="12" t="inlineStr">
        <is>
          <t>GT inlet chilling</t>
        </is>
      </c>
      <c r="D5201" s="12" t="inlineStr">
        <is>
          <t>Analog instrument to JB JB-Chillers x6 (water-AI04: 20 x 1 pr (field cables)</t>
        </is>
      </c>
      <c r="E5201" s="12" t="inlineStr"/>
      <c r="F5201" s="12" t="inlineStr">
        <is>
          <t>Chillers x6 (water-cooled)</t>
        </is>
      </c>
      <c r="G5201" s="12" t="inlineStr">
        <is>
          <t>JB-Chillers x6 (water-AI04</t>
        </is>
      </c>
      <c r="H5201" s="12" t="inlineStr">
        <is>
          <t>Chillers x6 (water-cooled)</t>
        </is>
      </c>
      <c r="I5201" s="12" t="inlineStr">
        <is>
          <t>Instrumentation</t>
        </is>
      </c>
      <c r="J5201" s="12" t="inlineStr">
        <is>
          <t>Instrumentation PLTC / TC-ER 300 V, #18 twisted shielded pairs, overall shield</t>
        </is>
      </c>
      <c r="K5201" s="12" t="inlineStr">
        <is>
          <t>PLTC|1 pr|16</t>
        </is>
      </c>
      <c r="L5201" s="12" t="inlineStr">
        <is>
          <t>1 pr</t>
        </is>
      </c>
      <c r="M5201" s="12" t="inlineStr">
        <is>
          <t>16</t>
        </is>
      </c>
      <c r="N5201" s="12" t="n">
        <v>20</v>
      </c>
      <c r="O5201" s="12" t="n">
        <v>1</v>
      </c>
      <c r="P5201" s="12" t="n"/>
      <c r="Q5201" s="12" t="n"/>
      <c r="R5201" s="12" t="n"/>
      <c r="S5201" s="12" t="inlineStr">
        <is>
          <t>Tray / conduit</t>
        </is>
      </c>
      <c r="T5201" s="17" t="n">
        <v>190</v>
      </c>
      <c r="U5201" s="17" t="n">
        <v>10</v>
      </c>
      <c r="V5201" s="17">
        <f>ROUNDUP((T5201+U5201+2*'Read Me'!$B$13)*(1+'Read Me'!$B$12),-1)</f>
        <v/>
      </c>
      <c r="W5201" s="17">
        <f>V5201*N5201*O5201</f>
        <v/>
      </c>
      <c r="X5201" s="12">
        <f>IF(LEFT(I5201,2)="MV",2*N5201*IF(L5201="1/C",O5201,1),0)</f>
        <v/>
      </c>
      <c r="Y5201" s="12">
        <f>IF(OR(LEFT(K5201,4)="LVAX",LEFT(K5201,6)="MV15AX",LEFT(K5201,4)="CTAX",LEFT(K5201,2)="W|"),2*N5201*O5201,0)</f>
        <v/>
      </c>
      <c r="Z5201" s="12" t="inlineStr">
        <is>
          <t>device-to-JB field wiring, one cable per device</t>
        </is>
      </c>
      <c r="AA5201" s="12">
        <f>N5201*O5201</f>
        <v/>
      </c>
    </row>
    <row r="5202">
      <c r="A5202" s="12" t="inlineStr">
        <is>
          <t>J-I-0024</t>
        </is>
      </c>
      <c r="B5202" s="12" t="inlineStr">
        <is>
          <t>J</t>
        </is>
      </c>
      <c r="C5202" s="12" t="inlineStr">
        <is>
          <t>GT inlet chilling</t>
        </is>
      </c>
      <c r="D5202" s="12" t="inlineStr">
        <is>
          <t>Home run JB-Chillers x6 (water-AI04 to the control / marshalling room</t>
        </is>
      </c>
      <c r="E5202" s="12" t="inlineStr"/>
      <c r="F5202" s="12" t="inlineStr">
        <is>
          <t>Inlet-chilling e-house / transformer</t>
        </is>
      </c>
      <c r="G5202" s="12" t="inlineStr">
        <is>
          <t>JB-Chillers x6 (water-AI04</t>
        </is>
      </c>
      <c r="H5202" s="12" t="inlineStr">
        <is>
          <t>Chillers x6 (water-cooled)</t>
        </is>
      </c>
      <c r="I5202" s="12" t="inlineStr">
        <is>
          <t>Instrumentation</t>
        </is>
      </c>
      <c r="J5202" s="12" t="inlineStr">
        <is>
          <t>Instrumentation PLTC / TC-ER 300 V, #18 twisted shielded pairs, overall shield</t>
        </is>
      </c>
      <c r="K5202" s="12" t="inlineStr">
        <is>
          <t>PLTC|24 pr|18</t>
        </is>
      </c>
      <c r="L5202" s="12" t="inlineStr">
        <is>
          <t>24 pr</t>
        </is>
      </c>
      <c r="M5202" s="12" t="inlineStr">
        <is>
          <t>18</t>
        </is>
      </c>
      <c r="N5202" s="12" t="n">
        <v>1</v>
      </c>
      <c r="O5202" s="12" t="n">
        <v>1</v>
      </c>
      <c r="P5202" s="12" t="n"/>
      <c r="Q5202" s="12" t="n"/>
      <c r="R5202" s="12" t="n"/>
      <c r="S5202" s="12" t="inlineStr">
        <is>
          <t>Duct bank</t>
        </is>
      </c>
      <c r="T5202" s="17" t="n">
        <v>10</v>
      </c>
      <c r="U5202" s="17" t="n">
        <v>32</v>
      </c>
      <c r="V5202" s="17">
        <f>ROUNDUP((T5202+U5202+2*'Read Me'!$B$13)*(1+'Read Me'!$B$12),-1)</f>
        <v/>
      </c>
      <c r="W5202" s="17">
        <f>V5202*N5202*O5202</f>
        <v/>
      </c>
      <c r="X5202" s="12">
        <f>IF(LEFT(I5202,2)="MV",2*N5202*IF(L5202="1/C",O5202,1),0)</f>
        <v/>
      </c>
      <c r="Y5202" s="12">
        <f>IF(OR(LEFT(K5202,4)="LVAX",LEFT(K5202,6)="MV15AX",LEFT(K5202,4)="CTAX",LEFT(K5202,2)="W|"),2*N5202*O5202,0)</f>
        <v/>
      </c>
      <c r="Z5202" s="12" t="inlineStr"/>
      <c r="AA5202" s="12">
        <f>N5202*O5202</f>
        <v/>
      </c>
    </row>
    <row r="5203">
      <c r="A5203" s="12" t="inlineStr">
        <is>
          <t>J-I-0025</t>
        </is>
      </c>
      <c r="B5203" s="12" t="inlineStr">
        <is>
          <t>J</t>
        </is>
      </c>
      <c r="C5203" s="12" t="inlineStr">
        <is>
          <t>GT inlet chilling</t>
        </is>
      </c>
      <c r="D5203" s="12" t="inlineStr">
        <is>
          <t>Analog instrument to JB JB-Chillers x6 (water-AI05: 20 x 1 pr (field cables)</t>
        </is>
      </c>
      <c r="E5203" s="12" t="inlineStr"/>
      <c r="F5203" s="12" t="inlineStr">
        <is>
          <t>Chillers x6 (water-cooled)</t>
        </is>
      </c>
      <c r="G5203" s="12" t="inlineStr">
        <is>
          <t>JB-Chillers x6 (water-AI05</t>
        </is>
      </c>
      <c r="H5203" s="12" t="inlineStr">
        <is>
          <t>Chillers x6 (water-cooled)</t>
        </is>
      </c>
      <c r="I5203" s="12" t="inlineStr">
        <is>
          <t>Instrumentation</t>
        </is>
      </c>
      <c r="J5203" s="12" t="inlineStr">
        <is>
          <t>Instrumentation PLTC / TC-ER 300 V, #18 twisted shielded pairs, overall shield</t>
        </is>
      </c>
      <c r="K5203" s="12" t="inlineStr">
        <is>
          <t>PLTC|1 pr|16</t>
        </is>
      </c>
      <c r="L5203" s="12" t="inlineStr">
        <is>
          <t>1 pr</t>
        </is>
      </c>
      <c r="M5203" s="12" t="inlineStr">
        <is>
          <t>16</t>
        </is>
      </c>
      <c r="N5203" s="12" t="n">
        <v>20</v>
      </c>
      <c r="O5203" s="12" t="n">
        <v>1</v>
      </c>
      <c r="P5203" s="12" t="n"/>
      <c r="Q5203" s="12" t="n"/>
      <c r="R5203" s="12" t="n"/>
      <c r="S5203" s="12" t="inlineStr">
        <is>
          <t>Tray / conduit</t>
        </is>
      </c>
      <c r="T5203" s="17" t="n">
        <v>190</v>
      </c>
      <c r="U5203" s="17" t="n">
        <v>10</v>
      </c>
      <c r="V5203" s="17">
        <f>ROUNDUP((T5203+U5203+2*'Read Me'!$B$13)*(1+'Read Me'!$B$12),-1)</f>
        <v/>
      </c>
      <c r="W5203" s="17">
        <f>V5203*N5203*O5203</f>
        <v/>
      </c>
      <c r="X5203" s="12">
        <f>IF(LEFT(I5203,2)="MV",2*N5203*IF(L5203="1/C",O5203,1),0)</f>
        <v/>
      </c>
      <c r="Y5203" s="12">
        <f>IF(OR(LEFT(K5203,4)="LVAX",LEFT(K5203,6)="MV15AX",LEFT(K5203,4)="CTAX",LEFT(K5203,2)="W|"),2*N5203*O5203,0)</f>
        <v/>
      </c>
      <c r="Z5203" s="12" t="inlineStr">
        <is>
          <t>device-to-JB field wiring, one cable per device</t>
        </is>
      </c>
      <c r="AA5203" s="12">
        <f>N5203*O5203</f>
        <v/>
      </c>
    </row>
    <row r="5204">
      <c r="A5204" s="12" t="inlineStr">
        <is>
          <t>J-I-0026</t>
        </is>
      </c>
      <c r="B5204" s="12" t="inlineStr">
        <is>
          <t>J</t>
        </is>
      </c>
      <c r="C5204" s="12" t="inlineStr">
        <is>
          <t>GT inlet chilling</t>
        </is>
      </c>
      <c r="D5204" s="12" t="inlineStr">
        <is>
          <t>Home run JB-Chillers x6 (water-AI05 to the control / marshalling room</t>
        </is>
      </c>
      <c r="E5204" s="12" t="inlineStr"/>
      <c r="F5204" s="12" t="inlineStr">
        <is>
          <t>Inlet-chilling e-house / transformer</t>
        </is>
      </c>
      <c r="G5204" s="12" t="inlineStr">
        <is>
          <t>JB-Chillers x6 (water-AI05</t>
        </is>
      </c>
      <c r="H5204" s="12" t="inlineStr">
        <is>
          <t>Chillers x6 (water-cooled)</t>
        </is>
      </c>
      <c r="I5204" s="12" t="inlineStr">
        <is>
          <t>Instrumentation</t>
        </is>
      </c>
      <c r="J5204" s="12" t="inlineStr">
        <is>
          <t>Instrumentation PLTC / TC-ER 300 V, #18 twisted shielded pairs, overall shield</t>
        </is>
      </c>
      <c r="K5204" s="12" t="inlineStr">
        <is>
          <t>PLTC|24 pr|18</t>
        </is>
      </c>
      <c r="L5204" s="12" t="inlineStr">
        <is>
          <t>24 pr</t>
        </is>
      </c>
      <c r="M5204" s="12" t="inlineStr">
        <is>
          <t>18</t>
        </is>
      </c>
      <c r="N5204" s="12" t="n">
        <v>1</v>
      </c>
      <c r="O5204" s="12" t="n">
        <v>1</v>
      </c>
      <c r="P5204" s="12" t="n"/>
      <c r="Q5204" s="12" t="n"/>
      <c r="R5204" s="12" t="n"/>
      <c r="S5204" s="12" t="inlineStr">
        <is>
          <t>Duct bank</t>
        </is>
      </c>
      <c r="T5204" s="17" t="n">
        <v>10</v>
      </c>
      <c r="U5204" s="17" t="n">
        <v>32</v>
      </c>
      <c r="V5204" s="17">
        <f>ROUNDUP((T5204+U5204+2*'Read Me'!$B$13)*(1+'Read Me'!$B$12),-1)</f>
        <v/>
      </c>
      <c r="W5204" s="17">
        <f>V5204*N5204*O5204</f>
        <v/>
      </c>
      <c r="X5204" s="12">
        <f>IF(LEFT(I5204,2)="MV",2*N5204*IF(L5204="1/C",O5204,1),0)</f>
        <v/>
      </c>
      <c r="Y5204" s="12">
        <f>IF(OR(LEFT(K5204,4)="LVAX",LEFT(K5204,6)="MV15AX",LEFT(K5204,4)="CTAX",LEFT(K5204,2)="W|"),2*N5204*O5204,0)</f>
        <v/>
      </c>
      <c r="Z5204" s="12" t="inlineStr"/>
      <c r="AA5204" s="12">
        <f>N5204*O5204</f>
        <v/>
      </c>
    </row>
    <row r="5205">
      <c r="A5205" s="12" t="inlineStr">
        <is>
          <t>J-I-0027</t>
        </is>
      </c>
      <c r="B5205" s="12" t="inlineStr">
        <is>
          <t>J</t>
        </is>
      </c>
      <c r="C5205" s="12" t="inlineStr">
        <is>
          <t>GT inlet chilling</t>
        </is>
      </c>
      <c r="D5205" s="12" t="inlineStr">
        <is>
          <t>Analog instrument to JB JB-Chillers x6 (water-AI06: 20 x 1 pr (field cables)</t>
        </is>
      </c>
      <c r="E5205" s="12" t="inlineStr"/>
      <c r="F5205" s="12" t="inlineStr">
        <is>
          <t>Chillers x6 (water-cooled)</t>
        </is>
      </c>
      <c r="G5205" s="12" t="inlineStr">
        <is>
          <t>JB-Chillers x6 (water-AI06</t>
        </is>
      </c>
      <c r="H5205" s="12" t="inlineStr">
        <is>
          <t>Chillers x6 (water-cooled)</t>
        </is>
      </c>
      <c r="I5205" s="12" t="inlineStr">
        <is>
          <t>Instrumentation</t>
        </is>
      </c>
      <c r="J5205" s="12" t="inlineStr">
        <is>
          <t>Instrumentation PLTC / TC-ER 300 V, #18 twisted shielded pairs, overall shield</t>
        </is>
      </c>
      <c r="K5205" s="12" t="inlineStr">
        <is>
          <t>PLTC|1 pr|16</t>
        </is>
      </c>
      <c r="L5205" s="12" t="inlineStr">
        <is>
          <t>1 pr</t>
        </is>
      </c>
      <c r="M5205" s="12" t="inlineStr">
        <is>
          <t>16</t>
        </is>
      </c>
      <c r="N5205" s="12" t="n">
        <v>20</v>
      </c>
      <c r="O5205" s="12" t="n">
        <v>1</v>
      </c>
      <c r="P5205" s="12" t="n"/>
      <c r="Q5205" s="12" t="n"/>
      <c r="R5205" s="12" t="n"/>
      <c r="S5205" s="12" t="inlineStr">
        <is>
          <t>Tray / conduit</t>
        </is>
      </c>
      <c r="T5205" s="17" t="n">
        <v>190</v>
      </c>
      <c r="U5205" s="17" t="n">
        <v>10</v>
      </c>
      <c r="V5205" s="17">
        <f>ROUNDUP((T5205+U5205+2*'Read Me'!$B$13)*(1+'Read Me'!$B$12),-1)</f>
        <v/>
      </c>
      <c r="W5205" s="17">
        <f>V5205*N5205*O5205</f>
        <v/>
      </c>
      <c r="X5205" s="12">
        <f>IF(LEFT(I5205,2)="MV",2*N5205*IF(L5205="1/C",O5205,1),0)</f>
        <v/>
      </c>
      <c r="Y5205" s="12">
        <f>IF(OR(LEFT(K5205,4)="LVAX",LEFT(K5205,6)="MV15AX",LEFT(K5205,4)="CTAX",LEFT(K5205,2)="W|"),2*N5205*O5205,0)</f>
        <v/>
      </c>
      <c r="Z5205" s="12" t="inlineStr">
        <is>
          <t>device-to-JB field wiring, one cable per device</t>
        </is>
      </c>
      <c r="AA5205" s="12">
        <f>N5205*O5205</f>
        <v/>
      </c>
    </row>
    <row r="5206">
      <c r="A5206" s="12" t="inlineStr">
        <is>
          <t>J-I-0028</t>
        </is>
      </c>
      <c r="B5206" s="12" t="inlineStr">
        <is>
          <t>J</t>
        </is>
      </c>
      <c r="C5206" s="12" t="inlineStr">
        <is>
          <t>GT inlet chilling</t>
        </is>
      </c>
      <c r="D5206" s="12" t="inlineStr">
        <is>
          <t>Home run JB-Chillers x6 (water-AI06 to the control / marshalling room</t>
        </is>
      </c>
      <c r="E5206" s="12" t="inlineStr"/>
      <c r="F5206" s="12" t="inlineStr">
        <is>
          <t>Inlet-chilling e-house / transformer</t>
        </is>
      </c>
      <c r="G5206" s="12" t="inlineStr">
        <is>
          <t>JB-Chillers x6 (water-AI06</t>
        </is>
      </c>
      <c r="H5206" s="12" t="inlineStr">
        <is>
          <t>Chillers x6 (water-cooled)</t>
        </is>
      </c>
      <c r="I5206" s="12" t="inlineStr">
        <is>
          <t>Instrumentation</t>
        </is>
      </c>
      <c r="J5206" s="12" t="inlineStr">
        <is>
          <t>Instrumentation PLTC / TC-ER 300 V, #18 twisted shielded pairs, overall shield</t>
        </is>
      </c>
      <c r="K5206" s="12" t="inlineStr">
        <is>
          <t>PLTC|24 pr|18</t>
        </is>
      </c>
      <c r="L5206" s="12" t="inlineStr">
        <is>
          <t>24 pr</t>
        </is>
      </c>
      <c r="M5206" s="12" t="inlineStr">
        <is>
          <t>18</t>
        </is>
      </c>
      <c r="N5206" s="12" t="n">
        <v>1</v>
      </c>
      <c r="O5206" s="12" t="n">
        <v>1</v>
      </c>
      <c r="P5206" s="12" t="n"/>
      <c r="Q5206" s="12" t="n"/>
      <c r="R5206" s="12" t="n"/>
      <c r="S5206" s="12" t="inlineStr">
        <is>
          <t>Duct bank</t>
        </is>
      </c>
      <c r="T5206" s="17" t="n">
        <v>10</v>
      </c>
      <c r="U5206" s="17" t="n">
        <v>32</v>
      </c>
      <c r="V5206" s="17">
        <f>ROUNDUP((T5206+U5206+2*'Read Me'!$B$13)*(1+'Read Me'!$B$12),-1)</f>
        <v/>
      </c>
      <c r="W5206" s="17">
        <f>V5206*N5206*O5206</f>
        <v/>
      </c>
      <c r="X5206" s="12">
        <f>IF(LEFT(I5206,2)="MV",2*N5206*IF(L5206="1/C",O5206,1),0)</f>
        <v/>
      </c>
      <c r="Y5206" s="12">
        <f>IF(OR(LEFT(K5206,4)="LVAX",LEFT(K5206,6)="MV15AX",LEFT(K5206,4)="CTAX",LEFT(K5206,2)="W|"),2*N5206*O5206,0)</f>
        <v/>
      </c>
      <c r="Z5206" s="12" t="inlineStr"/>
      <c r="AA5206" s="12">
        <f>N5206*O5206</f>
        <v/>
      </c>
    </row>
    <row r="5207">
      <c r="A5207" s="12" t="inlineStr">
        <is>
          <t>J-I-0029</t>
        </is>
      </c>
      <c r="B5207" s="12" t="inlineStr">
        <is>
          <t>J</t>
        </is>
      </c>
      <c r="C5207" s="12" t="inlineStr">
        <is>
          <t>GT inlet chilling</t>
        </is>
      </c>
      <c r="D5207" s="12" t="inlineStr">
        <is>
          <t>Discrete device to JB JB-Chillers x6 (water-DI01: 20 x 1 pr (field cables)</t>
        </is>
      </c>
      <c r="E5207" s="12" t="inlineStr"/>
      <c r="F5207" s="12" t="inlineStr">
        <is>
          <t>Chillers x6 (water-cooled)</t>
        </is>
      </c>
      <c r="G5207" s="12" t="inlineStr">
        <is>
          <t>JB-Chillers x6 (water-DI01</t>
        </is>
      </c>
      <c r="H5207" s="12" t="inlineStr">
        <is>
          <t>Chillers x6 (water-cooled)</t>
        </is>
      </c>
      <c r="I5207" s="12" t="inlineStr">
        <is>
          <t>Instrumentation</t>
        </is>
      </c>
      <c r="J5207" s="12" t="inlineStr">
        <is>
          <t>Instrumentation PLTC / TC-ER 300 V, #18 twisted shielded pairs, overall shield</t>
        </is>
      </c>
      <c r="K5207" s="12" t="inlineStr">
        <is>
          <t>PLTC|1 pr|16</t>
        </is>
      </c>
      <c r="L5207" s="12" t="inlineStr">
        <is>
          <t>1 pr</t>
        </is>
      </c>
      <c r="M5207" s="12" t="inlineStr">
        <is>
          <t>16</t>
        </is>
      </c>
      <c r="N5207" s="12" t="n">
        <v>20</v>
      </c>
      <c r="O5207" s="12" t="n">
        <v>1</v>
      </c>
      <c r="P5207" s="12" t="n"/>
      <c r="Q5207" s="12" t="n"/>
      <c r="R5207" s="12" t="n"/>
      <c r="S5207" s="12" t="inlineStr">
        <is>
          <t>Tray / conduit</t>
        </is>
      </c>
      <c r="T5207" s="17" t="n">
        <v>190</v>
      </c>
      <c r="U5207" s="17" t="n">
        <v>10</v>
      </c>
      <c r="V5207" s="17">
        <f>ROUNDUP((T5207+U5207+2*'Read Me'!$B$13)*(1+'Read Me'!$B$12),-1)</f>
        <v/>
      </c>
      <c r="W5207" s="17">
        <f>V5207*N5207*O5207</f>
        <v/>
      </c>
      <c r="X5207" s="12">
        <f>IF(LEFT(I5207,2)="MV",2*N5207*IF(L5207="1/C",O5207,1),0)</f>
        <v/>
      </c>
      <c r="Y5207" s="12">
        <f>IF(OR(LEFT(K5207,4)="LVAX",LEFT(K5207,6)="MV15AX",LEFT(K5207,4)="CTAX",LEFT(K5207,2)="W|"),2*N5207*O5207,0)</f>
        <v/>
      </c>
      <c r="Z5207" s="12" t="inlineStr">
        <is>
          <t>device-to-JB field wiring, one cable per device</t>
        </is>
      </c>
      <c r="AA5207" s="12">
        <f>N5207*O5207</f>
        <v/>
      </c>
    </row>
    <row r="5208">
      <c r="A5208" s="12" t="inlineStr">
        <is>
          <t>J-I-0030</t>
        </is>
      </c>
      <c r="B5208" s="12" t="inlineStr">
        <is>
          <t>J</t>
        </is>
      </c>
      <c r="C5208" s="12" t="inlineStr">
        <is>
          <t>GT inlet chilling</t>
        </is>
      </c>
      <c r="D5208" s="12" t="inlineStr">
        <is>
          <t>Home run JB-Chillers x6 (water-DI01 to the control / marshalling room</t>
        </is>
      </c>
      <c r="E5208" s="12" t="inlineStr"/>
      <c r="F5208" s="12" t="inlineStr">
        <is>
          <t>Inlet-chilling e-house / transformer</t>
        </is>
      </c>
      <c r="G5208" s="12" t="inlineStr">
        <is>
          <t>JB-Chillers x6 (water-DI01</t>
        </is>
      </c>
      <c r="H5208" s="12" t="inlineStr">
        <is>
          <t>Chillers x6 (water-cooled)</t>
        </is>
      </c>
      <c r="I5208" s="12" t="inlineStr">
        <is>
          <t>Instrumentation</t>
        </is>
      </c>
      <c r="J5208" s="12" t="inlineStr">
        <is>
          <t>Instrumentation PLTC / TC-ER 300 V, #18 twisted shielded pairs, overall shield</t>
        </is>
      </c>
      <c r="K5208" s="12" t="inlineStr">
        <is>
          <t>PLTC|24 pr|18</t>
        </is>
      </c>
      <c r="L5208" s="12" t="inlineStr">
        <is>
          <t>24 pr</t>
        </is>
      </c>
      <c r="M5208" s="12" t="inlineStr">
        <is>
          <t>18</t>
        </is>
      </c>
      <c r="N5208" s="12" t="n">
        <v>1</v>
      </c>
      <c r="O5208" s="12" t="n">
        <v>1</v>
      </c>
      <c r="P5208" s="12" t="n"/>
      <c r="Q5208" s="12" t="n"/>
      <c r="R5208" s="12" t="n"/>
      <c r="S5208" s="12" t="inlineStr">
        <is>
          <t>Duct bank</t>
        </is>
      </c>
      <c r="T5208" s="17" t="n">
        <v>10</v>
      </c>
      <c r="U5208" s="17" t="n">
        <v>32</v>
      </c>
      <c r="V5208" s="17">
        <f>ROUNDUP((T5208+U5208+2*'Read Me'!$B$13)*(1+'Read Me'!$B$12),-1)</f>
        <v/>
      </c>
      <c r="W5208" s="17">
        <f>V5208*N5208*O5208</f>
        <v/>
      </c>
      <c r="X5208" s="12">
        <f>IF(LEFT(I5208,2)="MV",2*N5208*IF(L5208="1/C",O5208,1),0)</f>
        <v/>
      </c>
      <c r="Y5208" s="12">
        <f>IF(OR(LEFT(K5208,4)="LVAX",LEFT(K5208,6)="MV15AX",LEFT(K5208,4)="CTAX",LEFT(K5208,2)="W|"),2*N5208*O5208,0)</f>
        <v/>
      </c>
      <c r="Z5208" s="12" t="inlineStr"/>
      <c r="AA5208" s="12">
        <f>N5208*O5208</f>
        <v/>
      </c>
    </row>
    <row r="5209">
      <c r="A5209" s="12" t="inlineStr">
        <is>
          <t>J-I-0031</t>
        </is>
      </c>
      <c r="B5209" s="12" t="inlineStr">
        <is>
          <t>J</t>
        </is>
      </c>
      <c r="C5209" s="12" t="inlineStr">
        <is>
          <t>GT inlet chilling</t>
        </is>
      </c>
      <c r="D5209" s="12" t="inlineStr">
        <is>
          <t>Discrete device to JB JB-Chillers x6 (water-DI02: 20 x 1 pr (field cables)</t>
        </is>
      </c>
      <c r="E5209" s="12" t="inlineStr"/>
      <c r="F5209" s="12" t="inlineStr">
        <is>
          <t>Chillers x6 (water-cooled)</t>
        </is>
      </c>
      <c r="G5209" s="12" t="inlineStr">
        <is>
          <t>JB-Chillers x6 (water-DI02</t>
        </is>
      </c>
      <c r="H5209" s="12" t="inlineStr">
        <is>
          <t>Chillers x6 (water-cooled)</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20</v>
      </c>
      <c r="O5209" s="12" t="n">
        <v>1</v>
      </c>
      <c r="P5209" s="12" t="n"/>
      <c r="Q5209" s="12" t="n"/>
      <c r="R5209" s="12" t="n"/>
      <c r="S5209" s="12" t="inlineStr">
        <is>
          <t>Tray / conduit</t>
        </is>
      </c>
      <c r="T5209" s="17" t="n">
        <v>190</v>
      </c>
      <c r="U5209" s="17" t="n">
        <v>10</v>
      </c>
      <c r="V5209" s="17">
        <f>ROUNDUP((T5209+U5209+2*'Read Me'!$B$13)*(1+'Read Me'!$B$12),-1)</f>
        <v/>
      </c>
      <c r="W5209" s="17">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J-I-0032</t>
        </is>
      </c>
      <c r="B5210" s="12" t="inlineStr">
        <is>
          <t>J</t>
        </is>
      </c>
      <c r="C5210" s="12" t="inlineStr">
        <is>
          <t>GT inlet chilling</t>
        </is>
      </c>
      <c r="D5210" s="12" t="inlineStr">
        <is>
          <t>Home run JB-Chillers x6 (water-DI02 to the control / marshalling room</t>
        </is>
      </c>
      <c r="E5210" s="12" t="inlineStr"/>
      <c r="F5210" s="12" t="inlineStr">
        <is>
          <t>Inlet-chilling e-house / transformer</t>
        </is>
      </c>
      <c r="G5210" s="12" t="inlineStr">
        <is>
          <t>JB-Chillers x6 (water-DI02</t>
        </is>
      </c>
      <c r="H5210" s="12" t="inlineStr">
        <is>
          <t>Chillers x6 (water-cooled)</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7" t="n">
        <v>10</v>
      </c>
      <c r="U5210" s="17" t="n">
        <v>32</v>
      </c>
      <c r="V5210" s="17">
        <f>ROUNDUP((T5210+U5210+2*'Read Me'!$B$13)*(1+'Read Me'!$B$12),-1)</f>
        <v/>
      </c>
      <c r="W5210" s="17">
        <f>V5210*N5210*O5210</f>
        <v/>
      </c>
      <c r="X5210" s="12">
        <f>IF(LEFT(I5210,2)="MV",2*N5210*IF(L5210="1/C",O5210,1),0)</f>
        <v/>
      </c>
      <c r="Y5210" s="12">
        <f>IF(OR(LEFT(K5210,4)="LVAX",LEFT(K5210,6)="MV15AX",LEFT(K5210,4)="CTAX",LEFT(K5210,2)="W|"),2*N5210*O5210,0)</f>
        <v/>
      </c>
      <c r="Z5210" s="12" t="inlineStr"/>
      <c r="AA5210" s="12">
        <f>N5210*O5210</f>
        <v/>
      </c>
    </row>
    <row r="5211">
      <c r="A5211" s="12" t="inlineStr">
        <is>
          <t>J-I-0033</t>
        </is>
      </c>
      <c r="B5211" s="12" t="inlineStr">
        <is>
          <t>J</t>
        </is>
      </c>
      <c r="C5211" s="12" t="inlineStr">
        <is>
          <t>GT inlet chilling</t>
        </is>
      </c>
      <c r="D5211" s="12" t="inlineStr">
        <is>
          <t>Discrete device to JB JB-Chillers x6 (water-DI03: 20 x 1 pr (field cables)</t>
        </is>
      </c>
      <c r="E5211" s="12" t="inlineStr"/>
      <c r="F5211" s="12" t="inlineStr">
        <is>
          <t>Chillers x6 (water-cooled)</t>
        </is>
      </c>
      <c r="G5211" s="12" t="inlineStr">
        <is>
          <t>JB-Chillers x6 (water-DI03</t>
        </is>
      </c>
      <c r="H5211" s="12" t="inlineStr">
        <is>
          <t>Chillers x6 (water-cooled)</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20</v>
      </c>
      <c r="O5211" s="12" t="n">
        <v>1</v>
      </c>
      <c r="P5211" s="12" t="n"/>
      <c r="Q5211" s="12" t="n"/>
      <c r="R5211" s="12" t="n"/>
      <c r="S5211" s="12" t="inlineStr">
        <is>
          <t>Tray / conduit</t>
        </is>
      </c>
      <c r="T5211" s="17" t="n">
        <v>190</v>
      </c>
      <c r="U5211" s="17" t="n">
        <v>10</v>
      </c>
      <c r="V5211" s="17">
        <f>ROUNDUP((T5211+U5211+2*'Read Me'!$B$13)*(1+'Read Me'!$B$12),-1)</f>
        <v/>
      </c>
      <c r="W5211" s="17">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J-I-0034</t>
        </is>
      </c>
      <c r="B5212" s="12" t="inlineStr">
        <is>
          <t>J</t>
        </is>
      </c>
      <c r="C5212" s="12" t="inlineStr">
        <is>
          <t>GT inlet chilling</t>
        </is>
      </c>
      <c r="D5212" s="12" t="inlineStr">
        <is>
          <t>Home run JB-Chillers x6 (water-DI03 to the control / marshalling room</t>
        </is>
      </c>
      <c r="E5212" s="12" t="inlineStr"/>
      <c r="F5212" s="12" t="inlineStr">
        <is>
          <t>Inlet-chilling e-house / transformer</t>
        </is>
      </c>
      <c r="G5212" s="12" t="inlineStr">
        <is>
          <t>JB-Chillers x6 (water-DI03</t>
        </is>
      </c>
      <c r="H5212" s="12" t="inlineStr">
        <is>
          <t>Chillers x6 (water-cooled)</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7" t="n">
        <v>10</v>
      </c>
      <c r="U5212" s="17" t="n">
        <v>32</v>
      </c>
      <c r="V5212" s="17">
        <f>ROUNDUP((T5212+U5212+2*'Read Me'!$B$13)*(1+'Read Me'!$B$12),-1)</f>
        <v/>
      </c>
      <c r="W5212" s="17">
        <f>V5212*N5212*O5212</f>
        <v/>
      </c>
      <c r="X5212" s="12">
        <f>IF(LEFT(I5212,2)="MV",2*N5212*IF(L5212="1/C",O5212,1),0)</f>
        <v/>
      </c>
      <c r="Y5212" s="12">
        <f>IF(OR(LEFT(K5212,4)="LVAX",LEFT(K5212,6)="MV15AX",LEFT(K5212,4)="CTAX",LEFT(K5212,2)="W|"),2*N5212*O5212,0)</f>
        <v/>
      </c>
      <c r="Z5212" s="12" t="inlineStr"/>
      <c r="AA5212" s="12">
        <f>N5212*O5212</f>
        <v/>
      </c>
    </row>
    <row r="5213">
      <c r="A5213" s="12" t="inlineStr">
        <is>
          <t>J-I-0035</t>
        </is>
      </c>
      <c r="B5213" s="12" t="inlineStr">
        <is>
          <t>J</t>
        </is>
      </c>
      <c r="C5213" s="12" t="inlineStr">
        <is>
          <t>GT inlet chilling</t>
        </is>
      </c>
      <c r="D5213" s="12" t="inlineStr">
        <is>
          <t>Discrete device to JB JB-Chillers x6 (water-DI04: 20 x 1 pr (field cables)</t>
        </is>
      </c>
      <c r="E5213" s="12" t="inlineStr"/>
      <c r="F5213" s="12" t="inlineStr">
        <is>
          <t>Chillers x6 (water-cooled)</t>
        </is>
      </c>
      <c r="G5213" s="12" t="inlineStr">
        <is>
          <t>JB-Chillers x6 (water-DI04</t>
        </is>
      </c>
      <c r="H5213" s="12" t="inlineStr">
        <is>
          <t>Chillers x6 (water-cooled)</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20</v>
      </c>
      <c r="O5213" s="12" t="n">
        <v>1</v>
      </c>
      <c r="P5213" s="12" t="n"/>
      <c r="Q5213" s="12" t="n"/>
      <c r="R5213" s="12" t="n"/>
      <c r="S5213" s="12" t="inlineStr">
        <is>
          <t>Tray / conduit</t>
        </is>
      </c>
      <c r="T5213" s="17" t="n">
        <v>190</v>
      </c>
      <c r="U5213" s="17" t="n">
        <v>10</v>
      </c>
      <c r="V5213" s="17">
        <f>ROUNDUP((T5213+U5213+2*'Read Me'!$B$13)*(1+'Read Me'!$B$12),-1)</f>
        <v/>
      </c>
      <c r="W5213" s="17">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J-I-0036</t>
        </is>
      </c>
      <c r="B5214" s="12" t="inlineStr">
        <is>
          <t>J</t>
        </is>
      </c>
      <c r="C5214" s="12" t="inlineStr">
        <is>
          <t>GT inlet chilling</t>
        </is>
      </c>
      <c r="D5214" s="12" t="inlineStr">
        <is>
          <t>Home run JB-Chillers x6 (water-DI04 to the control / marshalling room</t>
        </is>
      </c>
      <c r="E5214" s="12" t="inlineStr"/>
      <c r="F5214" s="12" t="inlineStr">
        <is>
          <t>Inlet-chilling e-house / transformer</t>
        </is>
      </c>
      <c r="G5214" s="12" t="inlineStr">
        <is>
          <t>JB-Chillers x6 (water-DI04</t>
        </is>
      </c>
      <c r="H5214" s="12" t="inlineStr">
        <is>
          <t>Chillers x6 (water-cooled)</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7" t="n">
        <v>10</v>
      </c>
      <c r="U5214" s="17" t="n">
        <v>32</v>
      </c>
      <c r="V5214" s="17">
        <f>ROUNDUP((T5214+U5214+2*'Read Me'!$B$13)*(1+'Read Me'!$B$12),-1)</f>
        <v/>
      </c>
      <c r="W5214" s="17">
        <f>V5214*N5214*O5214</f>
        <v/>
      </c>
      <c r="X5214" s="12">
        <f>IF(LEFT(I5214,2)="MV",2*N5214*IF(L5214="1/C",O5214,1),0)</f>
        <v/>
      </c>
      <c r="Y5214" s="12">
        <f>IF(OR(LEFT(K5214,4)="LVAX",LEFT(K5214,6)="MV15AX",LEFT(K5214,4)="CTAX",LEFT(K5214,2)="W|"),2*N5214*O5214,0)</f>
        <v/>
      </c>
      <c r="Z5214" s="12" t="inlineStr"/>
      <c r="AA5214" s="12">
        <f>N5214*O5214</f>
        <v/>
      </c>
    </row>
    <row r="5215">
      <c r="A5215" s="12" t="inlineStr">
        <is>
          <t>J-I-0037</t>
        </is>
      </c>
      <c r="B5215" s="12" t="inlineStr">
        <is>
          <t>J</t>
        </is>
      </c>
      <c r="C5215" s="12" t="inlineStr">
        <is>
          <t>GT inlet chilling</t>
        </is>
      </c>
      <c r="D5215" s="12" t="inlineStr">
        <is>
          <t>Discrete device to JB JB-Chillers x6 (water-DI05: 20 x 1 pr (field cables)</t>
        </is>
      </c>
      <c r="E5215" s="12" t="inlineStr"/>
      <c r="F5215" s="12" t="inlineStr">
        <is>
          <t>Chillers x6 (water-cooled)</t>
        </is>
      </c>
      <c r="G5215" s="12" t="inlineStr">
        <is>
          <t>JB-Chillers x6 (water-DI05</t>
        </is>
      </c>
      <c r="H5215" s="12" t="inlineStr">
        <is>
          <t>Chillers x6 (water-cooled)</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20</v>
      </c>
      <c r="O5215" s="12" t="n">
        <v>1</v>
      </c>
      <c r="P5215" s="12" t="n"/>
      <c r="Q5215" s="12" t="n"/>
      <c r="R5215" s="12" t="n"/>
      <c r="S5215" s="12" t="inlineStr">
        <is>
          <t>Tray / conduit</t>
        </is>
      </c>
      <c r="T5215" s="17" t="n">
        <v>190</v>
      </c>
      <c r="U5215" s="17" t="n">
        <v>10</v>
      </c>
      <c r="V5215" s="17">
        <f>ROUNDUP((T5215+U5215+2*'Read Me'!$B$13)*(1+'Read Me'!$B$12),-1)</f>
        <v/>
      </c>
      <c r="W5215" s="17">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J-I-0038</t>
        </is>
      </c>
      <c r="B5216" s="12" t="inlineStr">
        <is>
          <t>J</t>
        </is>
      </c>
      <c r="C5216" s="12" t="inlineStr">
        <is>
          <t>GT inlet chilling</t>
        </is>
      </c>
      <c r="D5216" s="12" t="inlineStr">
        <is>
          <t>Home run JB-Chillers x6 (water-DI05 to the control / marshalling room</t>
        </is>
      </c>
      <c r="E5216" s="12" t="inlineStr"/>
      <c r="F5216" s="12" t="inlineStr">
        <is>
          <t>Inlet-chilling e-house / transformer</t>
        </is>
      </c>
      <c r="G5216" s="12" t="inlineStr">
        <is>
          <t>JB-Chillers x6 (water-DI05</t>
        </is>
      </c>
      <c r="H5216" s="12" t="inlineStr">
        <is>
          <t>Chillers x6 (water-cooled)</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7" t="n">
        <v>10</v>
      </c>
      <c r="U5216" s="17" t="n">
        <v>32</v>
      </c>
      <c r="V5216" s="17">
        <f>ROUNDUP((T5216+U5216+2*'Read Me'!$B$13)*(1+'Read Me'!$B$12),-1)</f>
        <v/>
      </c>
      <c r="W5216" s="17">
        <f>V5216*N5216*O5216</f>
        <v/>
      </c>
      <c r="X5216" s="12">
        <f>IF(LEFT(I5216,2)="MV",2*N5216*IF(L5216="1/C",O5216,1),0)</f>
        <v/>
      </c>
      <c r="Y5216" s="12">
        <f>IF(OR(LEFT(K5216,4)="LVAX",LEFT(K5216,6)="MV15AX",LEFT(K5216,4)="CTAX",LEFT(K5216,2)="W|"),2*N5216*O5216,0)</f>
        <v/>
      </c>
      <c r="Z5216" s="12" t="inlineStr"/>
      <c r="AA5216" s="12">
        <f>N5216*O5216</f>
        <v/>
      </c>
    </row>
    <row r="5217">
      <c r="A5217" s="12" t="inlineStr">
        <is>
          <t>J-I-0039</t>
        </is>
      </c>
      <c r="B5217" s="12" t="inlineStr">
        <is>
          <t>J</t>
        </is>
      </c>
      <c r="C5217" s="12" t="inlineStr">
        <is>
          <t>GT inlet chilling</t>
        </is>
      </c>
      <c r="D5217" s="12" t="inlineStr">
        <is>
          <t>Discrete device to JB JB-Chillers x6 (water-DI06: 20 x 1 pr (field cables)</t>
        </is>
      </c>
      <c r="E5217" s="12" t="inlineStr"/>
      <c r="F5217" s="12" t="inlineStr">
        <is>
          <t>Chillers x6 (water-cooled)</t>
        </is>
      </c>
      <c r="G5217" s="12" t="inlineStr">
        <is>
          <t>JB-Chillers x6 (water-DI06</t>
        </is>
      </c>
      <c r="H5217" s="12" t="inlineStr">
        <is>
          <t>Chillers x6 (water-cooled)</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7" t="n">
        <v>190</v>
      </c>
      <c r="U5217" s="17" t="n">
        <v>10</v>
      </c>
      <c r="V5217" s="17">
        <f>ROUNDUP((T5217+U5217+2*'Read Me'!$B$13)*(1+'Read Me'!$B$12),-1)</f>
        <v/>
      </c>
      <c r="W5217" s="17">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J-I-0040</t>
        </is>
      </c>
      <c r="B5218" s="12" t="inlineStr">
        <is>
          <t>J</t>
        </is>
      </c>
      <c r="C5218" s="12" t="inlineStr">
        <is>
          <t>GT inlet chilling</t>
        </is>
      </c>
      <c r="D5218" s="12" t="inlineStr">
        <is>
          <t>Home run JB-Chillers x6 (water-DI06 to the control / marshalling room</t>
        </is>
      </c>
      <c r="E5218" s="12" t="inlineStr"/>
      <c r="F5218" s="12" t="inlineStr">
        <is>
          <t>Inlet-chilling e-house / transformer</t>
        </is>
      </c>
      <c r="G5218" s="12" t="inlineStr">
        <is>
          <t>JB-Chillers x6 (water-DI06</t>
        </is>
      </c>
      <c r="H5218" s="12" t="inlineStr">
        <is>
          <t>Chillers x6 (water-cooled)</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Duct bank</t>
        </is>
      </c>
      <c r="T5218" s="17" t="n">
        <v>10</v>
      </c>
      <c r="U5218" s="17" t="n">
        <v>32</v>
      </c>
      <c r="V5218" s="17">
        <f>ROUNDUP((T5218+U5218+2*'Read Me'!$B$13)*(1+'Read Me'!$B$12),-1)</f>
        <v/>
      </c>
      <c r="W5218" s="17">
        <f>V5218*N5218*O5218</f>
        <v/>
      </c>
      <c r="X5218" s="12">
        <f>IF(LEFT(I5218,2)="MV",2*N5218*IF(L5218="1/C",O5218,1),0)</f>
        <v/>
      </c>
      <c r="Y5218" s="12">
        <f>IF(OR(LEFT(K5218,4)="LVAX",LEFT(K5218,6)="MV15AX",LEFT(K5218,4)="CTAX",LEFT(K5218,2)="W|"),2*N5218*O5218,0)</f>
        <v/>
      </c>
      <c r="Z5218" s="12" t="inlineStr"/>
      <c r="AA5218" s="12">
        <f>N5218*O5218</f>
        <v/>
      </c>
    </row>
    <row r="5219">
      <c r="A5219" s="12" t="inlineStr">
        <is>
          <t>J-I-0041</t>
        </is>
      </c>
      <c r="B5219" s="12" t="inlineStr">
        <is>
          <t>J</t>
        </is>
      </c>
      <c r="C5219" s="12" t="inlineStr">
        <is>
          <t>GT inlet chilling</t>
        </is>
      </c>
      <c r="D5219" s="12" t="inlineStr">
        <is>
          <t>Instrumentation</t>
        </is>
      </c>
      <c r="E5219" s="12" t="inlineStr"/>
      <c r="F5219" s="12" t="inlineStr">
        <is>
          <t>Inlet-chilling e-house / transformer</t>
        </is>
      </c>
      <c r="G5219" s="12" t="inlineStr"/>
      <c r="H5219" s="12" t="inlineStr">
        <is>
          <t>Inlet-chilling e-house / transformer</t>
        </is>
      </c>
      <c r="I5219" s="12" t="inlineStr">
        <is>
          <t>Instrumentation</t>
        </is>
      </c>
      <c r="J5219" s="12" t="inlineStr">
        <is>
          <t>Instrumentation PLTC / TC-ER 300 V, #18 twisted shielded pairs, overall shield</t>
        </is>
      </c>
      <c r="K5219" s="12" t="inlineStr">
        <is>
          <t>PLTC|4 pr|18</t>
        </is>
      </c>
      <c r="L5219" s="12" t="inlineStr">
        <is>
          <t>4 pr</t>
        </is>
      </c>
      <c r="M5219" s="12" t="inlineStr">
        <is>
          <t>18</t>
        </is>
      </c>
      <c r="N5219" s="12" t="n">
        <v>1</v>
      </c>
      <c r="O5219" s="12" t="n">
        <v>1</v>
      </c>
      <c r="P5219" s="12" t="n"/>
      <c r="Q5219" s="12" t="n"/>
      <c r="R5219" s="12" t="n"/>
      <c r="S5219" s="12" t="inlineStr">
        <is>
          <t>Tray</t>
        </is>
      </c>
      <c r="T5219" s="17" t="n">
        <v>0</v>
      </c>
      <c r="U5219" s="17" t="n">
        <v>32</v>
      </c>
      <c r="V5219" s="17">
        <f>ROUNDUP((T5219+U5219+2*'Read Me'!$B$13)*(1+'Read Me'!$B$12),-1)</f>
        <v/>
      </c>
      <c r="W5219" s="17">
        <f>V5219*N5219*O5219</f>
        <v/>
      </c>
      <c r="X5219" s="12">
        <f>IF(LEFT(I5219,2)="MV",2*N5219*IF(L5219="1/C",O5219,1),0)</f>
        <v/>
      </c>
      <c r="Y5219" s="12">
        <f>IF(OR(LEFT(K5219,4)="LVAX",LEFT(K5219,6)="MV15AX",LEFT(K5219,4)="CTAX",LEFT(K5219,2)="W|"),2*N5219*O5219,0)</f>
        <v/>
      </c>
      <c r="Z5219" s="12" t="inlineStr"/>
      <c r="AA5219" s="12">
        <f>N5219*O5219</f>
        <v/>
      </c>
    </row>
    <row r="5220">
      <c r="A5220" s="12" t="inlineStr">
        <is>
          <t>J-I-0042</t>
        </is>
      </c>
      <c r="B5220" s="12" t="inlineStr">
        <is>
          <t>J</t>
        </is>
      </c>
      <c r="C5220" s="12" t="inlineStr">
        <is>
          <t>GT inlet chilling</t>
        </is>
      </c>
      <c r="D5220" s="12" t="inlineStr">
        <is>
          <t>Analog instrument to JB JB-Inlet-chilling tow-AI01: 12 x 1 pr (field cables)</t>
        </is>
      </c>
      <c r="E5220" s="12" t="inlineStr"/>
      <c r="F5220" s="12" t="inlineStr">
        <is>
          <t>Inlet-chilling tower (12 cells): chiller heat rejection</t>
        </is>
      </c>
      <c r="G5220" s="12" t="inlineStr">
        <is>
          <t>JB-Inlet-chilling tow-AI01</t>
        </is>
      </c>
      <c r="H5220" s="12" t="inlineStr">
        <is>
          <t>Inlet-chilling tower (12 cells): chiller heat rejection</t>
        </is>
      </c>
      <c r="I5220" s="12" t="inlineStr">
        <is>
          <t>Instrumentation</t>
        </is>
      </c>
      <c r="J5220" s="12" t="inlineStr">
        <is>
          <t>Instrumentation PLTC / TC-ER 300 V, #18 twisted shielded pairs, overall shield</t>
        </is>
      </c>
      <c r="K5220" s="12" t="inlineStr">
        <is>
          <t>PLTC|1 pr|16</t>
        </is>
      </c>
      <c r="L5220" s="12" t="inlineStr">
        <is>
          <t>1 pr</t>
        </is>
      </c>
      <c r="M5220" s="12" t="inlineStr">
        <is>
          <t>16</t>
        </is>
      </c>
      <c r="N5220" s="12" t="n">
        <v>12</v>
      </c>
      <c r="O5220" s="12" t="n">
        <v>1</v>
      </c>
      <c r="P5220" s="12" t="n"/>
      <c r="Q5220" s="12" t="n"/>
      <c r="R5220" s="12" t="n"/>
      <c r="S5220" s="12" t="inlineStr">
        <is>
          <t>Tray / conduit</t>
        </is>
      </c>
      <c r="T5220" s="17" t="n">
        <v>205</v>
      </c>
      <c r="U5220" s="17" t="n">
        <v>10</v>
      </c>
      <c r="V5220" s="17">
        <f>ROUNDUP((T5220+U5220+2*'Read Me'!$B$13)*(1+'Read Me'!$B$12),-1)</f>
        <v/>
      </c>
      <c r="W5220" s="17">
        <f>V5220*N5220*O5220</f>
        <v/>
      </c>
      <c r="X5220" s="12">
        <f>IF(LEFT(I5220,2)="MV",2*N5220*IF(L5220="1/C",O5220,1),0)</f>
        <v/>
      </c>
      <c r="Y5220" s="12">
        <f>IF(OR(LEFT(K5220,4)="LVAX",LEFT(K5220,6)="MV15AX",LEFT(K5220,4)="CTAX",LEFT(K5220,2)="W|"),2*N5220*O5220,0)</f>
        <v/>
      </c>
      <c r="Z5220" s="12" t="inlineStr">
        <is>
          <t>device-to-JB field wiring, one cable per device</t>
        </is>
      </c>
      <c r="AA5220" s="12">
        <f>N5220*O5220</f>
        <v/>
      </c>
    </row>
    <row r="5221">
      <c r="A5221" s="12" t="inlineStr">
        <is>
          <t>J-I-0043</t>
        </is>
      </c>
      <c r="B5221" s="12" t="inlineStr">
        <is>
          <t>J</t>
        </is>
      </c>
      <c r="C5221" s="12" t="inlineStr">
        <is>
          <t>GT inlet chilling</t>
        </is>
      </c>
      <c r="D5221" s="12" t="inlineStr">
        <is>
          <t>Home run JB-Inlet-chilling tow-AI01 to the control / marshalling room</t>
        </is>
      </c>
      <c r="E5221" s="12" t="inlineStr"/>
      <c r="F5221" s="12" t="inlineStr">
        <is>
          <t>Inlet-chilling e-house / transformer</t>
        </is>
      </c>
      <c r="G5221" s="12" t="inlineStr">
        <is>
          <t>JB-Inlet-chilling tow-AI01</t>
        </is>
      </c>
      <c r="H5221" s="12" t="inlineStr">
        <is>
          <t>Inlet-chilling tower (12 cells): chiller heat rejection</t>
        </is>
      </c>
      <c r="I5221" s="12" t="inlineStr">
        <is>
          <t>Instrumentation</t>
        </is>
      </c>
      <c r="J5221" s="12" t="inlineStr">
        <is>
          <t>Instrumentation PLTC / TC-ER 300 V, #18 twisted shielded pairs, overall shield</t>
        </is>
      </c>
      <c r="K5221" s="12" t="inlineStr">
        <is>
          <t>PLTC|24 pr|18</t>
        </is>
      </c>
      <c r="L5221" s="12" t="inlineStr">
        <is>
          <t>24 pr</t>
        </is>
      </c>
      <c r="M5221" s="12" t="inlineStr">
        <is>
          <t>18</t>
        </is>
      </c>
      <c r="N5221" s="12" t="n">
        <v>1</v>
      </c>
      <c r="O5221" s="12" t="n">
        <v>1</v>
      </c>
      <c r="P5221" s="12" t="n"/>
      <c r="Q5221" s="12" t="n"/>
      <c r="R5221" s="12" t="n"/>
      <c r="S5221" s="12" t="inlineStr">
        <is>
          <t>Duct bank</t>
        </is>
      </c>
      <c r="T5221" s="17" t="n">
        <v>478</v>
      </c>
      <c r="U5221" s="17" t="n">
        <v>38</v>
      </c>
      <c r="V5221" s="17">
        <f>ROUNDUP((T5221+U5221+2*'Read Me'!$B$13)*(1+'Read Me'!$B$12),-1)</f>
        <v/>
      </c>
      <c r="W5221" s="17">
        <f>V5221*N5221*O5221</f>
        <v/>
      </c>
      <c r="X5221" s="12">
        <f>IF(LEFT(I5221,2)="MV",2*N5221*IF(L5221="1/C",O5221,1),0)</f>
        <v/>
      </c>
      <c r="Y5221" s="12">
        <f>IF(OR(LEFT(K5221,4)="LVAX",LEFT(K5221,6)="MV15AX",LEFT(K5221,4)="CTAX",LEFT(K5221,2)="W|"),2*N5221*O5221,0)</f>
        <v/>
      </c>
      <c r="Z5221" s="12" t="inlineStr"/>
      <c r="AA5221" s="12">
        <f>N5221*O5221</f>
        <v/>
      </c>
    </row>
    <row r="5222">
      <c r="A5222" s="12" t="inlineStr">
        <is>
          <t>J-I-0044</t>
        </is>
      </c>
      <c r="B5222" s="12" t="inlineStr">
        <is>
          <t>J</t>
        </is>
      </c>
      <c r="C5222" s="12" t="inlineStr">
        <is>
          <t>GT inlet chilling</t>
        </is>
      </c>
      <c r="D5222" s="12" t="inlineStr">
        <is>
          <t>Discrete device to JB JB-Inlet-chilling tow-DI01: 20 x 1 pr (field cables)</t>
        </is>
      </c>
      <c r="E5222" s="12" t="inlineStr"/>
      <c r="F5222" s="12" t="inlineStr">
        <is>
          <t>Inlet-chilling tower (12 cells): chiller heat rejection</t>
        </is>
      </c>
      <c r="G5222" s="12" t="inlineStr">
        <is>
          <t>JB-Inlet-chilling tow-DI01</t>
        </is>
      </c>
      <c r="H5222" s="12" t="inlineStr">
        <is>
          <t>Inlet-chilling tower (12 cells): chiller heat rejection</t>
        </is>
      </c>
      <c r="I5222" s="12" t="inlineStr">
        <is>
          <t>Instrumentation</t>
        </is>
      </c>
      <c r="J5222" s="12" t="inlineStr">
        <is>
          <t>Instrumentation PLTC / TC-ER 300 V, #18 twisted shielded pairs, overall shield</t>
        </is>
      </c>
      <c r="K5222" s="12" t="inlineStr">
        <is>
          <t>PLTC|1 pr|16</t>
        </is>
      </c>
      <c r="L5222" s="12" t="inlineStr">
        <is>
          <t>1 pr</t>
        </is>
      </c>
      <c r="M5222" s="12" t="inlineStr">
        <is>
          <t>16</t>
        </is>
      </c>
      <c r="N5222" s="12" t="n">
        <v>20</v>
      </c>
      <c r="O5222" s="12" t="n">
        <v>1</v>
      </c>
      <c r="P5222" s="12" t="n"/>
      <c r="Q5222" s="12" t="n"/>
      <c r="R5222" s="12" t="n"/>
      <c r="S5222" s="12" t="inlineStr">
        <is>
          <t>Tray / conduit</t>
        </is>
      </c>
      <c r="T5222" s="17" t="n">
        <v>205</v>
      </c>
      <c r="U5222" s="17" t="n">
        <v>10</v>
      </c>
      <c r="V5222" s="17">
        <f>ROUNDUP((T5222+U5222+2*'Read Me'!$B$13)*(1+'Read Me'!$B$12),-1)</f>
        <v/>
      </c>
      <c r="W5222" s="17">
        <f>V5222*N5222*O5222</f>
        <v/>
      </c>
      <c r="X5222" s="12">
        <f>IF(LEFT(I5222,2)="MV",2*N5222*IF(L5222="1/C",O5222,1),0)</f>
        <v/>
      </c>
      <c r="Y5222" s="12">
        <f>IF(OR(LEFT(K5222,4)="LVAX",LEFT(K5222,6)="MV15AX",LEFT(K5222,4)="CTAX",LEFT(K5222,2)="W|"),2*N5222*O5222,0)</f>
        <v/>
      </c>
      <c r="Z5222" s="12" t="inlineStr">
        <is>
          <t>device-to-JB field wiring, one cable per device</t>
        </is>
      </c>
      <c r="AA5222" s="12">
        <f>N5222*O5222</f>
        <v/>
      </c>
    </row>
    <row r="5223">
      <c r="A5223" s="12" t="inlineStr">
        <is>
          <t>J-I-0045</t>
        </is>
      </c>
      <c r="B5223" s="12" t="inlineStr">
        <is>
          <t>J</t>
        </is>
      </c>
      <c r="C5223" s="12" t="inlineStr">
        <is>
          <t>GT inlet chilling</t>
        </is>
      </c>
      <c r="D5223" s="12" t="inlineStr">
        <is>
          <t>Home run JB-Inlet-chilling tow-DI01 to the control / marshalling room</t>
        </is>
      </c>
      <c r="E5223" s="12" t="inlineStr"/>
      <c r="F5223" s="12" t="inlineStr">
        <is>
          <t>Inlet-chilling e-house / transformer</t>
        </is>
      </c>
      <c r="G5223" s="12" t="inlineStr">
        <is>
          <t>JB-Inlet-chilling tow-DI01</t>
        </is>
      </c>
      <c r="H5223" s="12" t="inlineStr">
        <is>
          <t>Inlet-chilling tower (12 cells): chiller heat rejection</t>
        </is>
      </c>
      <c r="I5223" s="12" t="inlineStr">
        <is>
          <t>Instrumentation</t>
        </is>
      </c>
      <c r="J5223" s="12" t="inlineStr">
        <is>
          <t>Instrumentation PLTC / TC-ER 300 V, #18 twisted shielded pairs, overall shield</t>
        </is>
      </c>
      <c r="K5223" s="12" t="inlineStr">
        <is>
          <t>PLTC|24 pr|18</t>
        </is>
      </c>
      <c r="L5223" s="12" t="inlineStr">
        <is>
          <t>24 pr</t>
        </is>
      </c>
      <c r="M5223" s="12" t="inlineStr">
        <is>
          <t>18</t>
        </is>
      </c>
      <c r="N5223" s="12" t="n">
        <v>1</v>
      </c>
      <c r="O5223" s="12" t="n">
        <v>1</v>
      </c>
      <c r="P5223" s="12" t="n"/>
      <c r="Q5223" s="12" t="n"/>
      <c r="R5223" s="12" t="n"/>
      <c r="S5223" s="12" t="inlineStr">
        <is>
          <t>Duct bank</t>
        </is>
      </c>
      <c r="T5223" s="17" t="n">
        <v>478</v>
      </c>
      <c r="U5223" s="17" t="n">
        <v>38</v>
      </c>
      <c r="V5223" s="17">
        <f>ROUNDUP((T5223+U5223+2*'Read Me'!$B$13)*(1+'Read Me'!$B$12),-1)</f>
        <v/>
      </c>
      <c r="W5223" s="17">
        <f>V5223*N5223*O5223</f>
        <v/>
      </c>
      <c r="X5223" s="12">
        <f>IF(LEFT(I5223,2)="MV",2*N5223*IF(L5223="1/C",O5223,1),0)</f>
        <v/>
      </c>
      <c r="Y5223" s="12">
        <f>IF(OR(LEFT(K5223,4)="LVAX",LEFT(K5223,6)="MV15AX",LEFT(K5223,4)="CTAX",LEFT(K5223,2)="W|"),2*N5223*O5223,0)</f>
        <v/>
      </c>
      <c r="Z5223" s="12" t="inlineStr"/>
      <c r="AA5223" s="12">
        <f>N5223*O5223</f>
        <v/>
      </c>
    </row>
    <row r="5224">
      <c r="A5224" s="12" t="inlineStr">
        <is>
          <t>J-I-0046</t>
        </is>
      </c>
      <c r="B5224" s="12" t="inlineStr">
        <is>
          <t>J</t>
        </is>
      </c>
      <c r="C5224" s="12" t="inlineStr">
        <is>
          <t>GT inlet chilling</t>
        </is>
      </c>
      <c r="D5224" s="12" t="inlineStr">
        <is>
          <t>Discrete device to JB JB-Inlet-chilling tow-DI02: 4 x 1 pr (field cables)</t>
        </is>
      </c>
      <c r="E5224" s="12" t="inlineStr"/>
      <c r="F5224" s="12" t="inlineStr">
        <is>
          <t>Inlet-chilling tower (12 cells): chiller heat rejection</t>
        </is>
      </c>
      <c r="G5224" s="12" t="inlineStr">
        <is>
          <t>JB-Inlet-chilling tow-DI02</t>
        </is>
      </c>
      <c r="H5224" s="12" t="inlineStr">
        <is>
          <t>Inlet-chilling tower (12 cells): chiller heat rejection</t>
        </is>
      </c>
      <c r="I5224" s="12" t="inlineStr">
        <is>
          <t>Instrumentation</t>
        </is>
      </c>
      <c r="J5224" s="12" t="inlineStr">
        <is>
          <t>Instrumentation PLTC / TC-ER 300 V, #18 twisted shielded pairs, overall shield</t>
        </is>
      </c>
      <c r="K5224" s="12" t="inlineStr">
        <is>
          <t>PLTC|1 pr|16</t>
        </is>
      </c>
      <c r="L5224" s="12" t="inlineStr">
        <is>
          <t>1 pr</t>
        </is>
      </c>
      <c r="M5224" s="12" t="inlineStr">
        <is>
          <t>16</t>
        </is>
      </c>
      <c r="N5224" s="12" t="n">
        <v>4</v>
      </c>
      <c r="O5224" s="12" t="n">
        <v>1</v>
      </c>
      <c r="P5224" s="12" t="n"/>
      <c r="Q5224" s="12" t="n"/>
      <c r="R5224" s="12" t="n"/>
      <c r="S5224" s="12" t="inlineStr">
        <is>
          <t>Tray / conduit</t>
        </is>
      </c>
      <c r="T5224" s="17" t="n">
        <v>205</v>
      </c>
      <c r="U5224" s="17" t="n">
        <v>10</v>
      </c>
      <c r="V5224" s="17">
        <f>ROUNDUP((T5224+U5224+2*'Read Me'!$B$13)*(1+'Read Me'!$B$12),-1)</f>
        <v/>
      </c>
      <c r="W5224" s="17">
        <f>V5224*N5224*O5224</f>
        <v/>
      </c>
      <c r="X5224" s="12">
        <f>IF(LEFT(I5224,2)="MV",2*N5224*IF(L5224="1/C",O5224,1),0)</f>
        <v/>
      </c>
      <c r="Y5224" s="12">
        <f>IF(OR(LEFT(K5224,4)="LVAX",LEFT(K5224,6)="MV15AX",LEFT(K5224,4)="CTAX",LEFT(K5224,2)="W|"),2*N5224*O5224,0)</f>
        <v/>
      </c>
      <c r="Z5224" s="12" t="inlineStr">
        <is>
          <t>device-to-JB field wiring, one cable per device</t>
        </is>
      </c>
      <c r="AA5224" s="12">
        <f>N5224*O5224</f>
        <v/>
      </c>
    </row>
    <row r="5225">
      <c r="A5225" s="12" t="inlineStr">
        <is>
          <t>J-I-0047</t>
        </is>
      </c>
      <c r="B5225" s="12" t="inlineStr">
        <is>
          <t>J</t>
        </is>
      </c>
      <c r="C5225" s="12" t="inlineStr">
        <is>
          <t>GT inlet chilling</t>
        </is>
      </c>
      <c r="D5225" s="12" t="inlineStr">
        <is>
          <t>Home run JB-Inlet-chilling tow-DI02 to the control / marshalling room</t>
        </is>
      </c>
      <c r="E5225" s="12" t="inlineStr"/>
      <c r="F5225" s="12" t="inlineStr">
        <is>
          <t>Inlet-chilling e-house / transformer</t>
        </is>
      </c>
      <c r="G5225" s="12" t="inlineStr">
        <is>
          <t>JB-Inlet-chilling tow-DI02</t>
        </is>
      </c>
      <c r="H5225" s="12" t="inlineStr">
        <is>
          <t>Inlet-chilling tower (12 cells): chiller heat rejection</t>
        </is>
      </c>
      <c r="I5225" s="12" t="inlineStr">
        <is>
          <t>Instrumentation</t>
        </is>
      </c>
      <c r="J5225" s="12" t="inlineStr">
        <is>
          <t>Instrumentation PLTC / TC-ER 300 V, #18 twisted shielded pairs, overall shield</t>
        </is>
      </c>
      <c r="K5225" s="12" t="inlineStr">
        <is>
          <t>PLTC|24 pr|18</t>
        </is>
      </c>
      <c r="L5225" s="12" t="inlineStr">
        <is>
          <t>24 pr</t>
        </is>
      </c>
      <c r="M5225" s="12" t="inlineStr">
        <is>
          <t>18</t>
        </is>
      </c>
      <c r="N5225" s="12" t="n">
        <v>1</v>
      </c>
      <c r="O5225" s="12" t="n">
        <v>1</v>
      </c>
      <c r="P5225" s="12" t="n"/>
      <c r="Q5225" s="12" t="n"/>
      <c r="R5225" s="12" t="n"/>
      <c r="S5225" s="12" t="inlineStr">
        <is>
          <t>Duct bank</t>
        </is>
      </c>
      <c r="T5225" s="17" t="n">
        <v>478</v>
      </c>
      <c r="U5225" s="17" t="n">
        <v>38</v>
      </c>
      <c r="V5225" s="17">
        <f>ROUNDUP((T5225+U5225+2*'Read Me'!$B$13)*(1+'Read Me'!$B$12),-1)</f>
        <v/>
      </c>
      <c r="W5225" s="17">
        <f>V5225*N5225*O5225</f>
        <v/>
      </c>
      <c r="X5225" s="12">
        <f>IF(LEFT(I5225,2)="MV",2*N5225*IF(L5225="1/C",O5225,1),0)</f>
        <v/>
      </c>
      <c r="Y5225" s="12">
        <f>IF(OR(LEFT(K5225,4)="LVAX",LEFT(K5225,6)="MV15AX",LEFT(K5225,4)="CTAX",LEFT(K5225,2)="W|"),2*N5225*O5225,0)</f>
        <v/>
      </c>
      <c r="Z5225" s="12" t="inlineStr"/>
      <c r="AA5225" s="12">
        <f>N5225*O5225</f>
        <v/>
      </c>
    </row>
    <row r="5226">
      <c r="A5226" s="12" t="inlineStr">
        <is>
          <t>J-P-0001</t>
        </is>
      </c>
      <c r="B5226" s="12" t="inlineStr">
        <is>
          <t>J</t>
        </is>
      </c>
      <c r="C5226" s="12" t="inlineStr">
        <is>
          <t>GT inlet chilling</t>
        </is>
      </c>
      <c r="D5226" s="12" t="inlineStr">
        <is>
          <t>Motor 1 of 4, 150 kW</t>
        </is>
      </c>
      <c r="E5226" s="12" t="inlineStr"/>
      <c r="F5226" s="12" t="inlineStr">
        <is>
          <t>Inlet-chilling e-house / transformer</t>
        </is>
      </c>
      <c r="G5226" s="12" t="inlineStr"/>
      <c r="H5226" s="12" t="inlineStr">
        <is>
          <t>CHW pumps</t>
        </is>
      </c>
      <c r="I5226" s="12" t="inlineStr">
        <is>
          <t>LV 600 V</t>
        </is>
      </c>
      <c r="J5226" s="12" t="inlineStr">
        <is>
          <t>Type TC-ER 600 V 3/C Cu XHHW-2 + ground, PVC jacket</t>
        </is>
      </c>
      <c r="K5226" s="12" t="inlineStr">
        <is>
          <t>LV|3/C+G|350</t>
        </is>
      </c>
      <c r="L5226" s="12" t="inlineStr">
        <is>
          <t>3/C+G</t>
        </is>
      </c>
      <c r="M5226" s="12" t="inlineStr">
        <is>
          <t>350 kcmil</t>
        </is>
      </c>
      <c r="N5226" s="12" t="n">
        <v>1</v>
      </c>
      <c r="O5226" s="12" t="n">
        <v>1</v>
      </c>
      <c r="P5226" s="12" t="n">
        <v>480</v>
      </c>
      <c r="Q5226" s="12" t="n">
        <v>150</v>
      </c>
      <c r="R5226" s="12" t="n">
        <v>212.3</v>
      </c>
      <c r="S5226" s="12" t="inlineStr">
        <is>
          <t>Duct bank</t>
        </is>
      </c>
      <c r="T5226" s="17" t="n">
        <v>579</v>
      </c>
      <c r="U5226" s="17" t="n">
        <v>32</v>
      </c>
      <c r="V5226" s="17">
        <f>ROUNDUP((T5226+U5226+2*'Read Me'!$B$13)*(1+'Read Me'!$B$12),-1)</f>
        <v/>
      </c>
      <c r="W5226" s="17">
        <f>V5226*N5226*O5226</f>
        <v/>
      </c>
      <c r="X5226" s="12">
        <f>IF(LEFT(I5226,2)="MV",2*N5226*IF(L5226="1/C",O5226,1),0)</f>
        <v/>
      </c>
      <c r="Y5226" s="12">
        <f>IF(OR(LEFT(K5226,4)="LVAX",LEFT(K5226,6)="MV15AX",LEFT(K5226,4)="CTAX",LEFT(K5226,2)="W|"),2*N5226*O5226,0)</f>
        <v/>
      </c>
      <c r="Z5226" s="12" t="inlineStr">
        <is>
          <t>VD 1.9 %</t>
        </is>
      </c>
      <c r="AA5226" s="12">
        <f>N5226*O5226</f>
        <v/>
      </c>
    </row>
    <row r="5227">
      <c r="A5227" s="12" t="inlineStr">
        <is>
          <t>J-P-0002</t>
        </is>
      </c>
      <c r="B5227" s="12" t="inlineStr">
        <is>
          <t>J</t>
        </is>
      </c>
      <c r="C5227" s="12" t="inlineStr">
        <is>
          <t>GT inlet chilling</t>
        </is>
      </c>
      <c r="D5227" s="12" t="inlineStr">
        <is>
          <t>Motor 2 of 4, 150 kW</t>
        </is>
      </c>
      <c r="E5227" s="12" t="inlineStr"/>
      <c r="F5227" s="12" t="inlineStr">
        <is>
          <t>Inlet-chilling e-house / transformer</t>
        </is>
      </c>
      <c r="G5227" s="12" t="inlineStr"/>
      <c r="H5227" s="12" t="inlineStr">
        <is>
          <t>CHW pumps</t>
        </is>
      </c>
      <c r="I5227" s="12" t="inlineStr">
        <is>
          <t>LV 600 V</t>
        </is>
      </c>
      <c r="J5227" s="12" t="inlineStr">
        <is>
          <t>Type TC-ER 600 V 3/C Cu XHHW-2 + ground, PVC jacket</t>
        </is>
      </c>
      <c r="K5227" s="12" t="inlineStr">
        <is>
          <t>LV|3/C+G|350</t>
        </is>
      </c>
      <c r="L5227" s="12" t="inlineStr">
        <is>
          <t>3/C+G</t>
        </is>
      </c>
      <c r="M5227" s="12" t="inlineStr">
        <is>
          <t>350 kcmil</t>
        </is>
      </c>
      <c r="N5227" s="12" t="n">
        <v>1</v>
      </c>
      <c r="O5227" s="12" t="n">
        <v>1</v>
      </c>
      <c r="P5227" s="12" t="n">
        <v>480</v>
      </c>
      <c r="Q5227" s="12" t="n">
        <v>150</v>
      </c>
      <c r="R5227" s="12" t="n">
        <v>212.3</v>
      </c>
      <c r="S5227" s="12" t="inlineStr">
        <is>
          <t>Duct bank</t>
        </is>
      </c>
      <c r="T5227" s="17" t="n">
        <v>579</v>
      </c>
      <c r="U5227" s="17" t="n">
        <v>32</v>
      </c>
      <c r="V5227" s="17">
        <f>ROUNDUP((T5227+U5227+2*'Read Me'!$B$13)*(1+'Read Me'!$B$12),-1)</f>
        <v/>
      </c>
      <c r="W5227" s="17">
        <f>V5227*N5227*O5227</f>
        <v/>
      </c>
      <c r="X5227" s="12">
        <f>IF(LEFT(I5227,2)="MV",2*N5227*IF(L5227="1/C",O5227,1),0)</f>
        <v/>
      </c>
      <c r="Y5227" s="12">
        <f>IF(OR(LEFT(K5227,4)="LVAX",LEFT(K5227,6)="MV15AX",LEFT(K5227,4)="CTAX",LEFT(K5227,2)="W|"),2*N5227*O5227,0)</f>
        <v/>
      </c>
      <c r="Z5227" s="12" t="inlineStr">
        <is>
          <t>VD 1.9 %</t>
        </is>
      </c>
      <c r="AA5227" s="12">
        <f>N5227*O5227</f>
        <v/>
      </c>
    </row>
    <row r="5228">
      <c r="A5228" s="12" t="inlineStr">
        <is>
          <t>J-P-0003</t>
        </is>
      </c>
      <c r="B5228" s="12" t="inlineStr">
        <is>
          <t>J</t>
        </is>
      </c>
      <c r="C5228" s="12" t="inlineStr">
        <is>
          <t>GT inlet chilling</t>
        </is>
      </c>
      <c r="D5228" s="12" t="inlineStr">
        <is>
          <t>Motor 3 of 4, 150 kW</t>
        </is>
      </c>
      <c r="E5228" s="12" t="inlineStr"/>
      <c r="F5228" s="12" t="inlineStr">
        <is>
          <t>Inlet-chilling e-house / transformer</t>
        </is>
      </c>
      <c r="G5228" s="12" t="inlineStr"/>
      <c r="H5228" s="12" t="inlineStr">
        <is>
          <t>CHW pumps</t>
        </is>
      </c>
      <c r="I5228" s="12" t="inlineStr">
        <is>
          <t>LV 600 V</t>
        </is>
      </c>
      <c r="J5228" s="12" t="inlineStr">
        <is>
          <t>Type TC-ER 600 V 3/C Cu XHHW-2 + ground, PVC jacket</t>
        </is>
      </c>
      <c r="K5228" s="12" t="inlineStr">
        <is>
          <t>LV|3/C+G|350</t>
        </is>
      </c>
      <c r="L5228" s="12" t="inlineStr">
        <is>
          <t>3/C+G</t>
        </is>
      </c>
      <c r="M5228" s="12" t="inlineStr">
        <is>
          <t>350 kcmil</t>
        </is>
      </c>
      <c r="N5228" s="12" t="n">
        <v>1</v>
      </c>
      <c r="O5228" s="12" t="n">
        <v>1</v>
      </c>
      <c r="P5228" s="12" t="n">
        <v>480</v>
      </c>
      <c r="Q5228" s="12" t="n">
        <v>150</v>
      </c>
      <c r="R5228" s="12" t="n">
        <v>212.3</v>
      </c>
      <c r="S5228" s="12" t="inlineStr">
        <is>
          <t>Duct bank</t>
        </is>
      </c>
      <c r="T5228" s="17" t="n">
        <v>579</v>
      </c>
      <c r="U5228" s="17" t="n">
        <v>32</v>
      </c>
      <c r="V5228" s="17">
        <f>ROUNDUP((T5228+U5228+2*'Read Me'!$B$13)*(1+'Read Me'!$B$12),-1)</f>
        <v/>
      </c>
      <c r="W5228" s="17">
        <f>V5228*N5228*O5228</f>
        <v/>
      </c>
      <c r="X5228" s="12">
        <f>IF(LEFT(I5228,2)="MV",2*N5228*IF(L5228="1/C",O5228,1),0)</f>
        <v/>
      </c>
      <c r="Y5228" s="12">
        <f>IF(OR(LEFT(K5228,4)="LVAX",LEFT(K5228,6)="MV15AX",LEFT(K5228,4)="CTAX",LEFT(K5228,2)="W|"),2*N5228*O5228,0)</f>
        <v/>
      </c>
      <c r="Z5228" s="12" t="inlineStr">
        <is>
          <t>VD 1.9 %</t>
        </is>
      </c>
      <c r="AA5228" s="12">
        <f>N5228*O5228</f>
        <v/>
      </c>
    </row>
    <row r="5229">
      <c r="A5229" s="12" t="inlineStr">
        <is>
          <t>J-P-0004</t>
        </is>
      </c>
      <c r="B5229" s="12" t="inlineStr">
        <is>
          <t>J</t>
        </is>
      </c>
      <c r="C5229" s="12" t="inlineStr">
        <is>
          <t>GT inlet chilling</t>
        </is>
      </c>
      <c r="D5229" s="12" t="inlineStr">
        <is>
          <t>Motor 4 of 4, 150 kW</t>
        </is>
      </c>
      <c r="E5229" s="12" t="inlineStr"/>
      <c r="F5229" s="12" t="inlineStr">
        <is>
          <t>Inlet-chilling e-house / transformer</t>
        </is>
      </c>
      <c r="G5229" s="12" t="inlineStr"/>
      <c r="H5229" s="12" t="inlineStr">
        <is>
          <t>CHW pumps</t>
        </is>
      </c>
      <c r="I5229" s="12" t="inlineStr">
        <is>
          <t>LV 600 V</t>
        </is>
      </c>
      <c r="J5229" s="12" t="inlineStr">
        <is>
          <t>Type TC-ER 600 V 3/C Cu XHHW-2 + ground, PVC jacket</t>
        </is>
      </c>
      <c r="K5229" s="12" t="inlineStr">
        <is>
          <t>LV|3/C+G|350</t>
        </is>
      </c>
      <c r="L5229" s="12" t="inlineStr">
        <is>
          <t>3/C+G</t>
        </is>
      </c>
      <c r="M5229" s="12" t="inlineStr">
        <is>
          <t>350 kcmil</t>
        </is>
      </c>
      <c r="N5229" s="12" t="n">
        <v>1</v>
      </c>
      <c r="O5229" s="12" t="n">
        <v>1</v>
      </c>
      <c r="P5229" s="12" t="n">
        <v>480</v>
      </c>
      <c r="Q5229" s="12" t="n">
        <v>150</v>
      </c>
      <c r="R5229" s="12" t="n">
        <v>212.3</v>
      </c>
      <c r="S5229" s="12" t="inlineStr">
        <is>
          <t>Duct bank</t>
        </is>
      </c>
      <c r="T5229" s="17" t="n">
        <v>579</v>
      </c>
      <c r="U5229" s="17" t="n">
        <v>32</v>
      </c>
      <c r="V5229" s="17">
        <f>ROUNDUP((T5229+U5229+2*'Read Me'!$B$13)*(1+'Read Me'!$B$12),-1)</f>
        <v/>
      </c>
      <c r="W5229" s="17">
        <f>V5229*N5229*O5229</f>
        <v/>
      </c>
      <c r="X5229" s="12">
        <f>IF(LEFT(I5229,2)="MV",2*N5229*IF(L5229="1/C",O5229,1),0)</f>
        <v/>
      </c>
      <c r="Y5229" s="12">
        <f>IF(OR(LEFT(K5229,4)="LVAX",LEFT(K5229,6)="MV15AX",LEFT(K5229,4)="CTAX",LEFT(K5229,2)="W|"),2*N5229*O5229,0)</f>
        <v/>
      </c>
      <c r="Z5229" s="12" t="inlineStr">
        <is>
          <t>VD 1.9 %</t>
        </is>
      </c>
      <c r="AA5229" s="12">
        <f>N5229*O5229</f>
        <v/>
      </c>
    </row>
    <row r="5230">
      <c r="A5230" s="12" t="inlineStr">
        <is>
          <t>J-P-0005</t>
        </is>
      </c>
      <c r="B5230" s="12" t="inlineStr">
        <is>
          <t>J</t>
        </is>
      </c>
      <c r="C5230" s="12" t="inlineStr">
        <is>
          <t>GT inlet chilling</t>
        </is>
      </c>
      <c r="D5230" s="12" t="inlineStr">
        <is>
          <t>LV power feeder</t>
        </is>
      </c>
      <c r="E5230" s="12" t="inlineStr"/>
      <c r="F5230" s="12" t="inlineStr">
        <is>
          <t>Inlet-chilling e-house / transformer</t>
        </is>
      </c>
      <c r="G5230" s="12" t="inlineStr"/>
      <c r="H5230" s="12" t="inlineStr">
        <is>
          <t>CONDITIONAL: TES chilled-water tank</t>
        </is>
      </c>
      <c r="I5230" s="12" t="inlineStr">
        <is>
          <t>LV 600 V</t>
        </is>
      </c>
      <c r="J5230" s="12" t="inlineStr">
        <is>
          <t>Type TC-ER 600 V 3/C Cu XHHW-2 + ground, PVC jacket</t>
        </is>
      </c>
      <c r="K5230" s="12" t="inlineStr">
        <is>
          <t>LV|3/C+G|8</t>
        </is>
      </c>
      <c r="L5230" s="12" t="inlineStr">
        <is>
          <t>3/C+G</t>
        </is>
      </c>
      <c r="M5230" s="12" t="inlineStr">
        <is>
          <t>8</t>
        </is>
      </c>
      <c r="N5230" s="12" t="n">
        <v>1</v>
      </c>
      <c r="O5230" s="12" t="n">
        <v>1</v>
      </c>
      <c r="P5230" s="12" t="n">
        <v>480</v>
      </c>
      <c r="Q5230" s="12" t="n">
        <v>10</v>
      </c>
      <c r="R5230" s="12" t="n">
        <v>14.2</v>
      </c>
      <c r="S5230" s="12" t="inlineStr">
        <is>
          <t>Duct bank</t>
        </is>
      </c>
      <c r="T5230" s="17" t="n">
        <v>271</v>
      </c>
      <c r="U5230" s="17" t="n">
        <v>217</v>
      </c>
      <c r="V5230" s="17">
        <f>ROUNDUP((T5230+U5230+2*'Read Me'!$B$13)*(1+'Read Me'!$B$12),-1)</f>
        <v/>
      </c>
      <c r="W5230" s="17">
        <f>V5230*N5230*O5230</f>
        <v/>
      </c>
      <c r="X5230" s="12">
        <f>IF(LEFT(I5230,2)="MV",2*N5230*IF(L5230="1/C",O5230,1),0)</f>
        <v/>
      </c>
      <c r="Y5230" s="12">
        <f>IF(OR(LEFT(K5230,4)="LVAX",LEFT(K5230,6)="MV15AX",LEFT(K5230,4)="CTAX",LEFT(K5230,2)="W|"),2*N5230*O5230,0)</f>
        <v/>
      </c>
      <c r="Z5230" s="12" t="inlineStr">
        <is>
          <t>VD 2.1 %</t>
        </is>
      </c>
      <c r="AA5230" s="12">
        <f>N5230*O5230</f>
        <v/>
      </c>
    </row>
    <row r="5231">
      <c r="A5231" s="12" t="inlineStr">
        <is>
          <t>J-P-0006</t>
        </is>
      </c>
      <c r="B5231" s="12" t="inlineStr">
        <is>
          <t>J</t>
        </is>
      </c>
      <c r="C5231" s="12" t="inlineStr">
        <is>
          <t>GT inlet chilling</t>
        </is>
      </c>
      <c r="D5231" s="12" t="inlineStr">
        <is>
          <t>Motor 1 of 6, 7 kW</t>
        </is>
      </c>
      <c r="E5231" s="12" t="inlineStr"/>
      <c r="F5231" s="12" t="inlineStr">
        <is>
          <t>Inlet-chilling e-house / transformer</t>
        </is>
      </c>
      <c r="G5231" s="12" t="inlineStr"/>
      <c r="H5231" s="12" t="inlineStr">
        <is>
          <t>Chillers x6 (water-cooled)</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7</v>
      </c>
      <c r="R5231" s="12" t="n">
        <v>9.9</v>
      </c>
      <c r="S5231" s="12" t="inlineStr">
        <is>
          <t>Duct bank</t>
        </is>
      </c>
      <c r="T5231" s="17" t="n">
        <v>10</v>
      </c>
      <c r="U5231" s="17" t="n">
        <v>32</v>
      </c>
      <c r="V5231" s="17">
        <f>ROUNDUP((T5231+U5231+2*'Read Me'!$B$13)*(1+'Read Me'!$B$12),-1)</f>
        <v/>
      </c>
      <c r="W5231" s="17">
        <f>V5231*N5231*O5231</f>
        <v/>
      </c>
      <c r="X5231" s="12">
        <f>IF(LEFT(I5231,2)="MV",2*N5231*IF(L5231="1/C",O5231,1),0)</f>
        <v/>
      </c>
      <c r="Y5231" s="12">
        <f>IF(OR(LEFT(K5231,4)="LVAX",LEFT(K5231,6)="MV15AX",LEFT(K5231,4)="CTAX",LEFT(K5231,2)="W|"),2*N5231*O5231,0)</f>
        <v/>
      </c>
      <c r="Z5231" s="12" t="inlineStr">
        <is>
          <t>VD 0.2 %</t>
        </is>
      </c>
      <c r="AA5231" s="12">
        <f>N5231*O5231</f>
        <v/>
      </c>
    </row>
    <row r="5232">
      <c r="A5232" s="12" t="inlineStr">
        <is>
          <t>J-P-0007</t>
        </is>
      </c>
      <c r="B5232" s="12" t="inlineStr">
        <is>
          <t>J</t>
        </is>
      </c>
      <c r="C5232" s="12" t="inlineStr">
        <is>
          <t>GT inlet chilling</t>
        </is>
      </c>
      <c r="D5232" s="12" t="inlineStr">
        <is>
          <t>Motor 2 of 6, 7 kW</t>
        </is>
      </c>
      <c r="E5232" s="12" t="inlineStr"/>
      <c r="F5232" s="12" t="inlineStr">
        <is>
          <t>Inlet-chilling e-house / transformer</t>
        </is>
      </c>
      <c r="G5232" s="12" t="inlineStr"/>
      <c r="H5232" s="12" t="inlineStr">
        <is>
          <t>Chillers x6 (water-cooled)</t>
        </is>
      </c>
      <c r="I5232" s="12" t="inlineStr">
        <is>
          <t>LV 600 V</t>
        </is>
      </c>
      <c r="J5232" s="12" t="inlineStr">
        <is>
          <t>Type TC-ER 600 V 3/C Cu XHHW-2 + ground, PVC jacket</t>
        </is>
      </c>
      <c r="K5232" s="12" t="inlineStr">
        <is>
          <t>LV|3/C+G|10</t>
        </is>
      </c>
      <c r="L5232" s="12" t="inlineStr">
        <is>
          <t>3/C+G</t>
        </is>
      </c>
      <c r="M5232" s="12" t="inlineStr">
        <is>
          <t>10</t>
        </is>
      </c>
      <c r="N5232" s="12" t="n">
        <v>1</v>
      </c>
      <c r="O5232" s="12" t="n">
        <v>1</v>
      </c>
      <c r="P5232" s="12" t="n">
        <v>480</v>
      </c>
      <c r="Q5232" s="12" t="n">
        <v>7</v>
      </c>
      <c r="R5232" s="12" t="n">
        <v>9.9</v>
      </c>
      <c r="S5232" s="12" t="inlineStr">
        <is>
          <t>Duct bank</t>
        </is>
      </c>
      <c r="T5232" s="17" t="n">
        <v>10</v>
      </c>
      <c r="U5232" s="17" t="n">
        <v>32</v>
      </c>
      <c r="V5232" s="17">
        <f>ROUNDUP((T5232+U5232+2*'Read Me'!$B$13)*(1+'Read Me'!$B$12),-1)</f>
        <v/>
      </c>
      <c r="W5232" s="17">
        <f>V5232*N5232*O5232</f>
        <v/>
      </c>
      <c r="X5232" s="12">
        <f>IF(LEFT(I5232,2)="MV",2*N5232*IF(L5232="1/C",O5232,1),0)</f>
        <v/>
      </c>
      <c r="Y5232" s="12">
        <f>IF(OR(LEFT(K5232,4)="LVAX",LEFT(K5232,6)="MV15AX",LEFT(K5232,4)="CTAX",LEFT(K5232,2)="W|"),2*N5232*O5232,0)</f>
        <v/>
      </c>
      <c r="Z5232" s="12" t="inlineStr">
        <is>
          <t>VD 0.2 %</t>
        </is>
      </c>
      <c r="AA5232" s="12">
        <f>N5232*O5232</f>
        <v/>
      </c>
    </row>
    <row r="5233">
      <c r="A5233" s="12" t="inlineStr">
        <is>
          <t>J-P-0008</t>
        </is>
      </c>
      <c r="B5233" s="12" t="inlineStr">
        <is>
          <t>J</t>
        </is>
      </c>
      <c r="C5233" s="12" t="inlineStr">
        <is>
          <t>GT inlet chilling</t>
        </is>
      </c>
      <c r="D5233" s="12" t="inlineStr">
        <is>
          <t>Motor 3 of 6, 7 kW</t>
        </is>
      </c>
      <c r="E5233" s="12" t="inlineStr"/>
      <c r="F5233" s="12" t="inlineStr">
        <is>
          <t>Inlet-chilling e-house / transformer</t>
        </is>
      </c>
      <c r="G5233" s="12" t="inlineStr"/>
      <c r="H5233" s="12" t="inlineStr">
        <is>
          <t>Chillers x6 (water-cooled)</t>
        </is>
      </c>
      <c r="I5233" s="12" t="inlineStr">
        <is>
          <t>LV 600 V</t>
        </is>
      </c>
      <c r="J5233" s="12" t="inlineStr">
        <is>
          <t>Type TC-ER 600 V 3/C Cu XHHW-2 + ground, PVC jacket</t>
        </is>
      </c>
      <c r="K5233" s="12" t="inlineStr">
        <is>
          <t>LV|3/C+G|10</t>
        </is>
      </c>
      <c r="L5233" s="12" t="inlineStr">
        <is>
          <t>3/C+G</t>
        </is>
      </c>
      <c r="M5233" s="12" t="inlineStr">
        <is>
          <t>10</t>
        </is>
      </c>
      <c r="N5233" s="12" t="n">
        <v>1</v>
      </c>
      <c r="O5233" s="12" t="n">
        <v>1</v>
      </c>
      <c r="P5233" s="12" t="n">
        <v>480</v>
      </c>
      <c r="Q5233" s="12" t="n">
        <v>7</v>
      </c>
      <c r="R5233" s="12" t="n">
        <v>9.9</v>
      </c>
      <c r="S5233" s="12" t="inlineStr">
        <is>
          <t>Duct bank</t>
        </is>
      </c>
      <c r="T5233" s="17" t="n">
        <v>10</v>
      </c>
      <c r="U5233" s="17" t="n">
        <v>32</v>
      </c>
      <c r="V5233" s="17">
        <f>ROUNDUP((T5233+U5233+2*'Read Me'!$B$13)*(1+'Read Me'!$B$12),-1)</f>
        <v/>
      </c>
      <c r="W5233" s="17">
        <f>V5233*N5233*O5233</f>
        <v/>
      </c>
      <c r="X5233" s="12">
        <f>IF(LEFT(I5233,2)="MV",2*N5233*IF(L5233="1/C",O5233,1),0)</f>
        <v/>
      </c>
      <c r="Y5233" s="12">
        <f>IF(OR(LEFT(K5233,4)="LVAX",LEFT(K5233,6)="MV15AX",LEFT(K5233,4)="CTAX",LEFT(K5233,2)="W|"),2*N5233*O5233,0)</f>
        <v/>
      </c>
      <c r="Z5233" s="12" t="inlineStr">
        <is>
          <t>VD 0.2 %</t>
        </is>
      </c>
      <c r="AA5233" s="12">
        <f>N5233*O5233</f>
        <v/>
      </c>
    </row>
    <row r="5234">
      <c r="A5234" s="12" t="inlineStr">
        <is>
          <t>J-P-0009</t>
        </is>
      </c>
      <c r="B5234" s="12" t="inlineStr">
        <is>
          <t>J</t>
        </is>
      </c>
      <c r="C5234" s="12" t="inlineStr">
        <is>
          <t>GT inlet chilling</t>
        </is>
      </c>
      <c r="D5234" s="12" t="inlineStr">
        <is>
          <t>Motor 4 of 6, 7 kW</t>
        </is>
      </c>
      <c r="E5234" s="12" t="inlineStr"/>
      <c r="F5234" s="12" t="inlineStr">
        <is>
          <t>Inlet-chilling e-house / transformer</t>
        </is>
      </c>
      <c r="G5234" s="12" t="inlineStr"/>
      <c r="H5234" s="12" t="inlineStr">
        <is>
          <t>Chillers x6 (water-cooled)</t>
        </is>
      </c>
      <c r="I5234" s="12" t="inlineStr">
        <is>
          <t>LV 600 V</t>
        </is>
      </c>
      <c r="J5234" s="12" t="inlineStr">
        <is>
          <t>Type TC-ER 600 V 3/C Cu XHHW-2 + ground, PVC jacket</t>
        </is>
      </c>
      <c r="K5234" s="12" t="inlineStr">
        <is>
          <t>LV|3/C+G|10</t>
        </is>
      </c>
      <c r="L5234" s="12" t="inlineStr">
        <is>
          <t>3/C+G</t>
        </is>
      </c>
      <c r="M5234" s="12" t="inlineStr">
        <is>
          <t>10</t>
        </is>
      </c>
      <c r="N5234" s="12" t="n">
        <v>1</v>
      </c>
      <c r="O5234" s="12" t="n">
        <v>1</v>
      </c>
      <c r="P5234" s="12" t="n">
        <v>480</v>
      </c>
      <c r="Q5234" s="12" t="n">
        <v>7</v>
      </c>
      <c r="R5234" s="12" t="n">
        <v>9.9</v>
      </c>
      <c r="S5234" s="12" t="inlineStr">
        <is>
          <t>Duct bank</t>
        </is>
      </c>
      <c r="T5234" s="17" t="n">
        <v>10</v>
      </c>
      <c r="U5234" s="17" t="n">
        <v>32</v>
      </c>
      <c r="V5234" s="17">
        <f>ROUNDUP((T5234+U5234+2*'Read Me'!$B$13)*(1+'Read Me'!$B$12),-1)</f>
        <v/>
      </c>
      <c r="W5234" s="17">
        <f>V5234*N5234*O5234</f>
        <v/>
      </c>
      <c r="X5234" s="12">
        <f>IF(LEFT(I5234,2)="MV",2*N5234*IF(L5234="1/C",O5234,1),0)</f>
        <v/>
      </c>
      <c r="Y5234" s="12">
        <f>IF(OR(LEFT(K5234,4)="LVAX",LEFT(K5234,6)="MV15AX",LEFT(K5234,4)="CTAX",LEFT(K5234,2)="W|"),2*N5234*O5234,0)</f>
        <v/>
      </c>
      <c r="Z5234" s="12" t="inlineStr">
        <is>
          <t>VD 0.2 %</t>
        </is>
      </c>
      <c r="AA5234" s="12">
        <f>N5234*O5234</f>
        <v/>
      </c>
    </row>
    <row r="5235">
      <c r="A5235" s="12" t="inlineStr">
        <is>
          <t>J-P-0010</t>
        </is>
      </c>
      <c r="B5235" s="12" t="inlineStr">
        <is>
          <t>J</t>
        </is>
      </c>
      <c r="C5235" s="12" t="inlineStr">
        <is>
          <t>GT inlet chilling</t>
        </is>
      </c>
      <c r="D5235" s="12" t="inlineStr">
        <is>
          <t>Motor 5 of 6, 7 kW</t>
        </is>
      </c>
      <c r="E5235" s="12" t="inlineStr"/>
      <c r="F5235" s="12" t="inlineStr">
        <is>
          <t>Inlet-chilling e-house / transformer</t>
        </is>
      </c>
      <c r="G5235" s="12" t="inlineStr"/>
      <c r="H5235" s="12" t="inlineStr">
        <is>
          <t>Chillers x6 (water-cooled)</t>
        </is>
      </c>
      <c r="I5235" s="12" t="inlineStr">
        <is>
          <t>LV 600 V</t>
        </is>
      </c>
      <c r="J5235" s="12" t="inlineStr">
        <is>
          <t>Type TC-ER 600 V 3/C Cu XHHW-2 + ground, PVC jacket</t>
        </is>
      </c>
      <c r="K5235" s="12" t="inlineStr">
        <is>
          <t>LV|3/C+G|10</t>
        </is>
      </c>
      <c r="L5235" s="12" t="inlineStr">
        <is>
          <t>3/C+G</t>
        </is>
      </c>
      <c r="M5235" s="12" t="inlineStr">
        <is>
          <t>10</t>
        </is>
      </c>
      <c r="N5235" s="12" t="n">
        <v>1</v>
      </c>
      <c r="O5235" s="12" t="n">
        <v>1</v>
      </c>
      <c r="P5235" s="12" t="n">
        <v>480</v>
      </c>
      <c r="Q5235" s="12" t="n">
        <v>7</v>
      </c>
      <c r="R5235" s="12" t="n">
        <v>9.9</v>
      </c>
      <c r="S5235" s="12" t="inlineStr">
        <is>
          <t>Duct bank</t>
        </is>
      </c>
      <c r="T5235" s="17" t="n">
        <v>10</v>
      </c>
      <c r="U5235" s="17" t="n">
        <v>32</v>
      </c>
      <c r="V5235" s="17">
        <f>ROUNDUP((T5235+U5235+2*'Read Me'!$B$13)*(1+'Read Me'!$B$12),-1)</f>
        <v/>
      </c>
      <c r="W5235" s="17">
        <f>V5235*N5235*O5235</f>
        <v/>
      </c>
      <c r="X5235" s="12">
        <f>IF(LEFT(I5235,2)="MV",2*N5235*IF(L5235="1/C",O5235,1),0)</f>
        <v/>
      </c>
      <c r="Y5235" s="12">
        <f>IF(OR(LEFT(K5235,4)="LVAX",LEFT(K5235,6)="MV15AX",LEFT(K5235,4)="CTAX",LEFT(K5235,2)="W|"),2*N5235*O5235,0)</f>
        <v/>
      </c>
      <c r="Z5235" s="12" t="inlineStr">
        <is>
          <t>VD 0.2 %</t>
        </is>
      </c>
      <c r="AA5235" s="12">
        <f>N5235*O5235</f>
        <v/>
      </c>
    </row>
    <row r="5236">
      <c r="A5236" s="12" t="inlineStr">
        <is>
          <t>J-P-0011</t>
        </is>
      </c>
      <c r="B5236" s="12" t="inlineStr">
        <is>
          <t>J</t>
        </is>
      </c>
      <c r="C5236" s="12" t="inlineStr">
        <is>
          <t>GT inlet chilling</t>
        </is>
      </c>
      <c r="D5236" s="12" t="inlineStr">
        <is>
          <t>Motor 6 of 6, 7 kW</t>
        </is>
      </c>
      <c r="E5236" s="12" t="inlineStr"/>
      <c r="F5236" s="12" t="inlineStr">
        <is>
          <t>Inlet-chilling e-house / transformer</t>
        </is>
      </c>
      <c r="G5236" s="12" t="inlineStr"/>
      <c r="H5236" s="12" t="inlineStr">
        <is>
          <t>Chillers x6 (water-cooled)</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7</v>
      </c>
      <c r="R5236" s="12" t="n">
        <v>9.9</v>
      </c>
      <c r="S5236" s="12" t="inlineStr">
        <is>
          <t>Duct bank</t>
        </is>
      </c>
      <c r="T5236" s="17" t="n">
        <v>10</v>
      </c>
      <c r="U5236" s="17" t="n">
        <v>32</v>
      </c>
      <c r="V5236" s="17">
        <f>ROUNDUP((T5236+U5236+2*'Read Me'!$B$13)*(1+'Read Me'!$B$12),-1)</f>
        <v/>
      </c>
      <c r="W5236" s="17">
        <f>V5236*N5236*O5236</f>
        <v/>
      </c>
      <c r="X5236" s="12">
        <f>IF(LEFT(I5236,2)="MV",2*N5236*IF(L5236="1/C",O5236,1),0)</f>
        <v/>
      </c>
      <c r="Y5236" s="12">
        <f>IF(OR(LEFT(K5236,4)="LVAX",LEFT(K5236,6)="MV15AX",LEFT(K5236,4)="CTAX",LEFT(K5236,2)="W|"),2*N5236*O5236,0)</f>
        <v/>
      </c>
      <c r="Z5236" s="12" t="inlineStr">
        <is>
          <t>VD 0.2 %</t>
        </is>
      </c>
      <c r="AA5236" s="12">
        <f>N5236*O5236</f>
        <v/>
      </c>
    </row>
    <row r="5237">
      <c r="A5237" s="12" t="inlineStr">
        <is>
          <t>J-P-0012</t>
        </is>
      </c>
      <c r="B5237" s="12" t="inlineStr">
        <is>
          <t>J</t>
        </is>
      </c>
      <c r="C5237" s="12" t="inlineStr">
        <is>
          <t>GT inlet chilling</t>
        </is>
      </c>
      <c r="D5237" s="12" t="inlineStr">
        <is>
          <t>Motor 1 of 12, 75 kW (VFD output)</t>
        </is>
      </c>
      <c r="E5237" s="12" t="inlineStr"/>
      <c r="F5237" s="12" t="inlineStr">
        <is>
          <t>Inlet-chilling e-house / transformer</t>
        </is>
      </c>
      <c r="G5237" s="12" t="inlineStr"/>
      <c r="H5237" s="12" t="inlineStr">
        <is>
          <t>Inlet-chilling tower (12 cells): chiller heat rejection</t>
        </is>
      </c>
      <c r="I5237" s="12" t="inlineStr">
        <is>
          <t>LV 600 V</t>
        </is>
      </c>
      <c r="J5237" s="12" t="inlineStr">
        <is>
          <t>VFD cable 600 V 3/C Cu XHHW-2, 3 symmetrical grounds, overall Cu tape shield, TC-ER</t>
        </is>
      </c>
      <c r="K5237" s="12" t="inlineStr">
        <is>
          <t>VFD|3/C+3G|2/0</t>
        </is>
      </c>
      <c r="L5237" s="12" t="inlineStr">
        <is>
          <t>3/C+3G</t>
        </is>
      </c>
      <c r="M5237" s="12" t="inlineStr">
        <is>
          <t>2/0</t>
        </is>
      </c>
      <c r="N5237" s="12" t="n">
        <v>1</v>
      </c>
      <c r="O5237" s="12" t="n">
        <v>1</v>
      </c>
      <c r="P5237" s="12" t="n">
        <v>480</v>
      </c>
      <c r="Q5237" s="12" t="n">
        <v>75</v>
      </c>
      <c r="R5237" s="12" t="n">
        <v>106</v>
      </c>
      <c r="S5237" s="12" t="inlineStr">
        <is>
          <t>Duct bank</t>
        </is>
      </c>
      <c r="T5237" s="17" t="n">
        <v>683</v>
      </c>
      <c r="U5237" s="17" t="n">
        <v>38</v>
      </c>
      <c r="V5237" s="17">
        <f>ROUNDUP((T5237+U5237+2*'Read Me'!$B$13)*(1+'Read Me'!$B$12),-1)</f>
        <v/>
      </c>
      <c r="W5237" s="17">
        <f>V5237*N5237*O5237</f>
        <v/>
      </c>
      <c r="X5237" s="12">
        <f>IF(LEFT(I5237,2)="MV",2*N5237*IF(L5237="1/C",O5237,1),0)</f>
        <v/>
      </c>
      <c r="Y5237" s="12">
        <f>IF(OR(LEFT(K5237,4)="LVAX",LEFT(K5237,6)="MV15AX",LEFT(K5237,4)="CTAX",LEFT(K5237,2)="W|"),2*N5237*O5237,0)</f>
        <v/>
      </c>
      <c r="Z5237" s="12" t="inlineStr">
        <is>
          <t>VD 2.9 %</t>
        </is>
      </c>
      <c r="AA5237" s="12">
        <f>N5237*O5237</f>
        <v/>
      </c>
    </row>
    <row r="5238">
      <c r="A5238" s="12" t="inlineStr">
        <is>
          <t>J-P-0013</t>
        </is>
      </c>
      <c r="B5238" s="12" t="inlineStr">
        <is>
          <t>J</t>
        </is>
      </c>
      <c r="C5238" s="12" t="inlineStr">
        <is>
          <t>GT inlet chilling</t>
        </is>
      </c>
      <c r="D5238" s="12" t="inlineStr">
        <is>
          <t>Motor 2 of 12, 75 kW (VFD output)</t>
        </is>
      </c>
      <c r="E5238" s="12" t="inlineStr"/>
      <c r="F5238" s="12" t="inlineStr">
        <is>
          <t>Inlet-chilling e-house / transformer</t>
        </is>
      </c>
      <c r="G5238" s="12" t="inlineStr"/>
      <c r="H5238" s="12" t="inlineStr">
        <is>
          <t>Inlet-chilling tower (12 cells): chiller heat rejection</t>
        </is>
      </c>
      <c r="I5238" s="12" t="inlineStr">
        <is>
          <t>LV 600 V</t>
        </is>
      </c>
      <c r="J5238" s="12" t="inlineStr">
        <is>
          <t>VFD cable 600 V 3/C Cu XHHW-2, 3 symmetrical grounds, overall Cu tape shield, TC-ER</t>
        </is>
      </c>
      <c r="K5238" s="12" t="inlineStr">
        <is>
          <t>VFD|3/C+3G|2/0</t>
        </is>
      </c>
      <c r="L5238" s="12" t="inlineStr">
        <is>
          <t>3/C+3G</t>
        </is>
      </c>
      <c r="M5238" s="12" t="inlineStr">
        <is>
          <t>2/0</t>
        </is>
      </c>
      <c r="N5238" s="12" t="n">
        <v>1</v>
      </c>
      <c r="O5238" s="12" t="n">
        <v>1</v>
      </c>
      <c r="P5238" s="12" t="n">
        <v>480</v>
      </c>
      <c r="Q5238" s="12" t="n">
        <v>75</v>
      </c>
      <c r="R5238" s="12" t="n">
        <v>106</v>
      </c>
      <c r="S5238" s="12" t="inlineStr">
        <is>
          <t>Duct bank</t>
        </is>
      </c>
      <c r="T5238" s="17" t="n">
        <v>683</v>
      </c>
      <c r="U5238" s="17" t="n">
        <v>38</v>
      </c>
      <c r="V5238" s="17">
        <f>ROUNDUP((T5238+U5238+2*'Read Me'!$B$13)*(1+'Read Me'!$B$12),-1)</f>
        <v/>
      </c>
      <c r="W5238" s="17">
        <f>V5238*N5238*O5238</f>
        <v/>
      </c>
      <c r="X5238" s="12">
        <f>IF(LEFT(I5238,2)="MV",2*N5238*IF(L5238="1/C",O5238,1),0)</f>
        <v/>
      </c>
      <c r="Y5238" s="12">
        <f>IF(OR(LEFT(K5238,4)="LVAX",LEFT(K5238,6)="MV15AX",LEFT(K5238,4)="CTAX",LEFT(K5238,2)="W|"),2*N5238*O5238,0)</f>
        <v/>
      </c>
      <c r="Z5238" s="12" t="inlineStr">
        <is>
          <t>VD 2.9 %</t>
        </is>
      </c>
      <c r="AA5238" s="12">
        <f>N5238*O5238</f>
        <v/>
      </c>
    </row>
    <row r="5239">
      <c r="A5239" s="12" t="inlineStr">
        <is>
          <t>J-P-0014</t>
        </is>
      </c>
      <c r="B5239" s="12" t="inlineStr">
        <is>
          <t>J</t>
        </is>
      </c>
      <c r="C5239" s="12" t="inlineStr">
        <is>
          <t>GT inlet chilling</t>
        </is>
      </c>
      <c r="D5239" s="12" t="inlineStr">
        <is>
          <t>Motor 3 of 12, 75 kW (VFD output)</t>
        </is>
      </c>
      <c r="E5239" s="12" t="inlineStr"/>
      <c r="F5239" s="12" t="inlineStr">
        <is>
          <t>Inlet-chilling e-house / transformer</t>
        </is>
      </c>
      <c r="G5239" s="12" t="inlineStr"/>
      <c r="H5239" s="12" t="inlineStr">
        <is>
          <t>Inlet-chilling tower (12 cells): chiller heat rejection</t>
        </is>
      </c>
      <c r="I5239" s="12" t="inlineStr">
        <is>
          <t>LV 600 V</t>
        </is>
      </c>
      <c r="J5239" s="12" t="inlineStr">
        <is>
          <t>VFD cable 600 V 3/C Cu XHHW-2, 3 symmetrical grounds, overall Cu tape shield, TC-ER</t>
        </is>
      </c>
      <c r="K5239" s="12" t="inlineStr">
        <is>
          <t>VFD|3/C+3G|2/0</t>
        </is>
      </c>
      <c r="L5239" s="12" t="inlineStr">
        <is>
          <t>3/C+3G</t>
        </is>
      </c>
      <c r="M5239" s="12" t="inlineStr">
        <is>
          <t>2/0</t>
        </is>
      </c>
      <c r="N5239" s="12" t="n">
        <v>1</v>
      </c>
      <c r="O5239" s="12" t="n">
        <v>1</v>
      </c>
      <c r="P5239" s="12" t="n">
        <v>480</v>
      </c>
      <c r="Q5239" s="12" t="n">
        <v>75</v>
      </c>
      <c r="R5239" s="12" t="n">
        <v>106</v>
      </c>
      <c r="S5239" s="12" t="inlineStr">
        <is>
          <t>Duct bank</t>
        </is>
      </c>
      <c r="T5239" s="17" t="n">
        <v>683</v>
      </c>
      <c r="U5239" s="17" t="n">
        <v>38</v>
      </c>
      <c r="V5239" s="17">
        <f>ROUNDUP((T5239+U5239+2*'Read Me'!$B$13)*(1+'Read Me'!$B$12),-1)</f>
        <v/>
      </c>
      <c r="W5239" s="17">
        <f>V5239*N5239*O5239</f>
        <v/>
      </c>
      <c r="X5239" s="12">
        <f>IF(LEFT(I5239,2)="MV",2*N5239*IF(L5239="1/C",O5239,1),0)</f>
        <v/>
      </c>
      <c r="Y5239" s="12">
        <f>IF(OR(LEFT(K5239,4)="LVAX",LEFT(K5239,6)="MV15AX",LEFT(K5239,4)="CTAX",LEFT(K5239,2)="W|"),2*N5239*O5239,0)</f>
        <v/>
      </c>
      <c r="Z5239" s="12" t="inlineStr">
        <is>
          <t>VD 2.9 %</t>
        </is>
      </c>
      <c r="AA5239" s="12">
        <f>N5239*O5239</f>
        <v/>
      </c>
    </row>
    <row r="5240">
      <c r="A5240" s="12" t="inlineStr">
        <is>
          <t>J-P-0015</t>
        </is>
      </c>
      <c r="B5240" s="12" t="inlineStr">
        <is>
          <t>J</t>
        </is>
      </c>
      <c r="C5240" s="12" t="inlineStr">
        <is>
          <t>GT inlet chilling</t>
        </is>
      </c>
      <c r="D5240" s="12" t="inlineStr">
        <is>
          <t>Motor 4 of 12, 75 kW (VFD output)</t>
        </is>
      </c>
      <c r="E5240" s="12" t="inlineStr"/>
      <c r="F5240" s="12" t="inlineStr">
        <is>
          <t>Inlet-chilling e-house / transformer</t>
        </is>
      </c>
      <c r="G5240" s="12" t="inlineStr"/>
      <c r="H5240" s="12" t="inlineStr">
        <is>
          <t>Inlet-chilling tower (12 cells): chiller heat rejection</t>
        </is>
      </c>
      <c r="I5240" s="12" t="inlineStr">
        <is>
          <t>LV 600 V</t>
        </is>
      </c>
      <c r="J5240" s="12" t="inlineStr">
        <is>
          <t>VFD cable 600 V 3/C Cu XHHW-2, 3 symmetrical grounds, overall Cu tape shield, TC-ER</t>
        </is>
      </c>
      <c r="K5240" s="12" t="inlineStr">
        <is>
          <t>VFD|3/C+3G|2/0</t>
        </is>
      </c>
      <c r="L5240" s="12" t="inlineStr">
        <is>
          <t>3/C+3G</t>
        </is>
      </c>
      <c r="M5240" s="12" t="inlineStr">
        <is>
          <t>2/0</t>
        </is>
      </c>
      <c r="N5240" s="12" t="n">
        <v>1</v>
      </c>
      <c r="O5240" s="12" t="n">
        <v>1</v>
      </c>
      <c r="P5240" s="12" t="n">
        <v>480</v>
      </c>
      <c r="Q5240" s="12" t="n">
        <v>75</v>
      </c>
      <c r="R5240" s="12" t="n">
        <v>106</v>
      </c>
      <c r="S5240" s="12" t="inlineStr">
        <is>
          <t>Duct bank</t>
        </is>
      </c>
      <c r="T5240" s="17" t="n">
        <v>683</v>
      </c>
      <c r="U5240" s="17" t="n">
        <v>38</v>
      </c>
      <c r="V5240" s="17">
        <f>ROUNDUP((T5240+U5240+2*'Read Me'!$B$13)*(1+'Read Me'!$B$12),-1)</f>
        <v/>
      </c>
      <c r="W5240" s="17">
        <f>V5240*N5240*O5240</f>
        <v/>
      </c>
      <c r="X5240" s="12">
        <f>IF(LEFT(I5240,2)="MV",2*N5240*IF(L5240="1/C",O5240,1),0)</f>
        <v/>
      </c>
      <c r="Y5240" s="12">
        <f>IF(OR(LEFT(K5240,4)="LVAX",LEFT(K5240,6)="MV15AX",LEFT(K5240,4)="CTAX",LEFT(K5240,2)="W|"),2*N5240*O5240,0)</f>
        <v/>
      </c>
      <c r="Z5240" s="12" t="inlineStr">
        <is>
          <t>VD 2.9 %</t>
        </is>
      </c>
      <c r="AA5240" s="12">
        <f>N5240*O5240</f>
        <v/>
      </c>
    </row>
    <row r="5241">
      <c r="A5241" s="12" t="inlineStr">
        <is>
          <t>J-P-0016</t>
        </is>
      </c>
      <c r="B5241" s="12" t="inlineStr">
        <is>
          <t>J</t>
        </is>
      </c>
      <c r="C5241" s="12" t="inlineStr">
        <is>
          <t>GT inlet chilling</t>
        </is>
      </c>
      <c r="D5241" s="12" t="inlineStr">
        <is>
          <t>Motor 5 of 12, 75 kW (VFD output)</t>
        </is>
      </c>
      <c r="E5241" s="12" t="inlineStr"/>
      <c r="F5241" s="12" t="inlineStr">
        <is>
          <t>Inlet-chilling e-house / transformer</t>
        </is>
      </c>
      <c r="G5241" s="12" t="inlineStr"/>
      <c r="H5241" s="12" t="inlineStr">
        <is>
          <t>Inlet-chilling tower (12 cells): chiller heat rejection</t>
        </is>
      </c>
      <c r="I5241" s="12" t="inlineStr">
        <is>
          <t>LV 600 V</t>
        </is>
      </c>
      <c r="J5241" s="12" t="inlineStr">
        <is>
          <t>VFD cable 600 V 3/C Cu XHHW-2, 3 symmetrical grounds, overall Cu tape shield, TC-ER</t>
        </is>
      </c>
      <c r="K5241" s="12" t="inlineStr">
        <is>
          <t>VFD|3/C+3G|2/0</t>
        </is>
      </c>
      <c r="L5241" s="12" t="inlineStr">
        <is>
          <t>3/C+3G</t>
        </is>
      </c>
      <c r="M5241" s="12" t="inlineStr">
        <is>
          <t>2/0</t>
        </is>
      </c>
      <c r="N5241" s="12" t="n">
        <v>1</v>
      </c>
      <c r="O5241" s="12" t="n">
        <v>1</v>
      </c>
      <c r="P5241" s="12" t="n">
        <v>480</v>
      </c>
      <c r="Q5241" s="12" t="n">
        <v>75</v>
      </c>
      <c r="R5241" s="12" t="n">
        <v>106</v>
      </c>
      <c r="S5241" s="12" t="inlineStr">
        <is>
          <t>Duct bank</t>
        </is>
      </c>
      <c r="T5241" s="17" t="n">
        <v>683</v>
      </c>
      <c r="U5241" s="17" t="n">
        <v>38</v>
      </c>
      <c r="V5241" s="17">
        <f>ROUNDUP((T5241+U5241+2*'Read Me'!$B$13)*(1+'Read Me'!$B$12),-1)</f>
        <v/>
      </c>
      <c r="W5241" s="17">
        <f>V5241*N5241*O5241</f>
        <v/>
      </c>
      <c r="X5241" s="12">
        <f>IF(LEFT(I5241,2)="MV",2*N5241*IF(L5241="1/C",O5241,1),0)</f>
        <v/>
      </c>
      <c r="Y5241" s="12">
        <f>IF(OR(LEFT(K5241,4)="LVAX",LEFT(K5241,6)="MV15AX",LEFT(K5241,4)="CTAX",LEFT(K5241,2)="W|"),2*N5241*O5241,0)</f>
        <v/>
      </c>
      <c r="Z5241" s="12" t="inlineStr">
        <is>
          <t>VD 2.9 %</t>
        </is>
      </c>
      <c r="AA5241" s="12">
        <f>N5241*O5241</f>
        <v/>
      </c>
    </row>
    <row r="5242">
      <c r="A5242" s="12" t="inlineStr">
        <is>
          <t>J-P-0017</t>
        </is>
      </c>
      <c r="B5242" s="12" t="inlineStr">
        <is>
          <t>J</t>
        </is>
      </c>
      <c r="C5242" s="12" t="inlineStr">
        <is>
          <t>GT inlet chilling</t>
        </is>
      </c>
      <c r="D5242" s="12" t="inlineStr">
        <is>
          <t>Motor 6 of 12, 75 kW (VFD output)</t>
        </is>
      </c>
      <c r="E5242" s="12" t="inlineStr"/>
      <c r="F5242" s="12" t="inlineStr">
        <is>
          <t>Inlet-chilling e-house / transformer</t>
        </is>
      </c>
      <c r="G5242" s="12" t="inlineStr"/>
      <c r="H5242" s="12" t="inlineStr">
        <is>
          <t>Inlet-chilling tower (12 cells): chiller heat rejection</t>
        </is>
      </c>
      <c r="I5242" s="12" t="inlineStr">
        <is>
          <t>LV 600 V</t>
        </is>
      </c>
      <c r="J5242" s="12" t="inlineStr">
        <is>
          <t>VFD cable 600 V 3/C Cu XHHW-2, 3 symmetrical grounds, overall Cu tape shield, TC-ER</t>
        </is>
      </c>
      <c r="K5242" s="12" t="inlineStr">
        <is>
          <t>VFD|3/C+3G|2/0</t>
        </is>
      </c>
      <c r="L5242" s="12" t="inlineStr">
        <is>
          <t>3/C+3G</t>
        </is>
      </c>
      <c r="M5242" s="12" t="inlineStr">
        <is>
          <t>2/0</t>
        </is>
      </c>
      <c r="N5242" s="12" t="n">
        <v>1</v>
      </c>
      <c r="O5242" s="12" t="n">
        <v>1</v>
      </c>
      <c r="P5242" s="12" t="n">
        <v>480</v>
      </c>
      <c r="Q5242" s="12" t="n">
        <v>75</v>
      </c>
      <c r="R5242" s="12" t="n">
        <v>106</v>
      </c>
      <c r="S5242" s="12" t="inlineStr">
        <is>
          <t>Duct bank</t>
        </is>
      </c>
      <c r="T5242" s="17" t="n">
        <v>683</v>
      </c>
      <c r="U5242" s="17" t="n">
        <v>38</v>
      </c>
      <c r="V5242" s="17">
        <f>ROUNDUP((T5242+U5242+2*'Read Me'!$B$13)*(1+'Read Me'!$B$12),-1)</f>
        <v/>
      </c>
      <c r="W5242" s="17">
        <f>V5242*N5242*O5242</f>
        <v/>
      </c>
      <c r="X5242" s="12">
        <f>IF(LEFT(I5242,2)="MV",2*N5242*IF(L5242="1/C",O5242,1),0)</f>
        <v/>
      </c>
      <c r="Y5242" s="12">
        <f>IF(OR(LEFT(K5242,4)="LVAX",LEFT(K5242,6)="MV15AX",LEFT(K5242,4)="CTAX",LEFT(K5242,2)="W|"),2*N5242*O5242,0)</f>
        <v/>
      </c>
      <c r="Z5242" s="12" t="inlineStr">
        <is>
          <t>VD 2.9 %</t>
        </is>
      </c>
      <c r="AA5242" s="12">
        <f>N5242*O5242</f>
        <v/>
      </c>
    </row>
    <row r="5243">
      <c r="A5243" s="12" t="inlineStr">
        <is>
          <t>J-P-0018</t>
        </is>
      </c>
      <c r="B5243" s="12" t="inlineStr">
        <is>
          <t>J</t>
        </is>
      </c>
      <c r="C5243" s="12" t="inlineStr">
        <is>
          <t>GT inlet chilling</t>
        </is>
      </c>
      <c r="D5243" s="12" t="inlineStr">
        <is>
          <t>Motor 7 of 12, 75 kW (VFD output)</t>
        </is>
      </c>
      <c r="E5243" s="12" t="inlineStr"/>
      <c r="F5243" s="12" t="inlineStr">
        <is>
          <t>Inlet-chilling e-house / transformer</t>
        </is>
      </c>
      <c r="G5243" s="12" t="inlineStr"/>
      <c r="H5243" s="12" t="inlineStr">
        <is>
          <t>Inlet-chilling tower (12 cells): chiller heat rejection</t>
        </is>
      </c>
      <c r="I5243" s="12" t="inlineStr">
        <is>
          <t>LV 600 V</t>
        </is>
      </c>
      <c r="J5243" s="12" t="inlineStr">
        <is>
          <t>VFD cable 600 V 3/C Cu XHHW-2, 3 symmetrical grounds, overall Cu tape shield, TC-ER</t>
        </is>
      </c>
      <c r="K5243" s="12" t="inlineStr">
        <is>
          <t>VFD|3/C+3G|2/0</t>
        </is>
      </c>
      <c r="L5243" s="12" t="inlineStr">
        <is>
          <t>3/C+3G</t>
        </is>
      </c>
      <c r="M5243" s="12" t="inlineStr">
        <is>
          <t>2/0</t>
        </is>
      </c>
      <c r="N5243" s="12" t="n">
        <v>1</v>
      </c>
      <c r="O5243" s="12" t="n">
        <v>1</v>
      </c>
      <c r="P5243" s="12" t="n">
        <v>480</v>
      </c>
      <c r="Q5243" s="12" t="n">
        <v>75</v>
      </c>
      <c r="R5243" s="12" t="n">
        <v>106</v>
      </c>
      <c r="S5243" s="12" t="inlineStr">
        <is>
          <t>Duct bank</t>
        </is>
      </c>
      <c r="T5243" s="17" t="n">
        <v>683</v>
      </c>
      <c r="U5243" s="17" t="n">
        <v>38</v>
      </c>
      <c r="V5243" s="17">
        <f>ROUNDUP((T5243+U5243+2*'Read Me'!$B$13)*(1+'Read Me'!$B$12),-1)</f>
        <v/>
      </c>
      <c r="W5243" s="17">
        <f>V5243*N5243*O5243</f>
        <v/>
      </c>
      <c r="X5243" s="12">
        <f>IF(LEFT(I5243,2)="MV",2*N5243*IF(L5243="1/C",O5243,1),0)</f>
        <v/>
      </c>
      <c r="Y5243" s="12">
        <f>IF(OR(LEFT(K5243,4)="LVAX",LEFT(K5243,6)="MV15AX",LEFT(K5243,4)="CTAX",LEFT(K5243,2)="W|"),2*N5243*O5243,0)</f>
        <v/>
      </c>
      <c r="Z5243" s="12" t="inlineStr">
        <is>
          <t>VD 2.9 %</t>
        </is>
      </c>
      <c r="AA5243" s="12">
        <f>N5243*O5243</f>
        <v/>
      </c>
    </row>
    <row r="5244">
      <c r="A5244" s="12" t="inlineStr">
        <is>
          <t>J-P-0019</t>
        </is>
      </c>
      <c r="B5244" s="12" t="inlineStr">
        <is>
          <t>J</t>
        </is>
      </c>
      <c r="C5244" s="12" t="inlineStr">
        <is>
          <t>GT inlet chilling</t>
        </is>
      </c>
      <c r="D5244" s="12" t="inlineStr">
        <is>
          <t>Motor 8 of 12, 75 kW (VFD output)</t>
        </is>
      </c>
      <c r="E5244" s="12" t="inlineStr"/>
      <c r="F5244" s="12" t="inlineStr">
        <is>
          <t>Inlet-chilling e-house / transformer</t>
        </is>
      </c>
      <c r="G5244" s="12" t="inlineStr"/>
      <c r="H5244" s="12" t="inlineStr">
        <is>
          <t>Inlet-chilling tower (12 cells): chiller heat rejection</t>
        </is>
      </c>
      <c r="I5244" s="12" t="inlineStr">
        <is>
          <t>LV 600 V</t>
        </is>
      </c>
      <c r="J5244" s="12" t="inlineStr">
        <is>
          <t>VFD cable 600 V 3/C Cu XHHW-2, 3 symmetrical grounds, overall Cu tape shield, TC-ER</t>
        </is>
      </c>
      <c r="K5244" s="12" t="inlineStr">
        <is>
          <t>VFD|3/C+3G|2/0</t>
        </is>
      </c>
      <c r="L5244" s="12" t="inlineStr">
        <is>
          <t>3/C+3G</t>
        </is>
      </c>
      <c r="M5244" s="12" t="inlineStr">
        <is>
          <t>2/0</t>
        </is>
      </c>
      <c r="N5244" s="12" t="n">
        <v>1</v>
      </c>
      <c r="O5244" s="12" t="n">
        <v>1</v>
      </c>
      <c r="P5244" s="12" t="n">
        <v>480</v>
      </c>
      <c r="Q5244" s="12" t="n">
        <v>75</v>
      </c>
      <c r="R5244" s="12" t="n">
        <v>106</v>
      </c>
      <c r="S5244" s="12" t="inlineStr">
        <is>
          <t>Duct bank</t>
        </is>
      </c>
      <c r="T5244" s="17" t="n">
        <v>683</v>
      </c>
      <c r="U5244" s="17" t="n">
        <v>38</v>
      </c>
      <c r="V5244" s="17">
        <f>ROUNDUP((T5244+U5244+2*'Read Me'!$B$13)*(1+'Read Me'!$B$12),-1)</f>
        <v/>
      </c>
      <c r="W5244" s="17">
        <f>V5244*N5244*O5244</f>
        <v/>
      </c>
      <c r="X5244" s="12">
        <f>IF(LEFT(I5244,2)="MV",2*N5244*IF(L5244="1/C",O5244,1),0)</f>
        <v/>
      </c>
      <c r="Y5244" s="12">
        <f>IF(OR(LEFT(K5244,4)="LVAX",LEFT(K5244,6)="MV15AX",LEFT(K5244,4)="CTAX",LEFT(K5244,2)="W|"),2*N5244*O5244,0)</f>
        <v/>
      </c>
      <c r="Z5244" s="12" t="inlineStr">
        <is>
          <t>VD 2.9 %</t>
        </is>
      </c>
      <c r="AA5244" s="12">
        <f>N5244*O5244</f>
        <v/>
      </c>
    </row>
    <row r="5245">
      <c r="A5245" s="12" t="inlineStr">
        <is>
          <t>J-P-0020</t>
        </is>
      </c>
      <c r="B5245" s="12" t="inlineStr">
        <is>
          <t>J</t>
        </is>
      </c>
      <c r="C5245" s="12" t="inlineStr">
        <is>
          <t>GT inlet chilling</t>
        </is>
      </c>
      <c r="D5245" s="12" t="inlineStr">
        <is>
          <t>Motor 9 of 12, 75 kW (VFD output)</t>
        </is>
      </c>
      <c r="E5245" s="12" t="inlineStr"/>
      <c r="F5245" s="12" t="inlineStr">
        <is>
          <t>Inlet-chilling e-house / transformer</t>
        </is>
      </c>
      <c r="G5245" s="12" t="inlineStr"/>
      <c r="H5245" s="12" t="inlineStr">
        <is>
          <t>Inlet-chilling tower (12 cells): chiller heat rejection</t>
        </is>
      </c>
      <c r="I5245" s="12" t="inlineStr">
        <is>
          <t>LV 600 V</t>
        </is>
      </c>
      <c r="J5245" s="12" t="inlineStr">
        <is>
          <t>VFD cable 600 V 3/C Cu XHHW-2, 3 symmetrical grounds, overall Cu tape shield, TC-ER</t>
        </is>
      </c>
      <c r="K5245" s="12" t="inlineStr">
        <is>
          <t>VFD|3/C+3G|2/0</t>
        </is>
      </c>
      <c r="L5245" s="12" t="inlineStr">
        <is>
          <t>3/C+3G</t>
        </is>
      </c>
      <c r="M5245" s="12" t="inlineStr">
        <is>
          <t>2/0</t>
        </is>
      </c>
      <c r="N5245" s="12" t="n">
        <v>1</v>
      </c>
      <c r="O5245" s="12" t="n">
        <v>1</v>
      </c>
      <c r="P5245" s="12" t="n">
        <v>480</v>
      </c>
      <c r="Q5245" s="12" t="n">
        <v>75</v>
      </c>
      <c r="R5245" s="12" t="n">
        <v>106</v>
      </c>
      <c r="S5245" s="12" t="inlineStr">
        <is>
          <t>Duct bank</t>
        </is>
      </c>
      <c r="T5245" s="17" t="n">
        <v>683</v>
      </c>
      <c r="U5245" s="17" t="n">
        <v>38</v>
      </c>
      <c r="V5245" s="17">
        <f>ROUNDUP((T5245+U5245+2*'Read Me'!$B$13)*(1+'Read Me'!$B$12),-1)</f>
        <v/>
      </c>
      <c r="W5245" s="17">
        <f>V5245*N5245*O5245</f>
        <v/>
      </c>
      <c r="X5245" s="12">
        <f>IF(LEFT(I5245,2)="MV",2*N5245*IF(L5245="1/C",O5245,1),0)</f>
        <v/>
      </c>
      <c r="Y5245" s="12">
        <f>IF(OR(LEFT(K5245,4)="LVAX",LEFT(K5245,6)="MV15AX",LEFT(K5245,4)="CTAX",LEFT(K5245,2)="W|"),2*N5245*O5245,0)</f>
        <v/>
      </c>
      <c r="Z5245" s="12" t="inlineStr">
        <is>
          <t>VD 2.9 %</t>
        </is>
      </c>
      <c r="AA5245" s="12">
        <f>N5245*O5245</f>
        <v/>
      </c>
    </row>
    <row r="5246">
      <c r="A5246" s="12" t="inlineStr">
        <is>
          <t>J-P-0021</t>
        </is>
      </c>
      <c r="B5246" s="12" t="inlineStr">
        <is>
          <t>J</t>
        </is>
      </c>
      <c r="C5246" s="12" t="inlineStr">
        <is>
          <t>GT inlet chilling</t>
        </is>
      </c>
      <c r="D5246" s="12" t="inlineStr">
        <is>
          <t>Motor 10 of 12, 75 kW (VFD output)</t>
        </is>
      </c>
      <c r="E5246" s="12" t="inlineStr"/>
      <c r="F5246" s="12" t="inlineStr">
        <is>
          <t>Inlet-chilling e-house / transformer</t>
        </is>
      </c>
      <c r="G5246" s="12" t="inlineStr"/>
      <c r="H5246" s="12" t="inlineStr">
        <is>
          <t>Inlet-chilling tower (12 cells): chiller heat rejection</t>
        </is>
      </c>
      <c r="I5246" s="12" t="inlineStr">
        <is>
          <t>LV 600 V</t>
        </is>
      </c>
      <c r="J5246" s="12" t="inlineStr">
        <is>
          <t>VFD cable 600 V 3/C Cu XHHW-2, 3 symmetrical grounds, overall Cu tape shield, TC-ER</t>
        </is>
      </c>
      <c r="K5246" s="12" t="inlineStr">
        <is>
          <t>VFD|3/C+3G|2/0</t>
        </is>
      </c>
      <c r="L5246" s="12" t="inlineStr">
        <is>
          <t>3/C+3G</t>
        </is>
      </c>
      <c r="M5246" s="12" t="inlineStr">
        <is>
          <t>2/0</t>
        </is>
      </c>
      <c r="N5246" s="12" t="n">
        <v>1</v>
      </c>
      <c r="O5246" s="12" t="n">
        <v>1</v>
      </c>
      <c r="P5246" s="12" t="n">
        <v>480</v>
      </c>
      <c r="Q5246" s="12" t="n">
        <v>75</v>
      </c>
      <c r="R5246" s="12" t="n">
        <v>106</v>
      </c>
      <c r="S5246" s="12" t="inlineStr">
        <is>
          <t>Duct bank</t>
        </is>
      </c>
      <c r="T5246" s="17" t="n">
        <v>683</v>
      </c>
      <c r="U5246" s="17" t="n">
        <v>38</v>
      </c>
      <c r="V5246" s="17">
        <f>ROUNDUP((T5246+U5246+2*'Read Me'!$B$13)*(1+'Read Me'!$B$12),-1)</f>
        <v/>
      </c>
      <c r="W5246" s="17">
        <f>V5246*N5246*O5246</f>
        <v/>
      </c>
      <c r="X5246" s="12">
        <f>IF(LEFT(I5246,2)="MV",2*N5246*IF(L5246="1/C",O5246,1),0)</f>
        <v/>
      </c>
      <c r="Y5246" s="12">
        <f>IF(OR(LEFT(K5246,4)="LVAX",LEFT(K5246,6)="MV15AX",LEFT(K5246,4)="CTAX",LEFT(K5246,2)="W|"),2*N5246*O5246,0)</f>
        <v/>
      </c>
      <c r="Z5246" s="12" t="inlineStr">
        <is>
          <t>VD 2.9 %</t>
        </is>
      </c>
      <c r="AA5246" s="12">
        <f>N5246*O5246</f>
        <v/>
      </c>
    </row>
    <row r="5247">
      <c r="A5247" s="12" t="inlineStr">
        <is>
          <t>J-P-0022</t>
        </is>
      </c>
      <c r="B5247" s="12" t="inlineStr">
        <is>
          <t>J</t>
        </is>
      </c>
      <c r="C5247" s="12" t="inlineStr">
        <is>
          <t>GT inlet chilling</t>
        </is>
      </c>
      <c r="D5247" s="12" t="inlineStr">
        <is>
          <t>Motor 11 of 12, 75 kW (VFD output)</t>
        </is>
      </c>
      <c r="E5247" s="12" t="inlineStr"/>
      <c r="F5247" s="12" t="inlineStr">
        <is>
          <t>Inlet-chilling e-house / transformer</t>
        </is>
      </c>
      <c r="G5247" s="12" t="inlineStr"/>
      <c r="H5247" s="12" t="inlineStr">
        <is>
          <t>Inlet-chilling tower (12 cells): chiller heat rejection</t>
        </is>
      </c>
      <c r="I5247" s="12" t="inlineStr">
        <is>
          <t>LV 600 V</t>
        </is>
      </c>
      <c r="J5247" s="12" t="inlineStr">
        <is>
          <t>VFD cable 600 V 3/C Cu XHHW-2, 3 symmetrical grounds, overall Cu tape shield, TC-ER</t>
        </is>
      </c>
      <c r="K5247" s="12" t="inlineStr">
        <is>
          <t>VFD|3/C+3G|2/0</t>
        </is>
      </c>
      <c r="L5247" s="12" t="inlineStr">
        <is>
          <t>3/C+3G</t>
        </is>
      </c>
      <c r="M5247" s="12" t="inlineStr">
        <is>
          <t>2/0</t>
        </is>
      </c>
      <c r="N5247" s="12" t="n">
        <v>1</v>
      </c>
      <c r="O5247" s="12" t="n">
        <v>1</v>
      </c>
      <c r="P5247" s="12" t="n">
        <v>480</v>
      </c>
      <c r="Q5247" s="12" t="n">
        <v>75</v>
      </c>
      <c r="R5247" s="12" t="n">
        <v>106</v>
      </c>
      <c r="S5247" s="12" t="inlineStr">
        <is>
          <t>Duct bank</t>
        </is>
      </c>
      <c r="T5247" s="17" t="n">
        <v>683</v>
      </c>
      <c r="U5247" s="17" t="n">
        <v>38</v>
      </c>
      <c r="V5247" s="17">
        <f>ROUNDUP((T5247+U5247+2*'Read Me'!$B$13)*(1+'Read Me'!$B$12),-1)</f>
        <v/>
      </c>
      <c r="W5247" s="17">
        <f>V5247*N5247*O5247</f>
        <v/>
      </c>
      <c r="X5247" s="12">
        <f>IF(LEFT(I5247,2)="MV",2*N5247*IF(L5247="1/C",O5247,1),0)</f>
        <v/>
      </c>
      <c r="Y5247" s="12">
        <f>IF(OR(LEFT(K5247,4)="LVAX",LEFT(K5247,6)="MV15AX",LEFT(K5247,4)="CTAX",LEFT(K5247,2)="W|"),2*N5247*O5247,0)</f>
        <v/>
      </c>
      <c r="Z5247" s="12" t="inlineStr">
        <is>
          <t>VD 2.9 %</t>
        </is>
      </c>
      <c r="AA5247" s="12">
        <f>N5247*O5247</f>
        <v/>
      </c>
    </row>
    <row r="5248">
      <c r="A5248" s="12" t="inlineStr">
        <is>
          <t>J-P-0023</t>
        </is>
      </c>
      <c r="B5248" s="12" t="inlineStr">
        <is>
          <t>J</t>
        </is>
      </c>
      <c r="C5248" s="12" t="inlineStr">
        <is>
          <t>GT inlet chilling</t>
        </is>
      </c>
      <c r="D5248" s="12" t="inlineStr">
        <is>
          <t>Motor 12 of 12, 75 kW (VFD output)</t>
        </is>
      </c>
      <c r="E5248" s="12" t="inlineStr"/>
      <c r="F5248" s="12" t="inlineStr">
        <is>
          <t>Inlet-chilling e-house / transformer</t>
        </is>
      </c>
      <c r="G5248" s="12" t="inlineStr"/>
      <c r="H5248" s="12" t="inlineStr">
        <is>
          <t>Inlet-chilling tower (12 cells): chiller heat rejection</t>
        </is>
      </c>
      <c r="I5248" s="12" t="inlineStr">
        <is>
          <t>LV 600 V</t>
        </is>
      </c>
      <c r="J5248" s="12" t="inlineStr">
        <is>
          <t>VFD cable 600 V 3/C Cu XHHW-2, 3 symmetrical grounds, overall Cu tape shield, TC-ER</t>
        </is>
      </c>
      <c r="K5248" s="12" t="inlineStr">
        <is>
          <t>VFD|3/C+3G|2/0</t>
        </is>
      </c>
      <c r="L5248" s="12" t="inlineStr">
        <is>
          <t>3/C+3G</t>
        </is>
      </c>
      <c r="M5248" s="12" t="inlineStr">
        <is>
          <t>2/0</t>
        </is>
      </c>
      <c r="N5248" s="12" t="n">
        <v>1</v>
      </c>
      <c r="O5248" s="12" t="n">
        <v>1</v>
      </c>
      <c r="P5248" s="12" t="n">
        <v>480</v>
      </c>
      <c r="Q5248" s="12" t="n">
        <v>75</v>
      </c>
      <c r="R5248" s="12" t="n">
        <v>106</v>
      </c>
      <c r="S5248" s="12" t="inlineStr">
        <is>
          <t>Duct bank</t>
        </is>
      </c>
      <c r="T5248" s="17" t="n">
        <v>683</v>
      </c>
      <c r="U5248" s="17" t="n">
        <v>38</v>
      </c>
      <c r="V5248" s="17">
        <f>ROUNDUP((T5248+U5248+2*'Read Me'!$B$13)*(1+'Read Me'!$B$12),-1)</f>
        <v/>
      </c>
      <c r="W5248" s="17">
        <f>V5248*N5248*O5248</f>
        <v/>
      </c>
      <c r="X5248" s="12">
        <f>IF(LEFT(I5248,2)="MV",2*N5248*IF(L5248="1/C",O5248,1),0)</f>
        <v/>
      </c>
      <c r="Y5248" s="12">
        <f>IF(OR(LEFT(K5248,4)="LVAX",LEFT(K5248,6)="MV15AX",LEFT(K5248,4)="CTAX",LEFT(K5248,2)="W|"),2*N5248*O5248,0)</f>
        <v/>
      </c>
      <c r="Z5248" s="12" t="inlineStr">
        <is>
          <t>VD 2.9 %</t>
        </is>
      </c>
      <c r="AA5248" s="12">
        <f>N5248*O5248</f>
        <v/>
      </c>
    </row>
    <row r="5249">
      <c r="A5249" s="12" t="inlineStr">
        <is>
          <t>J-P-0024</t>
        </is>
      </c>
      <c r="B5249" s="12" t="inlineStr">
        <is>
          <t>J</t>
        </is>
      </c>
      <c r="C5249" s="12" t="inlineStr">
        <is>
          <t>GT inlet chilling</t>
        </is>
      </c>
      <c r="D5249" s="12" t="inlineStr">
        <is>
          <t>Area / platform lighting circuit 1 (12 fixtures)</t>
        </is>
      </c>
      <c r="E5249" s="12" t="inlineStr"/>
      <c r="F5249" s="12" t="inlineStr">
        <is>
          <t>Inlet-chilling e-house / transformer</t>
        </is>
      </c>
      <c r="G5249" s="12" t="inlineStr"/>
      <c r="H5249" s="12" t="inlineStr">
        <is>
          <t>Inlet-chilling tower (12 cells): chiller heat rejection</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3</v>
      </c>
      <c r="R5249" s="12" t="n">
        <v>5</v>
      </c>
      <c r="S5249" s="12" t="inlineStr">
        <is>
          <t>Duct bank</t>
        </is>
      </c>
      <c r="T5249" s="17" t="n">
        <v>778</v>
      </c>
      <c r="U5249" s="17" t="n">
        <v>38</v>
      </c>
      <c r="V5249" s="17">
        <f>ROUNDUP((T5249+U5249+2*'Read Me'!$B$13)*(1+'Read Me'!$B$12),-1)</f>
        <v/>
      </c>
      <c r="W5249" s="17">
        <f>V5249*N5249*O5249</f>
        <v/>
      </c>
      <c r="X5249" s="12">
        <f>IF(LEFT(I5249,2)="MV",2*N5249*IF(L5249="1/C",O5249,1),0)</f>
        <v/>
      </c>
      <c r="Y5249" s="12">
        <f>IF(OR(LEFT(K5249,4)="LVAX",LEFT(K5249,6)="MV15AX",LEFT(K5249,4)="CTAX",LEFT(K5249,2)="W|"),2*N5249*O5249,0)</f>
        <v/>
      </c>
      <c r="Z5249" s="12" t="inlineStr">
        <is>
          <t>fixture-to-fixture run included</t>
        </is>
      </c>
      <c r="AA5249" s="12">
        <f>N5249*O5249</f>
        <v/>
      </c>
    </row>
    <row r="5250">
      <c r="A5250" s="12" t="inlineStr">
        <is>
          <t>J-MV-0001</t>
        </is>
      </c>
      <c r="B5250" s="12" t="inlineStr">
        <is>
          <t>J</t>
        </is>
      </c>
      <c r="C5250" s="12" t="inlineStr">
        <is>
          <t>GT inlet chilling</t>
        </is>
      </c>
      <c r="D5250" s="12" t="inlineStr">
        <is>
          <t>Inlet-chilling e-house / transformer</t>
        </is>
      </c>
      <c r="E5250" s="12" t="inlineStr">
        <is>
          <t>SWGR-13.8-1</t>
        </is>
      </c>
      <c r="F5250" s="12" t="inlineStr">
        <is>
          <t>R1 SWGR-13.8-1 (11 x 36 in cubicles, 15 kV metal-clad)</t>
        </is>
      </c>
      <c r="G5250" s="12" t="inlineStr"/>
      <c r="H5250" s="12" t="inlineStr">
        <is>
          <t>Inlet-chilling e-house / transformer</t>
        </is>
      </c>
      <c r="I5250" s="12" t="inlineStr">
        <is>
          <t>MV 15 kV</t>
        </is>
      </c>
      <c r="J5250" s="12" t="inlineStr">
        <is>
          <t>MV-105 15 kV 1/C Cu, EPR 133%, Cu tape shield, PVC jacket (triplexed)</t>
        </is>
      </c>
      <c r="K5250" s="12" t="inlineStr">
        <is>
          <t>MV15|1/C|1000</t>
        </is>
      </c>
      <c r="L5250" s="12" t="inlineStr">
        <is>
          <t>1/C</t>
        </is>
      </c>
      <c r="M5250" s="12" t="inlineStr">
        <is>
          <t>1000 kcmil</t>
        </is>
      </c>
      <c r="N5250" s="12" t="n">
        <v>1</v>
      </c>
      <c r="O5250" s="12" t="n">
        <v>3</v>
      </c>
      <c r="P5250" s="12" t="n">
        <v>13800</v>
      </c>
      <c r="Q5250" s="12" t="n">
        <v>12000</v>
      </c>
      <c r="R5250" s="12" t="n">
        <v>502</v>
      </c>
      <c r="S5250" s="12" t="inlineStr">
        <is>
          <t>Duct bank</t>
        </is>
      </c>
      <c r="T5250" s="17" t="n">
        <v>629</v>
      </c>
      <c r="U5250" s="17" t="n">
        <v>38</v>
      </c>
      <c r="V5250" s="17">
        <f>ROUNDUP((T5250+U5250+2*'Read Me'!$B$13)*(1+'Read Me'!$B$12),-1)</f>
        <v/>
      </c>
      <c r="W5250" s="17">
        <f>V5250*N5250*O5250</f>
        <v/>
      </c>
      <c r="X5250" s="12">
        <f>IF(LEFT(I5250,2)="MV",2*N5250*IF(L5250="1/C",O5250,1),0)</f>
        <v/>
      </c>
      <c r="Y5250" s="12">
        <f>IF(OR(LEFT(K5250,4)="LVAX",LEFT(K5250,6)="MV15AX",LEFT(K5250,4)="CTAX",LEFT(K5250,2)="W|"),2*N5250*O5250,0)</f>
        <v/>
      </c>
      <c r="Z5250" s="12" t="inlineStr"/>
      <c r="AA5250" s="12">
        <f>N5250*O5250</f>
        <v/>
      </c>
    </row>
    <row r="5251">
      <c r="A5251" s="12" t="inlineStr">
        <is>
          <t>J-MV-0002</t>
        </is>
      </c>
      <c r="B5251" s="12" t="inlineStr">
        <is>
          <t>J</t>
        </is>
      </c>
      <c r="C5251" s="12" t="inlineStr">
        <is>
          <t>GT inlet chilling</t>
        </is>
      </c>
      <c r="D5251" s="12" t="inlineStr">
        <is>
          <t>Inlet-chilling CW pump 1</t>
        </is>
      </c>
      <c r="E5251" s="12" t="inlineStr"/>
      <c r="F5251" s="12" t="inlineStr">
        <is>
          <t>Inlet-chilling e-house / transformer</t>
        </is>
      </c>
      <c r="G5251" s="12" t="inlineStr"/>
      <c r="H5251" s="12" t="inlineStr">
        <is>
          <t>CW pumps (inlet chilling)</t>
        </is>
      </c>
      <c r="I5251" s="12" t="inlineStr">
        <is>
          <t>MV 5 kV</t>
        </is>
      </c>
      <c r="J5251" s="12" t="inlineStr">
        <is>
          <t>MV-105 5 kV 3/C Cu, EPR 133%, tape shield, gnd, PVC jacket</t>
        </is>
      </c>
      <c r="K5251" s="12" t="inlineStr">
        <is>
          <t>MV5|3/C|2</t>
        </is>
      </c>
      <c r="L5251" s="12" t="inlineStr">
        <is>
          <t>3/C</t>
        </is>
      </c>
      <c r="M5251" s="12" t="inlineStr">
        <is>
          <t>2</t>
        </is>
      </c>
      <c r="N5251" s="12" t="n">
        <v>1</v>
      </c>
      <c r="O5251" s="12" t="n">
        <v>1</v>
      </c>
      <c r="P5251" s="12" t="n">
        <v>4160</v>
      </c>
      <c r="Q5251" s="12" t="n">
        <v>450</v>
      </c>
      <c r="R5251" s="12" t="n">
        <v>69</v>
      </c>
      <c r="S5251" s="12" t="inlineStr">
        <is>
          <t>Tray</t>
        </is>
      </c>
      <c r="T5251" s="17" t="n">
        <v>0</v>
      </c>
      <c r="U5251" s="17" t="n">
        <v>70</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J-MV-0003</t>
        </is>
      </c>
      <c r="B5252" s="12" t="inlineStr">
        <is>
          <t>J</t>
        </is>
      </c>
      <c r="C5252" s="12" t="inlineStr">
        <is>
          <t>GT inlet chilling</t>
        </is>
      </c>
      <c r="D5252" s="12" t="inlineStr">
        <is>
          <t>Inlet-chilling CW pump 2</t>
        </is>
      </c>
      <c r="E5252" s="12" t="inlineStr"/>
      <c r="F5252" s="12" t="inlineStr">
        <is>
          <t>Inlet-chilling e-house / transformer</t>
        </is>
      </c>
      <c r="G5252" s="12" t="inlineStr"/>
      <c r="H5252" s="12" t="inlineStr">
        <is>
          <t>CW pumps (inlet chilling)</t>
        </is>
      </c>
      <c r="I5252" s="12" t="inlineStr">
        <is>
          <t>MV 5 kV</t>
        </is>
      </c>
      <c r="J5252" s="12" t="inlineStr">
        <is>
          <t>MV-105 5 kV 3/C Cu, EPR 133%, tape shield, gnd, PVC jacket</t>
        </is>
      </c>
      <c r="K5252" s="12" t="inlineStr">
        <is>
          <t>MV5|3/C|2</t>
        </is>
      </c>
      <c r="L5252" s="12" t="inlineStr">
        <is>
          <t>3/C</t>
        </is>
      </c>
      <c r="M5252" s="12" t="inlineStr">
        <is>
          <t>2</t>
        </is>
      </c>
      <c r="N5252" s="12" t="n">
        <v>1</v>
      </c>
      <c r="O5252" s="12" t="n">
        <v>1</v>
      </c>
      <c r="P5252" s="12" t="n">
        <v>4160</v>
      </c>
      <c r="Q5252" s="12" t="n">
        <v>450</v>
      </c>
      <c r="R5252" s="12" t="n">
        <v>69</v>
      </c>
      <c r="S5252" s="12" t="inlineStr">
        <is>
          <t>Tray</t>
        </is>
      </c>
      <c r="T5252" s="17" t="n">
        <v>0</v>
      </c>
      <c r="U5252" s="17" t="n">
        <v>70</v>
      </c>
      <c r="V5252" s="17">
        <f>ROUNDUP((T5252+U5252+2*'Read Me'!$B$13)*(1+'Read Me'!$B$12),-1)</f>
        <v/>
      </c>
      <c r="W5252" s="17">
        <f>V5252*N5252*O5252</f>
        <v/>
      </c>
      <c r="X5252" s="12">
        <f>IF(LEFT(I5252,2)="MV",2*N5252*IF(L5252="1/C",O5252,1),0)</f>
        <v/>
      </c>
      <c r="Y5252" s="12">
        <f>IF(OR(LEFT(K5252,4)="LVAX",LEFT(K5252,6)="MV15AX",LEFT(K5252,4)="CTAX",LEFT(K5252,2)="W|"),2*N5252*O5252,0)</f>
        <v/>
      </c>
      <c r="Z5252" s="12" t="inlineStr"/>
      <c r="AA5252" s="12">
        <f>N5252*O5252</f>
        <v/>
      </c>
    </row>
    <row r="5253">
      <c r="A5253" s="12" t="inlineStr">
        <is>
          <t>J-MV-0004</t>
        </is>
      </c>
      <c r="B5253" s="12" t="inlineStr">
        <is>
          <t>J</t>
        </is>
      </c>
      <c r="C5253" s="12" t="inlineStr">
        <is>
          <t>GT inlet chilling</t>
        </is>
      </c>
      <c r="D5253" s="12" t="inlineStr">
        <is>
          <t>Inlet-chilling CW pump 3</t>
        </is>
      </c>
      <c r="E5253" s="12" t="inlineStr"/>
      <c r="F5253" s="12" t="inlineStr">
        <is>
          <t>Inlet-chilling e-house / transformer</t>
        </is>
      </c>
      <c r="G5253" s="12" t="inlineStr"/>
      <c r="H5253" s="12" t="inlineStr">
        <is>
          <t>CW pumps (inlet chilling)</t>
        </is>
      </c>
      <c r="I5253" s="12" t="inlineStr">
        <is>
          <t>MV 5 kV</t>
        </is>
      </c>
      <c r="J5253" s="12" t="inlineStr">
        <is>
          <t>MV-105 5 kV 3/C Cu, EPR 133%, tape shield, gnd, PVC jacket</t>
        </is>
      </c>
      <c r="K5253" s="12" t="inlineStr">
        <is>
          <t>MV5|3/C|2</t>
        </is>
      </c>
      <c r="L5253" s="12" t="inlineStr">
        <is>
          <t>3/C</t>
        </is>
      </c>
      <c r="M5253" s="12" t="inlineStr">
        <is>
          <t>2</t>
        </is>
      </c>
      <c r="N5253" s="12" t="n">
        <v>1</v>
      </c>
      <c r="O5253" s="12" t="n">
        <v>1</v>
      </c>
      <c r="P5253" s="12" t="n">
        <v>4160</v>
      </c>
      <c r="Q5253" s="12" t="n">
        <v>450</v>
      </c>
      <c r="R5253" s="12" t="n">
        <v>69</v>
      </c>
      <c r="S5253" s="12" t="inlineStr">
        <is>
          <t>Tray</t>
        </is>
      </c>
      <c r="T5253" s="17" t="n">
        <v>0</v>
      </c>
      <c r="U5253" s="17" t="n">
        <v>70</v>
      </c>
      <c r="V5253" s="17">
        <f>ROUNDUP((T5253+U5253+2*'Read Me'!$B$13)*(1+'Read Me'!$B$12),-1)</f>
        <v/>
      </c>
      <c r="W5253" s="17">
        <f>V5253*N5253*O5253</f>
        <v/>
      </c>
      <c r="X5253" s="12">
        <f>IF(LEFT(I5253,2)="MV",2*N5253*IF(L5253="1/C",O5253,1),0)</f>
        <v/>
      </c>
      <c r="Y5253" s="12">
        <f>IF(OR(LEFT(K5253,4)="LVAX",LEFT(K5253,6)="MV15AX",LEFT(K5253,4)="CTAX",LEFT(K5253,2)="W|"),2*N5253*O5253,0)</f>
        <v/>
      </c>
      <c r="Z5253" s="12" t="inlineStr"/>
      <c r="AA5253" s="12">
        <f>N5253*O5253</f>
        <v/>
      </c>
    </row>
    <row r="5254">
      <c r="A5254" s="12" t="inlineStr">
        <is>
          <t>J-MV-0005</t>
        </is>
      </c>
      <c r="B5254" s="12" t="inlineStr">
        <is>
          <t>J</t>
        </is>
      </c>
      <c r="C5254" s="12" t="inlineStr">
        <is>
          <t>GT inlet chilling</t>
        </is>
      </c>
      <c r="D5254" s="12" t="inlineStr">
        <is>
          <t>Inlet-chilling CW pump 4</t>
        </is>
      </c>
      <c r="E5254" s="12" t="inlineStr"/>
      <c r="F5254" s="12" t="inlineStr">
        <is>
          <t>Inlet-chilling e-house / transformer</t>
        </is>
      </c>
      <c r="G5254" s="12" t="inlineStr"/>
      <c r="H5254" s="12" t="inlineStr">
        <is>
          <t>CW pumps (inlet chilling)</t>
        </is>
      </c>
      <c r="I5254" s="12" t="inlineStr">
        <is>
          <t>MV 5 kV</t>
        </is>
      </c>
      <c r="J5254" s="12" t="inlineStr">
        <is>
          <t>MV-105 5 kV 3/C Cu, EPR 133%, tape shield, gnd, PVC jacket</t>
        </is>
      </c>
      <c r="K5254" s="12" t="inlineStr">
        <is>
          <t>MV5|3/C|2</t>
        </is>
      </c>
      <c r="L5254" s="12" t="inlineStr">
        <is>
          <t>3/C</t>
        </is>
      </c>
      <c r="M5254" s="12" t="inlineStr">
        <is>
          <t>2</t>
        </is>
      </c>
      <c r="N5254" s="12" t="n">
        <v>1</v>
      </c>
      <c r="O5254" s="12" t="n">
        <v>1</v>
      </c>
      <c r="P5254" s="12" t="n">
        <v>4160</v>
      </c>
      <c r="Q5254" s="12" t="n">
        <v>450</v>
      </c>
      <c r="R5254" s="12" t="n">
        <v>69</v>
      </c>
      <c r="S5254" s="12" t="inlineStr">
        <is>
          <t>Tray</t>
        </is>
      </c>
      <c r="T5254" s="17" t="n">
        <v>0</v>
      </c>
      <c r="U5254" s="17" t="n">
        <v>70</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J-MV-0006</t>
        </is>
      </c>
      <c r="B5255" s="12" t="inlineStr">
        <is>
          <t>J</t>
        </is>
      </c>
      <c r="C5255" s="12" t="inlineStr">
        <is>
          <t>GT inlet chilling</t>
        </is>
      </c>
      <c r="D5255" s="12" t="inlineStr">
        <is>
          <t>Water-cooled chiller CH-1</t>
        </is>
      </c>
      <c r="E5255" s="12" t="inlineStr"/>
      <c r="F5255" s="12" t="inlineStr">
        <is>
          <t>Inlet-chilling e-house / transformer</t>
        </is>
      </c>
      <c r="G5255" s="12" t="inlineStr"/>
      <c r="H5255" s="12" t="inlineStr">
        <is>
          <t>Chillers x6 (water-cooled)</t>
        </is>
      </c>
      <c r="I5255" s="12" t="inlineStr">
        <is>
          <t>MV 5 kV</t>
        </is>
      </c>
      <c r="J5255" s="12" t="inlineStr">
        <is>
          <t>MV-105 5 kV 3/C Cu, EPR 133%, tape shield, gnd, PVC jacket</t>
        </is>
      </c>
      <c r="K5255" s="12" t="inlineStr">
        <is>
          <t>MV5|3/C|250</t>
        </is>
      </c>
      <c r="L5255" s="12" t="inlineStr">
        <is>
          <t>3/C</t>
        </is>
      </c>
      <c r="M5255" s="12" t="inlineStr">
        <is>
          <t>250 kcmil</t>
        </is>
      </c>
      <c r="N5255" s="12" t="n">
        <v>1</v>
      </c>
      <c r="O5255" s="12" t="n">
        <v>1</v>
      </c>
      <c r="P5255" s="12" t="n">
        <v>4160</v>
      </c>
      <c r="Q5255" s="12" t="n">
        <v>1500</v>
      </c>
      <c r="R5255" s="12" t="n">
        <v>231</v>
      </c>
      <c r="S5255" s="12" t="inlineStr">
        <is>
          <t>Duct bank</t>
        </is>
      </c>
      <c r="T5255" s="17" t="n">
        <v>10</v>
      </c>
      <c r="U5255" s="17" t="n">
        <v>32</v>
      </c>
      <c r="V5255" s="17">
        <f>ROUNDUP((T5255+U5255+2*'Read Me'!$B$13)*(1+'Read Me'!$B$12),-1)</f>
        <v/>
      </c>
      <c r="W5255" s="17">
        <f>V5255*N5255*O5255</f>
        <v/>
      </c>
      <c r="X5255" s="12">
        <f>IF(LEFT(I5255,2)="MV",2*N5255*IF(L5255="1/C",O5255,1),0)</f>
        <v/>
      </c>
      <c r="Y5255" s="12">
        <f>IF(OR(LEFT(K5255,4)="LVAX",LEFT(K5255,6)="MV15AX",LEFT(K5255,4)="CTAX",LEFT(K5255,2)="W|"),2*N5255*O5255,0)</f>
        <v/>
      </c>
      <c r="Z5255" s="12" t="inlineStr"/>
      <c r="AA5255" s="12">
        <f>N5255*O5255</f>
        <v/>
      </c>
    </row>
    <row r="5256">
      <c r="A5256" s="12" t="inlineStr">
        <is>
          <t>J-MV-0007</t>
        </is>
      </c>
      <c r="B5256" s="12" t="inlineStr">
        <is>
          <t>J</t>
        </is>
      </c>
      <c r="C5256" s="12" t="inlineStr">
        <is>
          <t>GT inlet chilling</t>
        </is>
      </c>
      <c r="D5256" s="12" t="inlineStr">
        <is>
          <t>Water-cooled chiller CH-2</t>
        </is>
      </c>
      <c r="E5256" s="12" t="inlineStr"/>
      <c r="F5256" s="12" t="inlineStr">
        <is>
          <t>Inlet-chilling e-house / transformer</t>
        </is>
      </c>
      <c r="G5256" s="12" t="inlineStr"/>
      <c r="H5256" s="12" t="inlineStr">
        <is>
          <t>Chillers x6 (water-cooled)</t>
        </is>
      </c>
      <c r="I5256" s="12" t="inlineStr">
        <is>
          <t>MV 5 kV</t>
        </is>
      </c>
      <c r="J5256" s="12" t="inlineStr">
        <is>
          <t>MV-105 5 kV 3/C Cu, EPR 133%, tape shield, gnd, PVC jacket</t>
        </is>
      </c>
      <c r="K5256" s="12" t="inlineStr">
        <is>
          <t>MV5|3/C|250</t>
        </is>
      </c>
      <c r="L5256" s="12" t="inlineStr">
        <is>
          <t>3/C</t>
        </is>
      </c>
      <c r="M5256" s="12" t="inlineStr">
        <is>
          <t>250 kcmil</t>
        </is>
      </c>
      <c r="N5256" s="12" t="n">
        <v>1</v>
      </c>
      <c r="O5256" s="12" t="n">
        <v>1</v>
      </c>
      <c r="P5256" s="12" t="n">
        <v>4160</v>
      </c>
      <c r="Q5256" s="12" t="n">
        <v>1500</v>
      </c>
      <c r="R5256" s="12" t="n">
        <v>231</v>
      </c>
      <c r="S5256" s="12" t="inlineStr">
        <is>
          <t>Duct bank</t>
        </is>
      </c>
      <c r="T5256" s="17" t="n">
        <v>10</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c r="AA5256" s="12">
        <f>N5256*O5256</f>
        <v/>
      </c>
    </row>
    <row r="5257">
      <c r="A5257" s="12" t="inlineStr">
        <is>
          <t>J-MV-0008</t>
        </is>
      </c>
      <c r="B5257" s="12" t="inlineStr">
        <is>
          <t>J</t>
        </is>
      </c>
      <c r="C5257" s="12" t="inlineStr">
        <is>
          <t>GT inlet chilling</t>
        </is>
      </c>
      <c r="D5257" s="12" t="inlineStr">
        <is>
          <t>Water-cooled chiller CH-3</t>
        </is>
      </c>
      <c r="E5257" s="12" t="inlineStr"/>
      <c r="F5257" s="12" t="inlineStr">
        <is>
          <t>Inlet-chilling e-house / transformer</t>
        </is>
      </c>
      <c r="G5257" s="12" t="inlineStr"/>
      <c r="H5257" s="12" t="inlineStr">
        <is>
          <t>Chillers x6 (water-cooled)</t>
        </is>
      </c>
      <c r="I5257" s="12" t="inlineStr">
        <is>
          <t>MV 5 kV</t>
        </is>
      </c>
      <c r="J5257" s="12" t="inlineStr">
        <is>
          <t>MV-105 5 kV 3/C Cu, EPR 133%, tape shield, gnd, PVC jacket</t>
        </is>
      </c>
      <c r="K5257" s="12" t="inlineStr">
        <is>
          <t>MV5|3/C|250</t>
        </is>
      </c>
      <c r="L5257" s="12" t="inlineStr">
        <is>
          <t>3/C</t>
        </is>
      </c>
      <c r="M5257" s="12" t="inlineStr">
        <is>
          <t>250 kcmil</t>
        </is>
      </c>
      <c r="N5257" s="12" t="n">
        <v>1</v>
      </c>
      <c r="O5257" s="12" t="n">
        <v>1</v>
      </c>
      <c r="P5257" s="12" t="n">
        <v>4160</v>
      </c>
      <c r="Q5257" s="12" t="n">
        <v>1500</v>
      </c>
      <c r="R5257" s="12" t="n">
        <v>231</v>
      </c>
      <c r="S5257" s="12" t="inlineStr">
        <is>
          <t>Duct bank</t>
        </is>
      </c>
      <c r="T5257" s="17" t="n">
        <v>10</v>
      </c>
      <c r="U5257" s="17" t="n">
        <v>32</v>
      </c>
      <c r="V5257" s="17">
        <f>ROUNDUP((T5257+U5257+2*'Read Me'!$B$13)*(1+'Read Me'!$B$12),-1)</f>
        <v/>
      </c>
      <c r="W5257" s="17">
        <f>V5257*N5257*O5257</f>
        <v/>
      </c>
      <c r="X5257" s="12">
        <f>IF(LEFT(I5257,2)="MV",2*N5257*IF(L5257="1/C",O5257,1),0)</f>
        <v/>
      </c>
      <c r="Y5257" s="12">
        <f>IF(OR(LEFT(K5257,4)="LVAX",LEFT(K5257,6)="MV15AX",LEFT(K5257,4)="CTAX",LEFT(K5257,2)="W|"),2*N5257*O5257,0)</f>
        <v/>
      </c>
      <c r="Z5257" s="12" t="inlineStr"/>
      <c r="AA5257" s="12">
        <f>N5257*O5257</f>
        <v/>
      </c>
    </row>
    <row r="5258">
      <c r="A5258" s="12" t="inlineStr">
        <is>
          <t>J-MV-0009</t>
        </is>
      </c>
      <c r="B5258" s="12" t="inlineStr">
        <is>
          <t>J</t>
        </is>
      </c>
      <c r="C5258" s="12" t="inlineStr">
        <is>
          <t>GT inlet chilling</t>
        </is>
      </c>
      <c r="D5258" s="12" t="inlineStr">
        <is>
          <t>Water-cooled chiller CH-4</t>
        </is>
      </c>
      <c r="E5258" s="12" t="inlineStr"/>
      <c r="F5258" s="12" t="inlineStr">
        <is>
          <t>Inlet-chilling e-house / transformer</t>
        </is>
      </c>
      <c r="G5258" s="12" t="inlineStr"/>
      <c r="H5258" s="12" t="inlineStr">
        <is>
          <t>Chillers x6 (water-cooled)</t>
        </is>
      </c>
      <c r="I5258" s="12" t="inlineStr">
        <is>
          <t>MV 5 kV</t>
        </is>
      </c>
      <c r="J5258" s="12" t="inlineStr">
        <is>
          <t>MV-105 5 kV 3/C Cu, EPR 133%, tape shield, gnd, PVC jacket</t>
        </is>
      </c>
      <c r="K5258" s="12" t="inlineStr">
        <is>
          <t>MV5|3/C|250</t>
        </is>
      </c>
      <c r="L5258" s="12" t="inlineStr">
        <is>
          <t>3/C</t>
        </is>
      </c>
      <c r="M5258" s="12" t="inlineStr">
        <is>
          <t>250 kcmil</t>
        </is>
      </c>
      <c r="N5258" s="12" t="n">
        <v>1</v>
      </c>
      <c r="O5258" s="12" t="n">
        <v>1</v>
      </c>
      <c r="P5258" s="12" t="n">
        <v>4160</v>
      </c>
      <c r="Q5258" s="12" t="n">
        <v>1500</v>
      </c>
      <c r="R5258" s="12" t="n">
        <v>231</v>
      </c>
      <c r="S5258" s="12" t="inlineStr">
        <is>
          <t>Duct bank</t>
        </is>
      </c>
      <c r="T5258" s="17" t="n">
        <v>10</v>
      </c>
      <c r="U5258" s="17" t="n">
        <v>32</v>
      </c>
      <c r="V5258" s="17">
        <f>ROUNDUP((T5258+U5258+2*'Read Me'!$B$13)*(1+'Read Me'!$B$12),-1)</f>
        <v/>
      </c>
      <c r="W5258" s="17">
        <f>V5258*N5258*O5258</f>
        <v/>
      </c>
      <c r="X5258" s="12">
        <f>IF(LEFT(I5258,2)="MV",2*N5258*IF(L5258="1/C",O5258,1),0)</f>
        <v/>
      </c>
      <c r="Y5258" s="12">
        <f>IF(OR(LEFT(K5258,4)="LVAX",LEFT(K5258,6)="MV15AX",LEFT(K5258,4)="CTAX",LEFT(K5258,2)="W|"),2*N5258*O5258,0)</f>
        <v/>
      </c>
      <c r="Z5258" s="12" t="inlineStr"/>
      <c r="AA5258" s="12">
        <f>N5258*O5258</f>
        <v/>
      </c>
    </row>
    <row r="5259">
      <c r="A5259" s="12" t="inlineStr">
        <is>
          <t>J-MV-0010</t>
        </is>
      </c>
      <c r="B5259" s="12" t="inlineStr">
        <is>
          <t>J</t>
        </is>
      </c>
      <c r="C5259" s="12" t="inlineStr">
        <is>
          <t>GT inlet chilling</t>
        </is>
      </c>
      <c r="D5259" s="12" t="inlineStr">
        <is>
          <t>Water-cooled chiller CH-5</t>
        </is>
      </c>
      <c r="E5259" s="12" t="inlineStr"/>
      <c r="F5259" s="12" t="inlineStr">
        <is>
          <t>Inlet-chilling e-house / transformer</t>
        </is>
      </c>
      <c r="G5259" s="12" t="inlineStr"/>
      <c r="H5259" s="12" t="inlineStr">
        <is>
          <t>Chillers x6 (water-cooled)</t>
        </is>
      </c>
      <c r="I5259" s="12" t="inlineStr">
        <is>
          <t>MV 5 kV</t>
        </is>
      </c>
      <c r="J5259" s="12" t="inlineStr">
        <is>
          <t>MV-105 5 kV 3/C Cu, EPR 133%, tape shield, gnd, PVC jacket</t>
        </is>
      </c>
      <c r="K5259" s="12" t="inlineStr">
        <is>
          <t>MV5|3/C|250</t>
        </is>
      </c>
      <c r="L5259" s="12" t="inlineStr">
        <is>
          <t>3/C</t>
        </is>
      </c>
      <c r="M5259" s="12" t="inlineStr">
        <is>
          <t>250 kcmil</t>
        </is>
      </c>
      <c r="N5259" s="12" t="n">
        <v>1</v>
      </c>
      <c r="O5259" s="12" t="n">
        <v>1</v>
      </c>
      <c r="P5259" s="12" t="n">
        <v>4160</v>
      </c>
      <c r="Q5259" s="12" t="n">
        <v>1500</v>
      </c>
      <c r="R5259" s="12" t="n">
        <v>231</v>
      </c>
      <c r="S5259" s="12" t="inlineStr">
        <is>
          <t>Duct bank</t>
        </is>
      </c>
      <c r="T5259" s="17" t="n">
        <v>10</v>
      </c>
      <c r="U5259" s="17" t="n">
        <v>32</v>
      </c>
      <c r="V5259" s="17">
        <f>ROUNDUP((T5259+U5259+2*'Read Me'!$B$13)*(1+'Read Me'!$B$12),-1)</f>
        <v/>
      </c>
      <c r="W5259" s="17">
        <f>V5259*N5259*O5259</f>
        <v/>
      </c>
      <c r="X5259" s="12">
        <f>IF(LEFT(I5259,2)="MV",2*N5259*IF(L5259="1/C",O5259,1),0)</f>
        <v/>
      </c>
      <c r="Y5259" s="12">
        <f>IF(OR(LEFT(K5259,4)="LVAX",LEFT(K5259,6)="MV15AX",LEFT(K5259,4)="CTAX",LEFT(K5259,2)="W|"),2*N5259*O5259,0)</f>
        <v/>
      </c>
      <c r="Z5259" s="12" t="inlineStr"/>
      <c r="AA5259" s="12">
        <f>N5259*O5259</f>
        <v/>
      </c>
    </row>
    <row r="5260">
      <c r="A5260" s="12" t="inlineStr">
        <is>
          <t>J-MV-0011</t>
        </is>
      </c>
      <c r="B5260" s="12" t="inlineStr">
        <is>
          <t>J</t>
        </is>
      </c>
      <c r="C5260" s="12" t="inlineStr">
        <is>
          <t>GT inlet chilling</t>
        </is>
      </c>
      <c r="D5260" s="12" t="inlineStr">
        <is>
          <t>Water-cooled chiller CH-6</t>
        </is>
      </c>
      <c r="E5260" s="12" t="inlineStr"/>
      <c r="F5260" s="12" t="inlineStr">
        <is>
          <t>Inlet-chilling e-house / transformer</t>
        </is>
      </c>
      <c r="G5260" s="12" t="inlineStr"/>
      <c r="H5260" s="12" t="inlineStr">
        <is>
          <t>Chillers x6 (water-cooled)</t>
        </is>
      </c>
      <c r="I5260" s="12" t="inlineStr">
        <is>
          <t>MV 5 kV</t>
        </is>
      </c>
      <c r="J5260" s="12" t="inlineStr">
        <is>
          <t>MV-105 5 kV 3/C Cu, EPR 133%, tape shield, gnd, PVC jacket</t>
        </is>
      </c>
      <c r="K5260" s="12" t="inlineStr">
        <is>
          <t>MV5|3/C|250</t>
        </is>
      </c>
      <c r="L5260" s="12" t="inlineStr">
        <is>
          <t>3/C</t>
        </is>
      </c>
      <c r="M5260" s="12" t="inlineStr">
        <is>
          <t>250 kcmil</t>
        </is>
      </c>
      <c r="N5260" s="12" t="n">
        <v>1</v>
      </c>
      <c r="O5260" s="12" t="n">
        <v>1</v>
      </c>
      <c r="P5260" s="12" t="n">
        <v>4160</v>
      </c>
      <c r="Q5260" s="12" t="n">
        <v>1500</v>
      </c>
      <c r="R5260" s="12" t="n">
        <v>231</v>
      </c>
      <c r="S5260" s="12" t="inlineStr">
        <is>
          <t>Duct bank</t>
        </is>
      </c>
      <c r="T5260" s="17" t="n">
        <v>10</v>
      </c>
      <c r="U5260" s="17" t="n">
        <v>32</v>
      </c>
      <c r="V5260" s="17">
        <f>ROUNDUP((T5260+U5260+2*'Read Me'!$B$13)*(1+'Read Me'!$B$12),-1)</f>
        <v/>
      </c>
      <c r="W5260" s="17">
        <f>V5260*N5260*O5260</f>
        <v/>
      </c>
      <c r="X5260" s="12">
        <f>IF(LEFT(I5260,2)="MV",2*N5260*IF(L5260="1/C",O5260,1),0)</f>
        <v/>
      </c>
      <c r="Y5260" s="12">
        <f>IF(OR(LEFT(K5260,4)="LVAX",LEFT(K5260,6)="MV15AX",LEFT(K5260,4)="CTAX",LEFT(K5260,2)="W|"),2*N5260*O5260,0)</f>
        <v/>
      </c>
      <c r="Z5260" s="12" t="inlineStr"/>
      <c r="AA5260" s="12">
        <f>N5260*O5260</f>
        <v/>
      </c>
    </row>
    <row r="5261">
      <c r="A5261" s="12" t="inlineStr">
        <is>
          <t>K-L-0001</t>
        </is>
      </c>
      <c r="B5261" s="12" t="inlineStr">
        <is>
          <t>K</t>
        </is>
      </c>
      <c r="C5261" s="12" t="inlineStr">
        <is>
          <t>Fuel supply (adjacent market)</t>
        </is>
      </c>
      <c r="D5261" s="12" t="inlineStr">
        <is>
          <t>Lighting, receptacles and small power branch circuits (allowance)</t>
        </is>
      </c>
      <c r="E5261" s="12" t="inlineStr"/>
      <c r="F5261" s="12" t="inlineStr">
        <is>
          <t>H2 20: 13.8 kV e-house</t>
        </is>
      </c>
      <c r="G5261" s="12" t="inlineStr"/>
      <c r="H5261" s="12" t="inlineStr">
        <is>
          <t>H2 20: 13.8 kV e-house</t>
        </is>
      </c>
      <c r="I5261" s="12" t="inlineStr">
        <is>
          <t>Building wire</t>
        </is>
      </c>
      <c r="J5261" s="12" t="inlineStr">
        <is>
          <t>SIMpull THHN/THWN-2 600 V 1/C Cu (lighting, receptacles, small power)</t>
        </is>
      </c>
      <c r="K5261" s="12" t="inlineStr">
        <is>
          <t>THHN|1/C|12</t>
        </is>
      </c>
      <c r="L5261" s="12" t="inlineStr">
        <is>
          <t>1/C</t>
        </is>
      </c>
      <c r="M5261" s="12" t="inlineStr">
        <is>
          <t>12</t>
        </is>
      </c>
      <c r="N5261" s="12" t="n">
        <v>1</v>
      </c>
      <c r="O5261" s="12" t="n">
        <v>1</v>
      </c>
      <c r="P5261" s="12" t="n">
        <v>277</v>
      </c>
      <c r="Q5261" s="12" t="n"/>
      <c r="R5261" s="12" t="n"/>
      <c r="S5261" s="12" t="inlineStr">
        <is>
          <t>Conduit</t>
        </is>
      </c>
      <c r="T5261" s="17" t="n">
        <v>1536</v>
      </c>
      <c r="U5261" s="17" t="n">
        <v>0</v>
      </c>
      <c r="V5261" s="17">
        <f>ROUNDUP((T5261+U5261+2*'Read Me'!$B$13)*(1+'Read Me'!$B$12),-1)</f>
        <v/>
      </c>
      <c r="W5261" s="17">
        <f>V5261*N5261*O5261</f>
        <v/>
      </c>
      <c r="X5261" s="12">
        <f>IF(LEFT(I5261,2)="MV",2*N5261*IF(L5261="1/C",O5261,1),0)</f>
        <v/>
      </c>
      <c r="Y5261" s="12">
        <f>IF(OR(LEFT(K5261,4)="LVAX",LEFT(K5261,6)="MV15AX",LEFT(K5261,4)="CTAX",LEFT(K5261,2)="W|"),2*N5261*O5261,0)</f>
        <v/>
      </c>
      <c r="Z5261" s="12" t="inlineStr">
        <is>
          <t>allowance: 1.6 ft of conductor per ft2 of floor</t>
        </is>
      </c>
      <c r="AA5261" s="12">
        <f>N5261*O5261</f>
        <v/>
      </c>
    </row>
    <row r="5262">
      <c r="A5262" s="12" t="inlineStr">
        <is>
          <t>K-L-0002</t>
        </is>
      </c>
      <c r="B5262" s="12" t="inlineStr">
        <is>
          <t>K</t>
        </is>
      </c>
      <c r="C5262" s="12" t="inlineStr">
        <is>
          <t>Fuel supply (adjacent market)</t>
        </is>
      </c>
      <c r="D5262" s="12" t="inlineStr">
        <is>
          <t>Lighting, receptacles and small power branch circuits (allowance)</t>
        </is>
      </c>
      <c r="E5262" s="12" t="inlineStr"/>
      <c r="F5262" s="12" t="inlineStr">
        <is>
          <t>LNG 17: LNG e-house (13.8 kV / 480 V)</t>
        </is>
      </c>
      <c r="G5262" s="12" t="inlineStr"/>
      <c r="H5262" s="12" t="inlineStr">
        <is>
          <t>LNG 17: LNG e-house (13.8 kV / 480 V)</t>
        </is>
      </c>
      <c r="I5262" s="12" t="inlineStr">
        <is>
          <t>Building wire</t>
        </is>
      </c>
      <c r="J5262" s="12" t="inlineStr">
        <is>
          <t>SIMpull THHN/THWN-2 600 V 1/C Cu (lighting, receptacles, small power)</t>
        </is>
      </c>
      <c r="K5262" s="12" t="inlineStr">
        <is>
          <t>THHN|1/C|12</t>
        </is>
      </c>
      <c r="L5262" s="12" t="inlineStr">
        <is>
          <t>1/C</t>
        </is>
      </c>
      <c r="M5262" s="12" t="inlineStr">
        <is>
          <t>12</t>
        </is>
      </c>
      <c r="N5262" s="12" t="n">
        <v>1</v>
      </c>
      <c r="O5262" s="12" t="n">
        <v>1</v>
      </c>
      <c r="P5262" s="12" t="n">
        <v>277</v>
      </c>
      <c r="Q5262" s="12" t="n"/>
      <c r="R5262" s="12" t="n"/>
      <c r="S5262" s="12" t="inlineStr">
        <is>
          <t>Conduit</t>
        </is>
      </c>
      <c r="T5262" s="17" t="n">
        <v>896</v>
      </c>
      <c r="U5262" s="17" t="n">
        <v>0</v>
      </c>
      <c r="V5262" s="17">
        <f>ROUNDUP((T5262+U5262+2*'Read Me'!$B$13)*(1+'Read Me'!$B$12),-1)</f>
        <v/>
      </c>
      <c r="W5262" s="17">
        <f>V5262*N5262*O5262</f>
        <v/>
      </c>
      <c r="X5262" s="12">
        <f>IF(LEFT(I5262,2)="MV",2*N5262*IF(L5262="1/C",O5262,1),0)</f>
        <v/>
      </c>
      <c r="Y5262" s="12">
        <f>IF(OR(LEFT(K5262,4)="LVAX",LEFT(K5262,6)="MV15AX",LEFT(K5262,4)="CTAX",LEFT(K5262,2)="W|"),2*N5262*O5262,0)</f>
        <v/>
      </c>
      <c r="Z5262" s="12" t="inlineStr">
        <is>
          <t>allowance: 1.6 ft of conductor per ft2 of floor</t>
        </is>
      </c>
      <c r="AA5262" s="12">
        <f>N5262*O5262</f>
        <v/>
      </c>
    </row>
    <row r="5263">
      <c r="A5263" s="12" t="inlineStr">
        <is>
          <t>K-L-0003</t>
        </is>
      </c>
      <c r="B5263" s="12" t="inlineStr">
        <is>
          <t>K</t>
        </is>
      </c>
      <c r="C5263" s="12" t="inlineStr">
        <is>
          <t>Fuel supply (adjacent market)</t>
        </is>
      </c>
      <c r="D5263" s="12" t="inlineStr">
        <is>
          <t>Lighting, receptacles and small power branch circuits (allowance)</t>
        </is>
      </c>
      <c r="E5263" s="12" t="inlineStr"/>
      <c r="F5263" s="12" t="inlineStr">
        <is>
          <t>M&amp;R 6: regulation / flow control building</t>
        </is>
      </c>
      <c r="G5263" s="12" t="inlineStr"/>
      <c r="H5263" s="12" t="inlineStr">
        <is>
          <t>M&amp;R 6: regulation / flow control building</t>
        </is>
      </c>
      <c r="I5263" s="12" t="inlineStr">
        <is>
          <t>Building wire</t>
        </is>
      </c>
      <c r="J5263" s="12" t="inlineStr">
        <is>
          <t>SIMpull THHN/THWN-2 600 V 1/C Cu (lighting, receptacles, small power)</t>
        </is>
      </c>
      <c r="K5263" s="12" t="inlineStr">
        <is>
          <t>THHN|1/C|12</t>
        </is>
      </c>
      <c r="L5263" s="12" t="inlineStr">
        <is>
          <t>1/C</t>
        </is>
      </c>
      <c r="M5263" s="12" t="inlineStr">
        <is>
          <t>12</t>
        </is>
      </c>
      <c r="N5263" s="12" t="n">
        <v>1</v>
      </c>
      <c r="O5263" s="12" t="n">
        <v>1</v>
      </c>
      <c r="P5263" s="12" t="n">
        <v>277</v>
      </c>
      <c r="Q5263" s="12" t="n"/>
      <c r="R5263" s="12" t="n"/>
      <c r="S5263" s="12" t="inlineStr">
        <is>
          <t>Conduit</t>
        </is>
      </c>
      <c r="T5263" s="17" t="n">
        <v>1440</v>
      </c>
      <c r="U5263" s="17" t="n">
        <v>0</v>
      </c>
      <c r="V5263" s="17">
        <f>ROUNDUP((T5263+U5263+2*'Read Me'!$B$13)*(1+'Read Me'!$B$12),-1)</f>
        <v/>
      </c>
      <c r="W5263" s="17">
        <f>V5263*N5263*O5263</f>
        <v/>
      </c>
      <c r="X5263" s="12">
        <f>IF(LEFT(I5263,2)="MV",2*N5263*IF(L5263="1/C",O5263,1),0)</f>
        <v/>
      </c>
      <c r="Y5263" s="12">
        <f>IF(OR(LEFT(K5263,4)="LVAX",LEFT(K5263,6)="MV15AX",LEFT(K5263,4)="CTAX",LEFT(K5263,2)="W|"),2*N5263*O5263,0)</f>
        <v/>
      </c>
      <c r="Z5263" s="12" t="inlineStr">
        <is>
          <t>allowance: 1.6 ft of conductor per ft2 of floor</t>
        </is>
      </c>
      <c r="AA5263" s="12">
        <f>N5263*O5263</f>
        <v/>
      </c>
    </row>
    <row r="5264">
      <c r="A5264" s="12" t="inlineStr">
        <is>
          <t>K-L-0004</t>
        </is>
      </c>
      <c r="B5264" s="12" t="inlineStr">
        <is>
          <t>K</t>
        </is>
      </c>
      <c r="C5264" s="12" t="inlineStr">
        <is>
          <t>Fuel supply (adjacent market)</t>
        </is>
      </c>
      <c r="D5264" s="12" t="inlineStr">
        <is>
          <t>Lighting, receptacles and small power branch circuits (allowance)</t>
        </is>
      </c>
      <c r="E5264" s="12" t="inlineStr"/>
      <c r="F5264" s="12" t="inlineStr">
        <is>
          <t>M&amp;R 7: gas quality + measurement building</t>
        </is>
      </c>
      <c r="G5264" s="12" t="inlineStr"/>
      <c r="H5264" s="12" t="inlineStr">
        <is>
          <t>M&amp;R 7: gas quality + measurement building</t>
        </is>
      </c>
      <c r="I5264" s="12" t="inlineStr">
        <is>
          <t>Building wire</t>
        </is>
      </c>
      <c r="J5264" s="12" t="inlineStr">
        <is>
          <t>SIMpull THHN/THWN-2 600 V 1/C Cu (lighting, receptacles, small power)</t>
        </is>
      </c>
      <c r="K5264" s="12" t="inlineStr">
        <is>
          <t>THHN|1/C|12</t>
        </is>
      </c>
      <c r="L5264" s="12" t="inlineStr">
        <is>
          <t>1/C</t>
        </is>
      </c>
      <c r="M5264" s="12" t="inlineStr">
        <is>
          <t>12</t>
        </is>
      </c>
      <c r="N5264" s="12" t="n">
        <v>1</v>
      </c>
      <c r="O5264" s="12" t="n">
        <v>1</v>
      </c>
      <c r="P5264" s="12" t="n">
        <v>277</v>
      </c>
      <c r="Q5264" s="12" t="n"/>
      <c r="R5264" s="12" t="n"/>
      <c r="S5264" s="12" t="inlineStr">
        <is>
          <t>Conduit</t>
        </is>
      </c>
      <c r="T5264" s="17" t="n">
        <v>205</v>
      </c>
      <c r="U5264" s="17" t="n">
        <v>0</v>
      </c>
      <c r="V5264" s="17">
        <f>ROUNDUP((T5264+U5264+2*'Read Me'!$B$13)*(1+'Read Me'!$B$12),-1)</f>
        <v/>
      </c>
      <c r="W5264" s="17">
        <f>V5264*N5264*O5264</f>
        <v/>
      </c>
      <c r="X5264" s="12">
        <f>IF(LEFT(I5264,2)="MV",2*N5264*IF(L5264="1/C",O5264,1),0)</f>
        <v/>
      </c>
      <c r="Y5264" s="12">
        <f>IF(OR(LEFT(K5264,4)="LVAX",LEFT(K5264,6)="MV15AX",LEFT(K5264,4)="CTAX",LEFT(K5264,2)="W|"),2*N5264*O5264,0)</f>
        <v/>
      </c>
      <c r="Z5264" s="12" t="inlineStr">
        <is>
          <t>allowance: 1.6 ft of conductor per ft2 of floor</t>
        </is>
      </c>
      <c r="AA5264" s="12">
        <f>N5264*O5264</f>
        <v/>
      </c>
    </row>
    <row r="5265">
      <c r="A5265" s="12" t="inlineStr">
        <is>
          <t>K-C-0001</t>
        </is>
      </c>
      <c r="B5265" s="12" t="inlineStr">
        <is>
          <t>K</t>
        </is>
      </c>
      <c r="C5265" s="12" t="inlineStr">
        <is>
          <t>Fuel supply (adjacent market)</t>
        </is>
      </c>
      <c r="D5265" s="12" t="inlineStr">
        <is>
          <t>Motor 1 of 1: control / local station</t>
        </is>
      </c>
      <c r="E5265" s="12" t="inlineStr"/>
      <c r="F5265" s="12" t="inlineStr">
        <is>
          <t>H2 20: 13.8 kV e-house</t>
        </is>
      </c>
      <c r="G5265" s="12" t="inlineStr">
        <is>
          <t>T-H2</t>
        </is>
      </c>
      <c r="H5265" s="12" t="inlineStr">
        <is>
          <t>H2 19: T-H2 230/13.8 kV (about 40 MVA)</t>
        </is>
      </c>
      <c r="I5265" s="12" t="inlineStr">
        <is>
          <t>Control</t>
        </is>
      </c>
      <c r="J5265" s="12" t="inlineStr">
        <is>
          <t>ARMOR-X MC-HL 600 V control, Cu #14 AWG (Class I Div 2)</t>
        </is>
      </c>
      <c r="K5265" s="12" t="inlineStr">
        <is>
          <t>CTAX|7/C|14</t>
        </is>
      </c>
      <c r="L5265" s="12" t="inlineStr">
        <is>
          <t>7/C</t>
        </is>
      </c>
      <c r="M5265" s="12" t="inlineStr">
        <is>
          <t>14</t>
        </is>
      </c>
      <c r="N5265" s="12" t="n">
        <v>1</v>
      </c>
      <c r="O5265" s="12" t="n">
        <v>1</v>
      </c>
      <c r="P5265" s="12" t="n"/>
      <c r="Q5265" s="12" t="n"/>
      <c r="R5265" s="12" t="n"/>
      <c r="S5265" s="12" t="inlineStr">
        <is>
          <t>Duct bank</t>
        </is>
      </c>
      <c r="T5265" s="17" t="n">
        <v>35</v>
      </c>
      <c r="U5265" s="17" t="n">
        <v>32</v>
      </c>
      <c r="V5265" s="17">
        <f>ROUNDUP((T5265+U5265+2*'Read Me'!$B$13)*(1+'Read Me'!$B$12),-1)</f>
        <v/>
      </c>
      <c r="W5265" s="17">
        <f>V5265*N5265*O5265</f>
        <v/>
      </c>
      <c r="X5265" s="12">
        <f>IF(LEFT(I5265,2)="MV",2*N5265*IF(L5265="1/C",O5265,1),0)</f>
        <v/>
      </c>
      <c r="Y5265" s="12">
        <f>IF(OR(LEFT(K5265,4)="LVAX",LEFT(K5265,6)="MV15AX",LEFT(K5265,4)="CTAX",LEFT(K5265,2)="W|"),2*N5265*O5265,0)</f>
        <v/>
      </c>
      <c r="Z5265" s="12" t="inlineStr"/>
      <c r="AA5265" s="12">
        <f>N5265*O5265</f>
        <v/>
      </c>
    </row>
    <row r="5266">
      <c r="A5266" s="12" t="inlineStr">
        <is>
          <t>K-C-0002</t>
        </is>
      </c>
      <c r="B5266" s="12" t="inlineStr">
        <is>
          <t>K</t>
        </is>
      </c>
      <c r="C5266" s="12" t="inlineStr">
        <is>
          <t>Fuel supply (adjacent market)</t>
        </is>
      </c>
      <c r="D5266" s="12" t="inlineStr">
        <is>
          <t>Solenoid to JB JB-T-H2-SOL01: 2 x 2/C (field cables)</t>
        </is>
      </c>
      <c r="E5266" s="12" t="inlineStr">
        <is>
          <t>T-H2</t>
        </is>
      </c>
      <c r="F5266" s="12" t="inlineStr">
        <is>
          <t>H2 19: T-H2 230/13.8 kV (about 40 MVA)</t>
        </is>
      </c>
      <c r="G5266" s="12" t="inlineStr">
        <is>
          <t>JB-T-H2-SOL01</t>
        </is>
      </c>
      <c r="H5266" s="12" t="inlineStr">
        <is>
          <t>H2 19: T-H2 230/13.8 kV (about 40 MVA)</t>
        </is>
      </c>
      <c r="I5266" s="12" t="inlineStr">
        <is>
          <t>Control</t>
        </is>
      </c>
      <c r="J5266" s="12" t="inlineStr">
        <is>
          <t>ARMOR-X MC-HL 600 V control, Cu #14 AWG (Class I Div 2)</t>
        </is>
      </c>
      <c r="K5266" s="12" t="inlineStr">
        <is>
          <t>CTAX|2/C|14</t>
        </is>
      </c>
      <c r="L5266" s="12" t="inlineStr">
        <is>
          <t>2/C</t>
        </is>
      </c>
      <c r="M5266" s="12" t="inlineStr">
        <is>
          <t>14</t>
        </is>
      </c>
      <c r="N5266" s="12" t="n">
        <v>2</v>
      </c>
      <c r="O5266" s="12" t="n">
        <v>1</v>
      </c>
      <c r="P5266" s="12" t="n"/>
      <c r="Q5266" s="12" t="n"/>
      <c r="R5266" s="12" t="n"/>
      <c r="S5266" s="12" t="inlineStr">
        <is>
          <t>Tray / conduit</t>
        </is>
      </c>
      <c r="T5266" s="17" t="n">
        <v>80</v>
      </c>
      <c r="U5266" s="17" t="n">
        <v>10</v>
      </c>
      <c r="V5266" s="17">
        <f>ROUNDUP((T5266+U5266+2*'Read Me'!$B$13)*(1+'Read Me'!$B$12),-1)</f>
        <v/>
      </c>
      <c r="W5266" s="17">
        <f>V5266*N5266*O5266</f>
        <v/>
      </c>
      <c r="X5266" s="12">
        <f>IF(LEFT(I5266,2)="MV",2*N5266*IF(L5266="1/C",O5266,1),0)</f>
        <v/>
      </c>
      <c r="Y5266" s="12">
        <f>IF(OR(LEFT(K5266,4)="LVAX",LEFT(K5266,6)="MV15AX",LEFT(K5266,4)="CTAX",LEFT(K5266,2)="W|"),2*N5266*O5266,0)</f>
        <v/>
      </c>
      <c r="Z5266" s="12" t="inlineStr">
        <is>
          <t>device-to-JB field wiring, one cable per device</t>
        </is>
      </c>
      <c r="AA5266" s="12">
        <f>N5266*O5266</f>
        <v/>
      </c>
    </row>
    <row r="5267">
      <c r="A5267" s="12" t="inlineStr">
        <is>
          <t>K-C-0003</t>
        </is>
      </c>
      <c r="B5267" s="12" t="inlineStr">
        <is>
          <t>K</t>
        </is>
      </c>
      <c r="C5267" s="12" t="inlineStr">
        <is>
          <t>Fuel supply (adjacent market)</t>
        </is>
      </c>
      <c r="D5267" s="12" t="inlineStr">
        <is>
          <t>Home run JB-T-H2-SOL01 to the control / marshalling room</t>
        </is>
      </c>
      <c r="E5267" s="12" t="inlineStr"/>
      <c r="F5267" s="12" t="inlineStr">
        <is>
          <t>H2 20: 13.8 kV e-house</t>
        </is>
      </c>
      <c r="G5267" s="12" t="inlineStr">
        <is>
          <t>JB-T-H2-SOL01</t>
        </is>
      </c>
      <c r="H5267" s="12" t="inlineStr">
        <is>
          <t>H2 19: T-H2 230/13.8 kV (about 40 MVA)</t>
        </is>
      </c>
      <c r="I5267" s="12" t="inlineStr">
        <is>
          <t>Control</t>
        </is>
      </c>
      <c r="J5267" s="12" t="inlineStr">
        <is>
          <t>ARMOR-X MC-HL 600 V control, Cu #14 AWG (Class I Div 2)</t>
        </is>
      </c>
      <c r="K5267" s="12" t="inlineStr">
        <is>
          <t>CTAX|25/C|14</t>
        </is>
      </c>
      <c r="L5267" s="12" t="inlineStr">
        <is>
          <t>25/C</t>
        </is>
      </c>
      <c r="M5267" s="12" t="inlineStr">
        <is>
          <t>14</t>
        </is>
      </c>
      <c r="N5267" s="12" t="n">
        <v>1</v>
      </c>
      <c r="O5267" s="12" t="n">
        <v>1</v>
      </c>
      <c r="P5267" s="12" t="n"/>
      <c r="Q5267" s="12" t="n"/>
      <c r="R5267" s="12" t="n"/>
      <c r="S5267" s="12" t="inlineStr">
        <is>
          <t>Duct bank</t>
        </is>
      </c>
      <c r="T5267" s="17" t="n">
        <v>35</v>
      </c>
      <c r="U5267" s="17" t="n">
        <v>32</v>
      </c>
      <c r="V5267" s="17">
        <f>ROUNDUP((T5267+U5267+2*'Read Me'!$B$13)*(1+'Read Me'!$B$12),-1)</f>
        <v/>
      </c>
      <c r="W5267" s="17">
        <f>V5267*N5267*O5267</f>
        <v/>
      </c>
      <c r="X5267" s="12">
        <f>IF(LEFT(I5267,2)="MV",2*N5267*IF(L5267="1/C",O5267,1),0)</f>
        <v/>
      </c>
      <c r="Y5267" s="12">
        <f>IF(OR(LEFT(K5267,4)="LVAX",LEFT(K5267,6)="MV15AX",LEFT(K5267,4)="CTAX",LEFT(K5267,2)="W|"),2*N5267*O5267,0)</f>
        <v/>
      </c>
      <c r="Z5267" s="12" t="inlineStr"/>
      <c r="AA5267" s="12">
        <f>N5267*O5267</f>
        <v/>
      </c>
    </row>
    <row r="5268">
      <c r="A5268" s="12" t="inlineStr">
        <is>
          <t>K-C-0004</t>
        </is>
      </c>
      <c r="B5268" s="12" t="inlineStr">
        <is>
          <t>K</t>
        </is>
      </c>
      <c r="C5268" s="12" t="inlineStr">
        <is>
          <t>Fuel supply (adjacent market)</t>
        </is>
      </c>
      <c r="D5268" s="12" t="inlineStr">
        <is>
          <t>Motor 1 of 1: control / local station</t>
        </is>
      </c>
      <c r="E5268" s="12" t="inlineStr"/>
      <c r="F5268" s="12" t="inlineStr">
        <is>
          <t>H2 20: 13.8 kV e-house</t>
        </is>
      </c>
      <c r="G5268" s="12" t="inlineStr"/>
      <c r="H5268" s="12" t="inlineStr">
        <is>
          <t>H2 20: 13.8 kV e-house</t>
        </is>
      </c>
      <c r="I5268" s="12" t="inlineStr">
        <is>
          <t>Control</t>
        </is>
      </c>
      <c r="J5268" s="12" t="inlineStr">
        <is>
          <t>ARMOR-X MC-HL 600 V control, Cu #14 AWG (Class I Div 2)</t>
        </is>
      </c>
      <c r="K5268" s="12" t="inlineStr">
        <is>
          <t>CTAX|7/C|14</t>
        </is>
      </c>
      <c r="L5268" s="12" t="inlineStr">
        <is>
          <t>7/C</t>
        </is>
      </c>
      <c r="M5268" s="12" t="inlineStr">
        <is>
          <t>14</t>
        </is>
      </c>
      <c r="N5268" s="12" t="n">
        <v>1</v>
      </c>
      <c r="O5268" s="12" t="n">
        <v>1</v>
      </c>
      <c r="P5268" s="12" t="n"/>
      <c r="Q5268" s="12" t="n"/>
      <c r="R5268" s="12" t="n"/>
      <c r="S5268" s="12" t="inlineStr">
        <is>
          <t>Tray</t>
        </is>
      </c>
      <c r="T5268" s="17" t="n">
        <v>0</v>
      </c>
      <c r="U5268" s="17" t="n">
        <v>32</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K-C-0005</t>
        </is>
      </c>
      <c r="B5269" s="12" t="inlineStr">
        <is>
          <t>K</t>
        </is>
      </c>
      <c r="C5269" s="12" t="inlineStr">
        <is>
          <t>Fuel supply (adjacent market)</t>
        </is>
      </c>
      <c r="D5269" s="12" t="inlineStr">
        <is>
          <t>Solenoid to JB JB-H2 20: 13.8 kV e-h-SOL01: 2 x 2/C (field cables)</t>
        </is>
      </c>
      <c r="E5269" s="12" t="inlineStr"/>
      <c r="F5269" s="12" t="inlineStr">
        <is>
          <t>H2 20: 13.8 kV e-house</t>
        </is>
      </c>
      <c r="G5269" s="12" t="inlineStr">
        <is>
          <t>JB-H2 20: 13.8 kV e-h-SOL01</t>
        </is>
      </c>
      <c r="H5269" s="12" t="inlineStr">
        <is>
          <t>H2 20: 13.8 kV e-house</t>
        </is>
      </c>
      <c r="I5269" s="12" t="inlineStr">
        <is>
          <t>Control</t>
        </is>
      </c>
      <c r="J5269" s="12" t="inlineStr">
        <is>
          <t>ARMOR-X MC-HL 600 V control, Cu #14 AWG (Class I Div 2)</t>
        </is>
      </c>
      <c r="K5269" s="12" t="inlineStr">
        <is>
          <t>CTAX|2/C|14</t>
        </is>
      </c>
      <c r="L5269" s="12" t="inlineStr">
        <is>
          <t>2/C</t>
        </is>
      </c>
      <c r="M5269" s="12" t="inlineStr">
        <is>
          <t>14</t>
        </is>
      </c>
      <c r="N5269" s="12" t="n">
        <v>2</v>
      </c>
      <c r="O5269" s="12" t="n">
        <v>1</v>
      </c>
      <c r="P5269" s="12" t="n"/>
      <c r="Q5269" s="12" t="n"/>
      <c r="R5269" s="12" t="n"/>
      <c r="S5269" s="12" t="inlineStr">
        <is>
          <t>Tray / conduit</t>
        </is>
      </c>
      <c r="T5269" s="17" t="n">
        <v>69</v>
      </c>
      <c r="U5269" s="17" t="n">
        <v>10</v>
      </c>
      <c r="V5269" s="17">
        <f>ROUNDUP((T5269+U5269+2*'Read Me'!$B$13)*(1+'Read Me'!$B$12),-1)</f>
        <v/>
      </c>
      <c r="W5269" s="17">
        <f>V5269*N5269*O5269</f>
        <v/>
      </c>
      <c r="X5269" s="12">
        <f>IF(LEFT(I5269,2)="MV",2*N5269*IF(L5269="1/C",O5269,1),0)</f>
        <v/>
      </c>
      <c r="Y5269" s="12">
        <f>IF(OR(LEFT(K5269,4)="LVAX",LEFT(K5269,6)="MV15AX",LEFT(K5269,4)="CTAX",LEFT(K5269,2)="W|"),2*N5269*O5269,0)</f>
        <v/>
      </c>
      <c r="Z5269" s="12" t="inlineStr">
        <is>
          <t>device-to-JB field wiring, one cable per device</t>
        </is>
      </c>
      <c r="AA5269" s="12">
        <f>N5269*O5269</f>
        <v/>
      </c>
    </row>
    <row r="5270">
      <c r="A5270" s="12" t="inlineStr">
        <is>
          <t>K-C-0006</t>
        </is>
      </c>
      <c r="B5270" s="12" t="inlineStr">
        <is>
          <t>K</t>
        </is>
      </c>
      <c r="C5270" s="12" t="inlineStr">
        <is>
          <t>Fuel supply (adjacent market)</t>
        </is>
      </c>
      <c r="D5270" s="12" t="inlineStr">
        <is>
          <t>Home run JB-H2 20: 13.8 kV e-h-SOL01 to the control / marshalling room</t>
        </is>
      </c>
      <c r="E5270" s="12" t="inlineStr"/>
      <c r="F5270" s="12" t="inlineStr">
        <is>
          <t>H2 20: 13.8 kV e-house</t>
        </is>
      </c>
      <c r="G5270" s="12" t="inlineStr">
        <is>
          <t>JB-H2 20: 13.8 kV e-h-SOL01</t>
        </is>
      </c>
      <c r="H5270" s="12" t="inlineStr">
        <is>
          <t>H2 20: 13.8 kV e-house</t>
        </is>
      </c>
      <c r="I5270" s="12" t="inlineStr">
        <is>
          <t>Control</t>
        </is>
      </c>
      <c r="J5270" s="12" t="inlineStr">
        <is>
          <t>ARMOR-X MC-HL 600 V control, Cu #14 AWG (Class I Div 2)</t>
        </is>
      </c>
      <c r="K5270" s="12" t="inlineStr">
        <is>
          <t>CTAX|25/C|14</t>
        </is>
      </c>
      <c r="L5270" s="12" t="inlineStr">
        <is>
          <t>25/C</t>
        </is>
      </c>
      <c r="M5270" s="12" t="inlineStr">
        <is>
          <t>14</t>
        </is>
      </c>
      <c r="N5270" s="12" t="n">
        <v>1</v>
      </c>
      <c r="O5270" s="12" t="n">
        <v>1</v>
      </c>
      <c r="P5270" s="12" t="n"/>
      <c r="Q5270" s="12" t="n"/>
      <c r="R5270" s="12" t="n"/>
      <c r="S5270" s="12" t="inlineStr">
        <is>
          <t>Tray</t>
        </is>
      </c>
      <c r="T5270" s="17" t="n">
        <v>0</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c r="AA5270" s="12">
        <f>N5270*O5270</f>
        <v/>
      </c>
    </row>
    <row r="5271">
      <c r="A5271" s="12" t="inlineStr">
        <is>
          <t>K-C-0007</t>
        </is>
      </c>
      <c r="B5271" s="12" t="inlineStr">
        <is>
          <t>K</t>
        </is>
      </c>
      <c r="C5271" s="12" t="inlineStr">
        <is>
          <t>Fuel supply (adjacent market)</t>
        </is>
      </c>
      <c r="D5271" s="12" t="inlineStr">
        <is>
          <t>Motor 1 of 1: control / local station</t>
        </is>
      </c>
      <c r="E5271" s="12" t="inlineStr"/>
      <c r="F5271" s="12" t="inlineStr">
        <is>
          <t>H2 20: 13.8 kV e-house</t>
        </is>
      </c>
      <c r="G5271" s="12" t="inlineStr"/>
      <c r="H5271" s="12" t="inlineStr">
        <is>
          <t>H2 21: rectifier transformer 1 (7 MVA)</t>
        </is>
      </c>
      <c r="I5271" s="12" t="inlineStr">
        <is>
          <t>Control</t>
        </is>
      </c>
      <c r="J5271" s="12" t="inlineStr">
        <is>
          <t>ARMOR-X MC-HL 600 V control, Cu #14 AWG (Class I Div 2)</t>
        </is>
      </c>
      <c r="K5271" s="12" t="inlineStr">
        <is>
          <t>CTAX|7/C|14</t>
        </is>
      </c>
      <c r="L5271" s="12" t="inlineStr">
        <is>
          <t>7/C</t>
        </is>
      </c>
      <c r="M5271" s="12" t="inlineStr">
        <is>
          <t>14</t>
        </is>
      </c>
      <c r="N5271" s="12" t="n">
        <v>1</v>
      </c>
      <c r="O5271" s="12" t="n">
        <v>1</v>
      </c>
      <c r="P5271" s="12" t="n"/>
      <c r="Q5271" s="12" t="n"/>
      <c r="R5271" s="12" t="n"/>
      <c r="S5271" s="12" t="inlineStr">
        <is>
          <t>Duct bank</t>
        </is>
      </c>
      <c r="T5271" s="17" t="n">
        <v>356</v>
      </c>
      <c r="U5271" s="17" t="n">
        <v>48</v>
      </c>
      <c r="V5271" s="17">
        <f>ROUNDUP((T5271+U5271+2*'Read Me'!$B$13)*(1+'Read Me'!$B$12),-1)</f>
        <v/>
      </c>
      <c r="W5271" s="17">
        <f>V5271*N5271*O5271</f>
        <v/>
      </c>
      <c r="X5271" s="12">
        <f>IF(LEFT(I5271,2)="MV",2*N5271*IF(L5271="1/C",O5271,1),0)</f>
        <v/>
      </c>
      <c r="Y5271" s="12">
        <f>IF(OR(LEFT(K5271,4)="LVAX",LEFT(K5271,6)="MV15AX",LEFT(K5271,4)="CTAX",LEFT(K5271,2)="W|"),2*N5271*O5271,0)</f>
        <v/>
      </c>
      <c r="Z5271" s="12" t="inlineStr"/>
      <c r="AA5271" s="12">
        <f>N5271*O5271</f>
        <v/>
      </c>
    </row>
    <row r="5272">
      <c r="A5272" s="12" t="inlineStr">
        <is>
          <t>K-C-0008</t>
        </is>
      </c>
      <c r="B5272" s="12" t="inlineStr">
        <is>
          <t>K</t>
        </is>
      </c>
      <c r="C5272" s="12" t="inlineStr">
        <is>
          <t>Fuel supply (adjacent market)</t>
        </is>
      </c>
      <c r="D5272" s="12" t="inlineStr">
        <is>
          <t>Solenoid to JB JB-H2 21: rectifier t-SOL01: 2 x 2/C (field cables)</t>
        </is>
      </c>
      <c r="E5272" s="12" t="inlineStr"/>
      <c r="F5272" s="12" t="inlineStr">
        <is>
          <t>H2 21: rectifier transformer 1 (7 MVA)</t>
        </is>
      </c>
      <c r="G5272" s="12" t="inlineStr">
        <is>
          <t>JB-H2 21: rectifier t-SOL01</t>
        </is>
      </c>
      <c r="H5272" s="12" t="inlineStr">
        <is>
          <t>H2 21: rectifier transformer 1 (7 MVA)</t>
        </is>
      </c>
      <c r="I5272" s="12" t="inlineStr">
        <is>
          <t>Control</t>
        </is>
      </c>
      <c r="J5272" s="12" t="inlineStr">
        <is>
          <t>ARMOR-X MC-HL 600 V control, Cu #14 AWG (Class I Div 2)</t>
        </is>
      </c>
      <c r="K5272" s="12" t="inlineStr">
        <is>
          <t>CTAX|2/C|14</t>
        </is>
      </c>
      <c r="L5272" s="12" t="inlineStr">
        <is>
          <t>2/C</t>
        </is>
      </c>
      <c r="M5272" s="12" t="inlineStr">
        <is>
          <t>14</t>
        </is>
      </c>
      <c r="N5272" s="12" t="n">
        <v>2</v>
      </c>
      <c r="O5272" s="12" t="n">
        <v>1</v>
      </c>
      <c r="P5272" s="12" t="n"/>
      <c r="Q5272" s="12" t="n"/>
      <c r="R5272" s="12" t="n"/>
      <c r="S5272" s="12" t="inlineStr">
        <is>
          <t>Tray / conduit</t>
        </is>
      </c>
      <c r="T5272" s="17" t="n">
        <v>41</v>
      </c>
      <c r="U5272" s="17" t="n">
        <v>10</v>
      </c>
      <c r="V5272" s="17">
        <f>ROUNDUP((T5272+U5272+2*'Read Me'!$B$13)*(1+'Read Me'!$B$12),-1)</f>
        <v/>
      </c>
      <c r="W5272" s="17">
        <f>V5272*N5272*O5272</f>
        <v/>
      </c>
      <c r="X5272" s="12">
        <f>IF(LEFT(I5272,2)="MV",2*N5272*IF(L5272="1/C",O5272,1),0)</f>
        <v/>
      </c>
      <c r="Y5272" s="12">
        <f>IF(OR(LEFT(K5272,4)="LVAX",LEFT(K5272,6)="MV15AX",LEFT(K5272,4)="CTAX",LEFT(K5272,2)="W|"),2*N5272*O5272,0)</f>
        <v/>
      </c>
      <c r="Z5272" s="12" t="inlineStr">
        <is>
          <t>device-to-JB field wiring, one cable per device</t>
        </is>
      </c>
      <c r="AA5272" s="12">
        <f>N5272*O5272</f>
        <v/>
      </c>
    </row>
    <row r="5273">
      <c r="A5273" s="12" t="inlineStr">
        <is>
          <t>K-C-0009</t>
        </is>
      </c>
      <c r="B5273" s="12" t="inlineStr">
        <is>
          <t>K</t>
        </is>
      </c>
      <c r="C5273" s="12" t="inlineStr">
        <is>
          <t>Fuel supply (adjacent market)</t>
        </is>
      </c>
      <c r="D5273" s="12" t="inlineStr">
        <is>
          <t>Home run JB-H2 21: rectifier t-SOL01 to the control / marshalling room</t>
        </is>
      </c>
      <c r="E5273" s="12" t="inlineStr"/>
      <c r="F5273" s="12" t="inlineStr">
        <is>
          <t>H2 20: 13.8 kV e-house</t>
        </is>
      </c>
      <c r="G5273" s="12" t="inlineStr">
        <is>
          <t>JB-H2 21: rectifier t-SOL01</t>
        </is>
      </c>
      <c r="H5273" s="12" t="inlineStr">
        <is>
          <t>H2 21: rectifier transformer 1 (7 MVA)</t>
        </is>
      </c>
      <c r="I5273" s="12" t="inlineStr">
        <is>
          <t>Control</t>
        </is>
      </c>
      <c r="J5273" s="12" t="inlineStr">
        <is>
          <t>ARMOR-X MC-HL 600 V control, Cu #14 AWG (Class I Div 2)</t>
        </is>
      </c>
      <c r="K5273" s="12" t="inlineStr">
        <is>
          <t>CTAX|25/C|14</t>
        </is>
      </c>
      <c r="L5273" s="12" t="inlineStr">
        <is>
          <t>25/C</t>
        </is>
      </c>
      <c r="M5273" s="12" t="inlineStr">
        <is>
          <t>14</t>
        </is>
      </c>
      <c r="N5273" s="12" t="n">
        <v>1</v>
      </c>
      <c r="O5273" s="12" t="n">
        <v>1</v>
      </c>
      <c r="P5273" s="12" t="n"/>
      <c r="Q5273" s="12" t="n"/>
      <c r="R5273" s="12" t="n"/>
      <c r="S5273" s="12" t="inlineStr">
        <is>
          <t>Duct bank</t>
        </is>
      </c>
      <c r="T5273" s="17" t="n">
        <v>356</v>
      </c>
      <c r="U5273" s="17" t="n">
        <v>48</v>
      </c>
      <c r="V5273" s="17">
        <f>ROUNDUP((T5273+U5273+2*'Read Me'!$B$13)*(1+'Read Me'!$B$12),-1)</f>
        <v/>
      </c>
      <c r="W5273" s="17">
        <f>V5273*N5273*O5273</f>
        <v/>
      </c>
      <c r="X5273" s="12">
        <f>IF(LEFT(I5273,2)="MV",2*N5273*IF(L5273="1/C",O5273,1),0)</f>
        <v/>
      </c>
      <c r="Y5273" s="12">
        <f>IF(OR(LEFT(K5273,4)="LVAX",LEFT(K5273,6)="MV15AX",LEFT(K5273,4)="CTAX",LEFT(K5273,2)="W|"),2*N5273*O5273,0)</f>
        <v/>
      </c>
      <c r="Z5273" s="12" t="inlineStr"/>
      <c r="AA5273" s="12">
        <f>N5273*O5273</f>
        <v/>
      </c>
    </row>
    <row r="5274">
      <c r="A5274" s="12" t="inlineStr">
        <is>
          <t>K-C-0010</t>
        </is>
      </c>
      <c r="B5274" s="12" t="inlineStr">
        <is>
          <t>K</t>
        </is>
      </c>
      <c r="C5274" s="12" t="inlineStr">
        <is>
          <t>Fuel supply (adjacent market)</t>
        </is>
      </c>
      <c r="D5274" s="12" t="inlineStr">
        <is>
          <t>Control</t>
        </is>
      </c>
      <c r="E5274" s="12" t="inlineStr"/>
      <c r="F5274" s="12" t="inlineStr">
        <is>
          <t>H2 20: 13.8 kV e-house</t>
        </is>
      </c>
      <c r="G5274" s="12" t="inlineStr"/>
      <c r="H5274" s="12" t="inlineStr">
        <is>
          <t>H2 21: rectifier transformer 1 (7 MVA)</t>
        </is>
      </c>
      <c r="I5274" s="12" t="inlineStr">
        <is>
          <t>Control</t>
        </is>
      </c>
      <c r="J5274" s="12" t="inlineStr">
        <is>
          <t>ARMOR-X MC-HL 600 V control, Cu #14 AWG (Class I Div 2)</t>
        </is>
      </c>
      <c r="K5274" s="12" t="inlineStr">
        <is>
          <t>CTAX|7/C|14</t>
        </is>
      </c>
      <c r="L5274" s="12" t="inlineStr">
        <is>
          <t>7/C</t>
        </is>
      </c>
      <c r="M5274" s="12" t="inlineStr">
        <is>
          <t>14</t>
        </is>
      </c>
      <c r="N5274" s="12" t="n">
        <v>1</v>
      </c>
      <c r="O5274" s="12" t="n">
        <v>1</v>
      </c>
      <c r="P5274" s="12" t="n"/>
      <c r="Q5274" s="12" t="n"/>
      <c r="R5274" s="12" t="n"/>
      <c r="S5274" s="12" t="inlineStr">
        <is>
          <t>Duct bank</t>
        </is>
      </c>
      <c r="T5274" s="17" t="n">
        <v>356</v>
      </c>
      <c r="U5274" s="17" t="n">
        <v>48</v>
      </c>
      <c r="V5274" s="17">
        <f>ROUNDUP((T5274+U5274+2*'Read Me'!$B$13)*(1+'Read Me'!$B$12),-1)</f>
        <v/>
      </c>
      <c r="W5274" s="17">
        <f>V5274*N5274*O5274</f>
        <v/>
      </c>
      <c r="X5274" s="12">
        <f>IF(LEFT(I5274,2)="MV",2*N5274*IF(L5274="1/C",O5274,1),0)</f>
        <v/>
      </c>
      <c r="Y5274" s="12">
        <f>IF(OR(LEFT(K5274,4)="LVAX",LEFT(K5274,6)="MV15AX",LEFT(K5274,4)="CTAX",LEFT(K5274,2)="W|"),2*N5274*O5274,0)</f>
        <v/>
      </c>
      <c r="Z5274" s="12" t="inlineStr"/>
      <c r="AA5274" s="12">
        <f>N5274*O5274</f>
        <v/>
      </c>
    </row>
    <row r="5275">
      <c r="A5275" s="12" t="inlineStr">
        <is>
          <t>K-C-0011</t>
        </is>
      </c>
      <c r="B5275" s="12" t="inlineStr">
        <is>
          <t>K</t>
        </is>
      </c>
      <c r="C5275" s="12" t="inlineStr">
        <is>
          <t>Fuel supply (adjacent market)</t>
        </is>
      </c>
      <c r="D5275" s="12" t="inlineStr">
        <is>
          <t>Control</t>
        </is>
      </c>
      <c r="E5275" s="12" t="inlineStr"/>
      <c r="F5275" s="12" t="inlineStr">
        <is>
          <t>H2 20: 13.8 kV e-house</t>
        </is>
      </c>
      <c r="G5275" s="12" t="inlineStr"/>
      <c r="H5275" s="12" t="inlineStr">
        <is>
          <t>H2 21: rectifier transformer 1 (7 MVA)</t>
        </is>
      </c>
      <c r="I5275" s="12" t="inlineStr">
        <is>
          <t>Control</t>
        </is>
      </c>
      <c r="J5275" s="12" t="inlineStr">
        <is>
          <t>ARMOR-X MC-HL 600 V control, Cu #14 AWG (Class I Div 2)</t>
        </is>
      </c>
      <c r="K5275" s="12" t="inlineStr">
        <is>
          <t>CTAX|12/C|14</t>
        </is>
      </c>
      <c r="L5275" s="12" t="inlineStr">
        <is>
          <t>12/C</t>
        </is>
      </c>
      <c r="M5275" s="12" t="inlineStr">
        <is>
          <t>14</t>
        </is>
      </c>
      <c r="N5275" s="12" t="n">
        <v>1</v>
      </c>
      <c r="O5275" s="12" t="n">
        <v>1</v>
      </c>
      <c r="P5275" s="12" t="n"/>
      <c r="Q5275" s="12" t="n"/>
      <c r="R5275" s="12" t="n"/>
      <c r="S5275" s="12" t="inlineStr">
        <is>
          <t>Duct bank</t>
        </is>
      </c>
      <c r="T5275" s="17" t="n">
        <v>356</v>
      </c>
      <c r="U5275" s="17" t="n">
        <v>48</v>
      </c>
      <c r="V5275" s="17">
        <f>ROUNDUP((T5275+U5275+2*'Read Me'!$B$13)*(1+'Read Me'!$B$12),-1)</f>
        <v/>
      </c>
      <c r="W5275" s="17">
        <f>V5275*N5275*O5275</f>
        <v/>
      </c>
      <c r="X5275" s="12">
        <f>IF(LEFT(I5275,2)="MV",2*N5275*IF(L5275="1/C",O5275,1),0)</f>
        <v/>
      </c>
      <c r="Y5275" s="12">
        <f>IF(OR(LEFT(K5275,4)="LVAX",LEFT(K5275,6)="MV15AX",LEFT(K5275,4)="CTAX",LEFT(K5275,2)="W|"),2*N5275*O5275,0)</f>
        <v/>
      </c>
      <c r="Z5275" s="12" t="inlineStr"/>
      <c r="AA5275" s="12">
        <f>N5275*O5275</f>
        <v/>
      </c>
    </row>
    <row r="5276">
      <c r="A5276" s="12" t="inlineStr">
        <is>
          <t>K-C-0012</t>
        </is>
      </c>
      <c r="B5276" s="12" t="inlineStr">
        <is>
          <t>K</t>
        </is>
      </c>
      <c r="C5276" s="12" t="inlineStr">
        <is>
          <t>Fuel supply (adjacent market)</t>
        </is>
      </c>
      <c r="D5276" s="12" t="inlineStr">
        <is>
          <t>CT / VT</t>
        </is>
      </c>
      <c r="E5276" s="12" t="inlineStr"/>
      <c r="F5276" s="12" t="inlineStr">
        <is>
          <t>H2 20: 13.8 kV e-house</t>
        </is>
      </c>
      <c r="G5276" s="12" t="inlineStr"/>
      <c r="H5276" s="12" t="inlineStr">
        <is>
          <t>H2 21: rectifier transformer 1 (7 MVA)</t>
        </is>
      </c>
      <c r="I5276" s="12" t="inlineStr">
        <is>
          <t>Control</t>
        </is>
      </c>
      <c r="J5276" s="12" t="inlineStr">
        <is>
          <t>Control cable 600 V Type TC-ER, Cu #10 AWG (CT / VT circuits)</t>
        </is>
      </c>
      <c r="K5276" s="12" t="inlineStr">
        <is>
          <t>CTCT|4/C|10</t>
        </is>
      </c>
      <c r="L5276" s="12" t="inlineStr">
        <is>
          <t>4/C</t>
        </is>
      </c>
      <c r="M5276" s="12" t="inlineStr">
        <is>
          <t>10</t>
        </is>
      </c>
      <c r="N5276" s="12" t="n">
        <v>1</v>
      </c>
      <c r="O5276" s="12" t="n">
        <v>1</v>
      </c>
      <c r="P5276" s="12" t="n"/>
      <c r="Q5276" s="12" t="n"/>
      <c r="R5276" s="12" t="n"/>
      <c r="S5276" s="12" t="inlineStr">
        <is>
          <t>Duct bank</t>
        </is>
      </c>
      <c r="T5276" s="17" t="n">
        <v>356</v>
      </c>
      <c r="U5276" s="17" t="n">
        <v>48</v>
      </c>
      <c r="V5276" s="17">
        <f>ROUNDUP((T5276+U5276+2*'Read Me'!$B$13)*(1+'Read Me'!$B$12),-1)</f>
        <v/>
      </c>
      <c r="W5276" s="17">
        <f>V5276*N5276*O5276</f>
        <v/>
      </c>
      <c r="X5276" s="12">
        <f>IF(LEFT(I5276,2)="MV",2*N5276*IF(L5276="1/C",O5276,1),0)</f>
        <v/>
      </c>
      <c r="Y5276" s="12">
        <f>IF(OR(LEFT(K5276,4)="LVAX",LEFT(K5276,6)="MV15AX",LEFT(K5276,4)="CTAX",LEFT(K5276,2)="W|"),2*N5276*O5276,0)</f>
        <v/>
      </c>
      <c r="Z5276" s="12" t="inlineStr"/>
      <c r="AA5276" s="12">
        <f>N5276*O5276</f>
        <v/>
      </c>
    </row>
    <row r="5277">
      <c r="A5277" s="12" t="inlineStr">
        <is>
          <t>K-C-0013</t>
        </is>
      </c>
      <c r="B5277" s="12" t="inlineStr">
        <is>
          <t>K</t>
        </is>
      </c>
      <c r="C5277" s="12" t="inlineStr">
        <is>
          <t>Fuel supply (adjacent market)</t>
        </is>
      </c>
      <c r="D5277" s="12" t="inlineStr">
        <is>
          <t>CT / VT</t>
        </is>
      </c>
      <c r="E5277" s="12" t="inlineStr"/>
      <c r="F5277" s="12" t="inlineStr">
        <is>
          <t>H2 20: 13.8 kV e-house</t>
        </is>
      </c>
      <c r="G5277" s="12" t="inlineStr"/>
      <c r="H5277" s="12" t="inlineStr">
        <is>
          <t>H2 21: rectifier transformer 1 (7 MVA)</t>
        </is>
      </c>
      <c r="I5277" s="12" t="inlineStr">
        <is>
          <t>Control</t>
        </is>
      </c>
      <c r="J5277" s="12" t="inlineStr">
        <is>
          <t>Control cable 600 V Type TC-ER, Cu #10 AWG (CT / VT circuits)</t>
        </is>
      </c>
      <c r="K5277" s="12" t="inlineStr">
        <is>
          <t>CTCT|4/C|10</t>
        </is>
      </c>
      <c r="L5277" s="12" t="inlineStr">
        <is>
          <t>4/C</t>
        </is>
      </c>
      <c r="M5277" s="12" t="inlineStr">
        <is>
          <t>10</t>
        </is>
      </c>
      <c r="N5277" s="12" t="n">
        <v>1</v>
      </c>
      <c r="O5277" s="12" t="n">
        <v>1</v>
      </c>
      <c r="P5277" s="12" t="n"/>
      <c r="Q5277" s="12" t="n"/>
      <c r="R5277" s="12" t="n"/>
      <c r="S5277" s="12" t="inlineStr">
        <is>
          <t>Duct bank</t>
        </is>
      </c>
      <c r="T5277" s="17" t="n">
        <v>356</v>
      </c>
      <c r="U5277" s="17" t="n">
        <v>48</v>
      </c>
      <c r="V5277" s="17">
        <f>ROUNDUP((T5277+U5277+2*'Read Me'!$B$13)*(1+'Read Me'!$B$12),-1)</f>
        <v/>
      </c>
      <c r="W5277" s="17">
        <f>V5277*N5277*O5277</f>
        <v/>
      </c>
      <c r="X5277" s="12">
        <f>IF(LEFT(I5277,2)="MV",2*N5277*IF(L5277="1/C",O5277,1),0)</f>
        <v/>
      </c>
      <c r="Y5277" s="12">
        <f>IF(OR(LEFT(K5277,4)="LVAX",LEFT(K5277,6)="MV15AX",LEFT(K5277,4)="CTAX",LEFT(K5277,2)="W|"),2*N5277*O5277,0)</f>
        <v/>
      </c>
      <c r="Z5277" s="12" t="inlineStr"/>
      <c r="AA5277" s="12">
        <f>N5277*O5277</f>
        <v/>
      </c>
    </row>
    <row r="5278">
      <c r="A5278" s="12" t="inlineStr">
        <is>
          <t>K-C-0014</t>
        </is>
      </c>
      <c r="B5278" s="12" t="inlineStr">
        <is>
          <t>K</t>
        </is>
      </c>
      <c r="C5278" s="12" t="inlineStr">
        <is>
          <t>Fuel supply (adjacent market)</t>
        </is>
      </c>
      <c r="D5278" s="12" t="inlineStr">
        <is>
          <t>Motor 1 of 1: control / local station</t>
        </is>
      </c>
      <c r="E5278" s="12" t="inlineStr"/>
      <c r="F5278" s="12" t="inlineStr">
        <is>
          <t>H2 20: 13.8 kV e-house</t>
        </is>
      </c>
      <c r="G5278" s="12" t="inlineStr"/>
      <c r="H5278" s="12" t="inlineStr">
        <is>
          <t>H2 21: rectifier transformer 2 (7 MVA)</t>
        </is>
      </c>
      <c r="I5278" s="12" t="inlineStr">
        <is>
          <t>Control</t>
        </is>
      </c>
      <c r="J5278" s="12" t="inlineStr">
        <is>
          <t>ARMOR-X MC-HL 600 V control, Cu #14 AWG (Class I Div 2)</t>
        </is>
      </c>
      <c r="K5278" s="12" t="inlineStr">
        <is>
          <t>CTAX|7/C|14</t>
        </is>
      </c>
      <c r="L5278" s="12" t="inlineStr">
        <is>
          <t>7/C</t>
        </is>
      </c>
      <c r="M5278" s="12" t="inlineStr">
        <is>
          <t>14</t>
        </is>
      </c>
      <c r="N5278" s="12" t="n">
        <v>1</v>
      </c>
      <c r="O5278" s="12" t="n">
        <v>1</v>
      </c>
      <c r="P5278" s="12" t="n"/>
      <c r="Q5278" s="12" t="n"/>
      <c r="R5278" s="12" t="n"/>
      <c r="S5278" s="12" t="inlineStr">
        <is>
          <t>Duct bank</t>
        </is>
      </c>
      <c r="T5278" s="17" t="n">
        <v>356</v>
      </c>
      <c r="U5278" s="17" t="n">
        <v>32</v>
      </c>
      <c r="V5278" s="17">
        <f>ROUNDUP((T5278+U5278+2*'Read Me'!$B$13)*(1+'Read Me'!$B$12),-1)</f>
        <v/>
      </c>
      <c r="W5278" s="17">
        <f>V5278*N5278*O5278</f>
        <v/>
      </c>
      <c r="X5278" s="12">
        <f>IF(LEFT(I5278,2)="MV",2*N5278*IF(L5278="1/C",O5278,1),0)</f>
        <v/>
      </c>
      <c r="Y5278" s="12">
        <f>IF(OR(LEFT(K5278,4)="LVAX",LEFT(K5278,6)="MV15AX",LEFT(K5278,4)="CTAX",LEFT(K5278,2)="W|"),2*N5278*O5278,0)</f>
        <v/>
      </c>
      <c r="Z5278" s="12" t="inlineStr"/>
      <c r="AA5278" s="12">
        <f>N5278*O5278</f>
        <v/>
      </c>
    </row>
    <row r="5279">
      <c r="A5279" s="12" t="inlineStr">
        <is>
          <t>K-C-0015</t>
        </is>
      </c>
      <c r="B5279" s="12" t="inlineStr">
        <is>
          <t>K</t>
        </is>
      </c>
      <c r="C5279" s="12" t="inlineStr">
        <is>
          <t>Fuel supply (adjacent market)</t>
        </is>
      </c>
      <c r="D5279" s="12" t="inlineStr">
        <is>
          <t>Solenoid to JB JB-H2 21: rectifier t-SOL01: 2 x 2/C (field cables)</t>
        </is>
      </c>
      <c r="E5279" s="12" t="inlineStr"/>
      <c r="F5279" s="12" t="inlineStr">
        <is>
          <t>H2 21: rectifier transformer 2 (7 MVA)</t>
        </is>
      </c>
      <c r="G5279" s="12" t="inlineStr">
        <is>
          <t>JB-H2 21: rectifier t-SOL01</t>
        </is>
      </c>
      <c r="H5279" s="12" t="inlineStr">
        <is>
          <t>H2 21: rectifier transformer 2 (7 MVA)</t>
        </is>
      </c>
      <c r="I5279" s="12" t="inlineStr">
        <is>
          <t>Control</t>
        </is>
      </c>
      <c r="J5279" s="12" t="inlineStr">
        <is>
          <t>ARMOR-X MC-HL 600 V control, Cu #14 AWG (Class I Div 2)</t>
        </is>
      </c>
      <c r="K5279" s="12" t="inlineStr">
        <is>
          <t>CTAX|2/C|14</t>
        </is>
      </c>
      <c r="L5279" s="12" t="inlineStr">
        <is>
          <t>2/C</t>
        </is>
      </c>
      <c r="M5279" s="12" t="inlineStr">
        <is>
          <t>14</t>
        </is>
      </c>
      <c r="N5279" s="12" t="n">
        <v>2</v>
      </c>
      <c r="O5279" s="12" t="n">
        <v>1</v>
      </c>
      <c r="P5279" s="12" t="n"/>
      <c r="Q5279" s="12" t="n"/>
      <c r="R5279" s="12" t="n"/>
      <c r="S5279" s="12" t="inlineStr">
        <is>
          <t>Tray / conduit</t>
        </is>
      </c>
      <c r="T5279" s="17" t="n">
        <v>41</v>
      </c>
      <c r="U5279" s="17" t="n">
        <v>10</v>
      </c>
      <c r="V5279" s="17">
        <f>ROUNDUP((T5279+U5279+2*'Read Me'!$B$13)*(1+'Read Me'!$B$12),-1)</f>
        <v/>
      </c>
      <c r="W5279" s="17">
        <f>V5279*N5279*O5279</f>
        <v/>
      </c>
      <c r="X5279" s="12">
        <f>IF(LEFT(I5279,2)="MV",2*N5279*IF(L5279="1/C",O5279,1),0)</f>
        <v/>
      </c>
      <c r="Y5279" s="12">
        <f>IF(OR(LEFT(K5279,4)="LVAX",LEFT(K5279,6)="MV15AX",LEFT(K5279,4)="CTAX",LEFT(K5279,2)="W|"),2*N5279*O5279,0)</f>
        <v/>
      </c>
      <c r="Z5279" s="12" t="inlineStr">
        <is>
          <t>device-to-JB field wiring, one cable per device</t>
        </is>
      </c>
      <c r="AA5279" s="12">
        <f>N5279*O5279</f>
        <v/>
      </c>
    </row>
    <row r="5280">
      <c r="A5280" s="12" t="inlineStr">
        <is>
          <t>K-C-0016</t>
        </is>
      </c>
      <c r="B5280" s="12" t="inlineStr">
        <is>
          <t>K</t>
        </is>
      </c>
      <c r="C5280" s="12" t="inlineStr">
        <is>
          <t>Fuel supply (adjacent market)</t>
        </is>
      </c>
      <c r="D5280" s="12" t="inlineStr">
        <is>
          <t>Home run JB-H2 21: rectifier t-SOL01 to the control / marshalling room</t>
        </is>
      </c>
      <c r="E5280" s="12" t="inlineStr"/>
      <c r="F5280" s="12" t="inlineStr">
        <is>
          <t>H2 20: 13.8 kV e-house</t>
        </is>
      </c>
      <c r="G5280" s="12" t="inlineStr">
        <is>
          <t>JB-H2 21: rectifier t-SOL01</t>
        </is>
      </c>
      <c r="H5280" s="12" t="inlineStr">
        <is>
          <t>H2 21: rectifier transformer 2 (7 MVA)</t>
        </is>
      </c>
      <c r="I5280" s="12" t="inlineStr">
        <is>
          <t>Control</t>
        </is>
      </c>
      <c r="J5280" s="12" t="inlineStr">
        <is>
          <t>ARMOR-X MC-HL 600 V control, Cu #14 AWG (Class I Div 2)</t>
        </is>
      </c>
      <c r="K5280" s="12" t="inlineStr">
        <is>
          <t>CTAX|25/C|14</t>
        </is>
      </c>
      <c r="L5280" s="12" t="inlineStr">
        <is>
          <t>25/C</t>
        </is>
      </c>
      <c r="M5280" s="12" t="inlineStr">
        <is>
          <t>14</t>
        </is>
      </c>
      <c r="N5280" s="12" t="n">
        <v>1</v>
      </c>
      <c r="O5280" s="12" t="n">
        <v>1</v>
      </c>
      <c r="P5280" s="12" t="n"/>
      <c r="Q5280" s="12" t="n"/>
      <c r="R5280" s="12" t="n"/>
      <c r="S5280" s="12" t="inlineStr">
        <is>
          <t>Duct bank</t>
        </is>
      </c>
      <c r="T5280" s="17" t="n">
        <v>356</v>
      </c>
      <c r="U5280" s="17" t="n">
        <v>32</v>
      </c>
      <c r="V5280" s="17">
        <f>ROUNDUP((T5280+U5280+2*'Read Me'!$B$13)*(1+'Read Me'!$B$12),-1)</f>
        <v/>
      </c>
      <c r="W5280" s="17">
        <f>V5280*N5280*O5280</f>
        <v/>
      </c>
      <c r="X5280" s="12">
        <f>IF(LEFT(I5280,2)="MV",2*N5280*IF(L5280="1/C",O5280,1),0)</f>
        <v/>
      </c>
      <c r="Y5280" s="12">
        <f>IF(OR(LEFT(K5280,4)="LVAX",LEFT(K5280,6)="MV15AX",LEFT(K5280,4)="CTAX",LEFT(K5280,2)="W|"),2*N5280*O5280,0)</f>
        <v/>
      </c>
      <c r="Z5280" s="12" t="inlineStr"/>
      <c r="AA5280" s="12">
        <f>N5280*O5280</f>
        <v/>
      </c>
    </row>
    <row r="5281">
      <c r="A5281" s="12" t="inlineStr">
        <is>
          <t>K-C-0017</t>
        </is>
      </c>
      <c r="B5281" s="12" t="inlineStr">
        <is>
          <t>K</t>
        </is>
      </c>
      <c r="C5281" s="12" t="inlineStr">
        <is>
          <t>Fuel supply (adjacent market)</t>
        </is>
      </c>
      <c r="D5281" s="12" t="inlineStr">
        <is>
          <t>Control</t>
        </is>
      </c>
      <c r="E5281" s="12" t="inlineStr"/>
      <c r="F5281" s="12" t="inlineStr">
        <is>
          <t>H2 20: 13.8 kV e-house</t>
        </is>
      </c>
      <c r="G5281" s="12" t="inlineStr"/>
      <c r="H5281" s="12" t="inlineStr">
        <is>
          <t>H2 21: rectifier transformer 2 (7 MVA)</t>
        </is>
      </c>
      <c r="I5281" s="12" t="inlineStr">
        <is>
          <t>Control</t>
        </is>
      </c>
      <c r="J5281" s="12" t="inlineStr">
        <is>
          <t>ARMOR-X MC-HL 600 V control, Cu #14 AWG (Class I Div 2)</t>
        </is>
      </c>
      <c r="K5281" s="12" t="inlineStr">
        <is>
          <t>CTAX|7/C|14</t>
        </is>
      </c>
      <c r="L5281" s="12" t="inlineStr">
        <is>
          <t>7/C</t>
        </is>
      </c>
      <c r="M5281" s="12" t="inlineStr">
        <is>
          <t>14</t>
        </is>
      </c>
      <c r="N5281" s="12" t="n">
        <v>1</v>
      </c>
      <c r="O5281" s="12" t="n">
        <v>1</v>
      </c>
      <c r="P5281" s="12" t="n"/>
      <c r="Q5281" s="12" t="n"/>
      <c r="R5281" s="12" t="n"/>
      <c r="S5281" s="12" t="inlineStr">
        <is>
          <t>Duct bank</t>
        </is>
      </c>
      <c r="T5281" s="17" t="n">
        <v>356</v>
      </c>
      <c r="U5281" s="17" t="n">
        <v>32</v>
      </c>
      <c r="V5281" s="17">
        <f>ROUNDUP((T5281+U5281+2*'Read Me'!$B$13)*(1+'Read Me'!$B$12),-1)</f>
        <v/>
      </c>
      <c r="W5281" s="17">
        <f>V5281*N5281*O5281</f>
        <v/>
      </c>
      <c r="X5281" s="12">
        <f>IF(LEFT(I5281,2)="MV",2*N5281*IF(L5281="1/C",O5281,1),0)</f>
        <v/>
      </c>
      <c r="Y5281" s="12">
        <f>IF(OR(LEFT(K5281,4)="LVAX",LEFT(K5281,6)="MV15AX",LEFT(K5281,4)="CTAX",LEFT(K5281,2)="W|"),2*N5281*O5281,0)</f>
        <v/>
      </c>
      <c r="Z5281" s="12" t="inlineStr"/>
      <c r="AA5281" s="12">
        <f>N5281*O5281</f>
        <v/>
      </c>
    </row>
    <row r="5282">
      <c r="A5282" s="12" t="inlineStr">
        <is>
          <t>K-C-0018</t>
        </is>
      </c>
      <c r="B5282" s="12" t="inlineStr">
        <is>
          <t>K</t>
        </is>
      </c>
      <c r="C5282" s="12" t="inlineStr">
        <is>
          <t>Fuel supply (adjacent market)</t>
        </is>
      </c>
      <c r="D5282" s="12" t="inlineStr">
        <is>
          <t>Control</t>
        </is>
      </c>
      <c r="E5282" s="12" t="inlineStr"/>
      <c r="F5282" s="12" t="inlineStr">
        <is>
          <t>H2 20: 13.8 kV e-house</t>
        </is>
      </c>
      <c r="G5282" s="12" t="inlineStr"/>
      <c r="H5282" s="12" t="inlineStr">
        <is>
          <t>H2 21: rectifier transformer 2 (7 MVA)</t>
        </is>
      </c>
      <c r="I5282" s="12" t="inlineStr">
        <is>
          <t>Control</t>
        </is>
      </c>
      <c r="J5282" s="12" t="inlineStr">
        <is>
          <t>ARMOR-X MC-HL 600 V control, Cu #14 AWG (Class I Div 2)</t>
        </is>
      </c>
      <c r="K5282" s="12" t="inlineStr">
        <is>
          <t>CTAX|12/C|14</t>
        </is>
      </c>
      <c r="L5282" s="12" t="inlineStr">
        <is>
          <t>12/C</t>
        </is>
      </c>
      <c r="M5282" s="12" t="inlineStr">
        <is>
          <t>14</t>
        </is>
      </c>
      <c r="N5282" s="12" t="n">
        <v>1</v>
      </c>
      <c r="O5282" s="12" t="n">
        <v>1</v>
      </c>
      <c r="P5282" s="12" t="n"/>
      <c r="Q5282" s="12" t="n"/>
      <c r="R5282" s="12" t="n"/>
      <c r="S5282" s="12" t="inlineStr">
        <is>
          <t>Duct bank</t>
        </is>
      </c>
      <c r="T5282" s="17" t="n">
        <v>356</v>
      </c>
      <c r="U5282" s="17" t="n">
        <v>32</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K-C-0019</t>
        </is>
      </c>
      <c r="B5283" s="12" t="inlineStr">
        <is>
          <t>K</t>
        </is>
      </c>
      <c r="C5283" s="12" t="inlineStr">
        <is>
          <t>Fuel supply (adjacent market)</t>
        </is>
      </c>
      <c r="D5283" s="12" t="inlineStr">
        <is>
          <t>CT / VT</t>
        </is>
      </c>
      <c r="E5283" s="12" t="inlineStr"/>
      <c r="F5283" s="12" t="inlineStr">
        <is>
          <t>H2 20: 13.8 kV e-house</t>
        </is>
      </c>
      <c r="G5283" s="12" t="inlineStr"/>
      <c r="H5283" s="12" t="inlineStr">
        <is>
          <t>H2 21: rectifier transformer 2 (7 MVA)</t>
        </is>
      </c>
      <c r="I5283" s="12" t="inlineStr">
        <is>
          <t>Control</t>
        </is>
      </c>
      <c r="J5283" s="12" t="inlineStr">
        <is>
          <t>Control cable 600 V Type TC-ER, Cu #10 AWG (CT / VT circuits)</t>
        </is>
      </c>
      <c r="K5283" s="12" t="inlineStr">
        <is>
          <t>CTCT|4/C|10</t>
        </is>
      </c>
      <c r="L5283" s="12" t="inlineStr">
        <is>
          <t>4/C</t>
        </is>
      </c>
      <c r="M5283" s="12" t="inlineStr">
        <is>
          <t>10</t>
        </is>
      </c>
      <c r="N5283" s="12" t="n">
        <v>1</v>
      </c>
      <c r="O5283" s="12" t="n">
        <v>1</v>
      </c>
      <c r="P5283" s="12" t="n"/>
      <c r="Q5283" s="12" t="n"/>
      <c r="R5283" s="12" t="n"/>
      <c r="S5283" s="12" t="inlineStr">
        <is>
          <t>Duct bank</t>
        </is>
      </c>
      <c r="T5283" s="17" t="n">
        <v>356</v>
      </c>
      <c r="U5283" s="17" t="n">
        <v>32</v>
      </c>
      <c r="V5283" s="17">
        <f>ROUNDUP((T5283+U5283+2*'Read Me'!$B$13)*(1+'Read Me'!$B$12),-1)</f>
        <v/>
      </c>
      <c r="W5283" s="17">
        <f>V5283*N5283*O5283</f>
        <v/>
      </c>
      <c r="X5283" s="12">
        <f>IF(LEFT(I5283,2)="MV",2*N5283*IF(L5283="1/C",O5283,1),0)</f>
        <v/>
      </c>
      <c r="Y5283" s="12">
        <f>IF(OR(LEFT(K5283,4)="LVAX",LEFT(K5283,6)="MV15AX",LEFT(K5283,4)="CTAX",LEFT(K5283,2)="W|"),2*N5283*O5283,0)</f>
        <v/>
      </c>
      <c r="Z5283" s="12" t="inlineStr"/>
      <c r="AA5283" s="12">
        <f>N5283*O5283</f>
        <v/>
      </c>
    </row>
    <row r="5284">
      <c r="A5284" s="12" t="inlineStr">
        <is>
          <t>K-C-0020</t>
        </is>
      </c>
      <c r="B5284" s="12" t="inlineStr">
        <is>
          <t>K</t>
        </is>
      </c>
      <c r="C5284" s="12" t="inlineStr">
        <is>
          <t>Fuel supply (adjacent market)</t>
        </is>
      </c>
      <c r="D5284" s="12" t="inlineStr">
        <is>
          <t>CT / VT</t>
        </is>
      </c>
      <c r="E5284" s="12" t="inlineStr"/>
      <c r="F5284" s="12" t="inlineStr">
        <is>
          <t>H2 20: 13.8 kV e-house</t>
        </is>
      </c>
      <c r="G5284" s="12" t="inlineStr"/>
      <c r="H5284" s="12" t="inlineStr">
        <is>
          <t>H2 21: rectifier transformer 2 (7 MVA)</t>
        </is>
      </c>
      <c r="I5284" s="12" t="inlineStr">
        <is>
          <t>Control</t>
        </is>
      </c>
      <c r="J5284" s="12" t="inlineStr">
        <is>
          <t>Control cable 600 V Type TC-ER, Cu #10 AWG (CT / VT circuits)</t>
        </is>
      </c>
      <c r="K5284" s="12" t="inlineStr">
        <is>
          <t>CTCT|4/C|10</t>
        </is>
      </c>
      <c r="L5284" s="12" t="inlineStr">
        <is>
          <t>4/C</t>
        </is>
      </c>
      <c r="M5284" s="12" t="inlineStr">
        <is>
          <t>10</t>
        </is>
      </c>
      <c r="N5284" s="12" t="n">
        <v>1</v>
      </c>
      <c r="O5284" s="12" t="n">
        <v>1</v>
      </c>
      <c r="P5284" s="12" t="n"/>
      <c r="Q5284" s="12" t="n"/>
      <c r="R5284" s="12" t="n"/>
      <c r="S5284" s="12" t="inlineStr">
        <is>
          <t>Duct bank</t>
        </is>
      </c>
      <c r="T5284" s="17" t="n">
        <v>356</v>
      </c>
      <c r="U5284" s="17" t="n">
        <v>32</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K-C-0021</t>
        </is>
      </c>
      <c r="B5285" s="12" t="inlineStr">
        <is>
          <t>K</t>
        </is>
      </c>
      <c r="C5285" s="12" t="inlineStr">
        <is>
          <t>Fuel supply (adjacent market)</t>
        </is>
      </c>
      <c r="D5285" s="12" t="inlineStr">
        <is>
          <t>Motor 1 of 1: control / local station</t>
        </is>
      </c>
      <c r="E5285" s="12" t="inlineStr"/>
      <c r="F5285" s="12" t="inlineStr">
        <is>
          <t>H2 20: 13.8 kV e-house</t>
        </is>
      </c>
      <c r="G5285" s="12" t="inlineStr"/>
      <c r="H5285" s="12" t="inlineStr">
        <is>
          <t>H2 21: rectifier transformer 3 (7 MVA)</t>
        </is>
      </c>
      <c r="I5285" s="12" t="inlineStr">
        <is>
          <t>Control</t>
        </is>
      </c>
      <c r="J5285" s="12" t="inlineStr">
        <is>
          <t>ARMOR-X MC-HL 600 V control, Cu #14 AWG (Class I Div 2)</t>
        </is>
      </c>
      <c r="K5285" s="12" t="inlineStr">
        <is>
          <t>CTAX|7/C|14</t>
        </is>
      </c>
      <c r="L5285" s="12" t="inlineStr">
        <is>
          <t>7/C</t>
        </is>
      </c>
      <c r="M5285" s="12" t="inlineStr">
        <is>
          <t>14</t>
        </is>
      </c>
      <c r="N5285" s="12" t="n">
        <v>1</v>
      </c>
      <c r="O5285" s="12" t="n">
        <v>1</v>
      </c>
      <c r="P5285" s="12" t="n"/>
      <c r="Q5285" s="12" t="n"/>
      <c r="R5285" s="12" t="n"/>
      <c r="S5285" s="12" t="inlineStr">
        <is>
          <t>Duct bank</t>
        </is>
      </c>
      <c r="T5285" s="17" t="n">
        <v>334</v>
      </c>
      <c r="U5285" s="17" t="n">
        <v>32</v>
      </c>
      <c r="V5285" s="17">
        <f>ROUNDUP((T5285+U5285+2*'Read Me'!$B$13)*(1+'Read Me'!$B$12),-1)</f>
        <v/>
      </c>
      <c r="W5285" s="17">
        <f>V5285*N5285*O5285</f>
        <v/>
      </c>
      <c r="X5285" s="12">
        <f>IF(LEFT(I5285,2)="MV",2*N5285*IF(L5285="1/C",O5285,1),0)</f>
        <v/>
      </c>
      <c r="Y5285" s="12">
        <f>IF(OR(LEFT(K5285,4)="LVAX",LEFT(K5285,6)="MV15AX",LEFT(K5285,4)="CTAX",LEFT(K5285,2)="W|"),2*N5285*O5285,0)</f>
        <v/>
      </c>
      <c r="Z5285" s="12" t="inlineStr"/>
      <c r="AA5285" s="12">
        <f>N5285*O5285</f>
        <v/>
      </c>
    </row>
    <row r="5286">
      <c r="A5286" s="12" t="inlineStr">
        <is>
          <t>K-C-0022</t>
        </is>
      </c>
      <c r="B5286" s="12" t="inlineStr">
        <is>
          <t>K</t>
        </is>
      </c>
      <c r="C5286" s="12" t="inlineStr">
        <is>
          <t>Fuel supply (adjacent market)</t>
        </is>
      </c>
      <c r="D5286" s="12" t="inlineStr">
        <is>
          <t>Solenoid to JB JB-H2 21: rectifier t-SOL01: 2 x 2/C (field cables)</t>
        </is>
      </c>
      <c r="E5286" s="12" t="inlineStr"/>
      <c r="F5286" s="12" t="inlineStr">
        <is>
          <t>H2 21: rectifier transformer 3 (7 MVA)</t>
        </is>
      </c>
      <c r="G5286" s="12" t="inlineStr">
        <is>
          <t>JB-H2 21: rectifier t-SOL01</t>
        </is>
      </c>
      <c r="H5286" s="12" t="inlineStr">
        <is>
          <t>H2 21: rectifier transformer 3 (7 MVA)</t>
        </is>
      </c>
      <c r="I5286" s="12" t="inlineStr">
        <is>
          <t>Control</t>
        </is>
      </c>
      <c r="J5286" s="12" t="inlineStr">
        <is>
          <t>ARMOR-X MC-HL 600 V control, Cu #14 AWG (Class I Div 2)</t>
        </is>
      </c>
      <c r="K5286" s="12" t="inlineStr">
        <is>
          <t>CTAX|2/C|14</t>
        </is>
      </c>
      <c r="L5286" s="12" t="inlineStr">
        <is>
          <t>2/C</t>
        </is>
      </c>
      <c r="M5286" s="12" t="inlineStr">
        <is>
          <t>14</t>
        </is>
      </c>
      <c r="N5286" s="12" t="n">
        <v>2</v>
      </c>
      <c r="O5286" s="12" t="n">
        <v>1</v>
      </c>
      <c r="P5286" s="12" t="n"/>
      <c r="Q5286" s="12" t="n"/>
      <c r="R5286" s="12" t="n"/>
      <c r="S5286" s="12" t="inlineStr">
        <is>
          <t>Tray / conduit</t>
        </is>
      </c>
      <c r="T5286" s="17" t="n">
        <v>41</v>
      </c>
      <c r="U5286" s="17" t="n">
        <v>10</v>
      </c>
      <c r="V5286" s="17">
        <f>ROUNDUP((T5286+U5286+2*'Read Me'!$B$13)*(1+'Read Me'!$B$12),-1)</f>
        <v/>
      </c>
      <c r="W5286" s="17">
        <f>V5286*N5286*O5286</f>
        <v/>
      </c>
      <c r="X5286" s="12">
        <f>IF(LEFT(I5286,2)="MV",2*N5286*IF(L5286="1/C",O5286,1),0)</f>
        <v/>
      </c>
      <c r="Y5286" s="12">
        <f>IF(OR(LEFT(K5286,4)="LVAX",LEFT(K5286,6)="MV15AX",LEFT(K5286,4)="CTAX",LEFT(K5286,2)="W|"),2*N5286*O5286,0)</f>
        <v/>
      </c>
      <c r="Z5286" s="12" t="inlineStr">
        <is>
          <t>device-to-JB field wiring, one cable per device</t>
        </is>
      </c>
      <c r="AA5286" s="12">
        <f>N5286*O5286</f>
        <v/>
      </c>
    </row>
    <row r="5287">
      <c r="A5287" s="12" t="inlineStr">
        <is>
          <t>K-C-0023</t>
        </is>
      </c>
      <c r="B5287" s="12" t="inlineStr">
        <is>
          <t>K</t>
        </is>
      </c>
      <c r="C5287" s="12" t="inlineStr">
        <is>
          <t>Fuel supply (adjacent market)</t>
        </is>
      </c>
      <c r="D5287" s="12" t="inlineStr">
        <is>
          <t>Home run JB-H2 21: rectifier t-SOL01 to the control / marshalling room</t>
        </is>
      </c>
      <c r="E5287" s="12" t="inlineStr"/>
      <c r="F5287" s="12" t="inlineStr">
        <is>
          <t>H2 20: 13.8 kV e-house</t>
        </is>
      </c>
      <c r="G5287" s="12" t="inlineStr">
        <is>
          <t>JB-H2 21: rectifier t-SOL01</t>
        </is>
      </c>
      <c r="H5287" s="12" t="inlineStr">
        <is>
          <t>H2 21: rectifier transformer 3 (7 MVA)</t>
        </is>
      </c>
      <c r="I5287" s="12" t="inlineStr">
        <is>
          <t>Control</t>
        </is>
      </c>
      <c r="J5287" s="12" t="inlineStr">
        <is>
          <t>ARMOR-X MC-HL 600 V control, Cu #14 AWG (Class I Div 2)</t>
        </is>
      </c>
      <c r="K5287" s="12" t="inlineStr">
        <is>
          <t>CTAX|25/C|14</t>
        </is>
      </c>
      <c r="L5287" s="12" t="inlineStr">
        <is>
          <t>25/C</t>
        </is>
      </c>
      <c r="M5287" s="12" t="inlineStr">
        <is>
          <t>14</t>
        </is>
      </c>
      <c r="N5287" s="12" t="n">
        <v>1</v>
      </c>
      <c r="O5287" s="12" t="n">
        <v>1</v>
      </c>
      <c r="P5287" s="12" t="n"/>
      <c r="Q5287" s="12" t="n"/>
      <c r="R5287" s="12" t="n"/>
      <c r="S5287" s="12" t="inlineStr">
        <is>
          <t>Duct bank</t>
        </is>
      </c>
      <c r="T5287" s="17" t="n">
        <v>334</v>
      </c>
      <c r="U5287" s="17" t="n">
        <v>32</v>
      </c>
      <c r="V5287" s="17">
        <f>ROUNDUP((T5287+U5287+2*'Read Me'!$B$13)*(1+'Read Me'!$B$12),-1)</f>
        <v/>
      </c>
      <c r="W5287" s="17">
        <f>V5287*N5287*O5287</f>
        <v/>
      </c>
      <c r="X5287" s="12">
        <f>IF(LEFT(I5287,2)="MV",2*N5287*IF(L5287="1/C",O5287,1),0)</f>
        <v/>
      </c>
      <c r="Y5287" s="12">
        <f>IF(OR(LEFT(K5287,4)="LVAX",LEFT(K5287,6)="MV15AX",LEFT(K5287,4)="CTAX",LEFT(K5287,2)="W|"),2*N5287*O5287,0)</f>
        <v/>
      </c>
      <c r="Z5287" s="12" t="inlineStr"/>
      <c r="AA5287" s="12">
        <f>N5287*O5287</f>
        <v/>
      </c>
    </row>
    <row r="5288">
      <c r="A5288" s="12" t="inlineStr">
        <is>
          <t>K-C-0024</t>
        </is>
      </c>
      <c r="B5288" s="12" t="inlineStr">
        <is>
          <t>K</t>
        </is>
      </c>
      <c r="C5288" s="12" t="inlineStr">
        <is>
          <t>Fuel supply (adjacent market)</t>
        </is>
      </c>
      <c r="D5288" s="12" t="inlineStr">
        <is>
          <t>Control</t>
        </is>
      </c>
      <c r="E5288" s="12" t="inlineStr"/>
      <c r="F5288" s="12" t="inlineStr">
        <is>
          <t>H2 20: 13.8 kV e-house</t>
        </is>
      </c>
      <c r="G5288" s="12" t="inlineStr"/>
      <c r="H5288" s="12" t="inlineStr">
        <is>
          <t>H2 21: rectifier transformer 3 (7 MVA)</t>
        </is>
      </c>
      <c r="I5288" s="12" t="inlineStr">
        <is>
          <t>Control</t>
        </is>
      </c>
      <c r="J5288" s="12" t="inlineStr">
        <is>
          <t>ARMOR-X MC-HL 600 V control, Cu #14 AWG (Class I Div 2)</t>
        </is>
      </c>
      <c r="K5288" s="12" t="inlineStr">
        <is>
          <t>CTAX|7/C|14</t>
        </is>
      </c>
      <c r="L5288" s="12" t="inlineStr">
        <is>
          <t>7/C</t>
        </is>
      </c>
      <c r="M5288" s="12" t="inlineStr">
        <is>
          <t>14</t>
        </is>
      </c>
      <c r="N5288" s="12" t="n">
        <v>1</v>
      </c>
      <c r="O5288" s="12" t="n">
        <v>1</v>
      </c>
      <c r="P5288" s="12" t="n"/>
      <c r="Q5288" s="12" t="n"/>
      <c r="R5288" s="12" t="n"/>
      <c r="S5288" s="12" t="inlineStr">
        <is>
          <t>Duct bank</t>
        </is>
      </c>
      <c r="T5288" s="17" t="n">
        <v>334</v>
      </c>
      <c r="U5288" s="17" t="n">
        <v>32</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K-C-0025</t>
        </is>
      </c>
      <c r="B5289" s="12" t="inlineStr">
        <is>
          <t>K</t>
        </is>
      </c>
      <c r="C5289" s="12" t="inlineStr">
        <is>
          <t>Fuel supply (adjacent market)</t>
        </is>
      </c>
      <c r="D5289" s="12" t="inlineStr">
        <is>
          <t>Control</t>
        </is>
      </c>
      <c r="E5289" s="12" t="inlineStr"/>
      <c r="F5289" s="12" t="inlineStr">
        <is>
          <t>H2 20: 13.8 kV e-house</t>
        </is>
      </c>
      <c r="G5289" s="12" t="inlineStr"/>
      <c r="H5289" s="12" t="inlineStr">
        <is>
          <t>H2 21: rectifier transformer 3 (7 MVA)</t>
        </is>
      </c>
      <c r="I5289" s="12" t="inlineStr">
        <is>
          <t>Control</t>
        </is>
      </c>
      <c r="J5289" s="12" t="inlineStr">
        <is>
          <t>ARMOR-X MC-HL 600 V control, Cu #14 AWG (Class I Div 2)</t>
        </is>
      </c>
      <c r="K5289" s="12" t="inlineStr">
        <is>
          <t>CTAX|12/C|14</t>
        </is>
      </c>
      <c r="L5289" s="12" t="inlineStr">
        <is>
          <t>12/C</t>
        </is>
      </c>
      <c r="M5289" s="12" t="inlineStr">
        <is>
          <t>14</t>
        </is>
      </c>
      <c r="N5289" s="12" t="n">
        <v>1</v>
      </c>
      <c r="O5289" s="12" t="n">
        <v>1</v>
      </c>
      <c r="P5289" s="12" t="n"/>
      <c r="Q5289" s="12" t="n"/>
      <c r="R5289" s="12" t="n"/>
      <c r="S5289" s="12" t="inlineStr">
        <is>
          <t>Duct bank</t>
        </is>
      </c>
      <c r="T5289" s="17" t="n">
        <v>334</v>
      </c>
      <c r="U5289" s="17" t="n">
        <v>32</v>
      </c>
      <c r="V5289" s="17">
        <f>ROUNDUP((T5289+U5289+2*'Read Me'!$B$13)*(1+'Read Me'!$B$12),-1)</f>
        <v/>
      </c>
      <c r="W5289" s="17">
        <f>V5289*N5289*O5289</f>
        <v/>
      </c>
      <c r="X5289" s="12">
        <f>IF(LEFT(I5289,2)="MV",2*N5289*IF(L5289="1/C",O5289,1),0)</f>
        <v/>
      </c>
      <c r="Y5289" s="12">
        <f>IF(OR(LEFT(K5289,4)="LVAX",LEFT(K5289,6)="MV15AX",LEFT(K5289,4)="CTAX",LEFT(K5289,2)="W|"),2*N5289*O5289,0)</f>
        <v/>
      </c>
      <c r="Z5289" s="12" t="inlineStr"/>
      <c r="AA5289" s="12">
        <f>N5289*O5289</f>
        <v/>
      </c>
    </row>
    <row r="5290">
      <c r="A5290" s="12" t="inlineStr">
        <is>
          <t>K-C-0026</t>
        </is>
      </c>
      <c r="B5290" s="12" t="inlineStr">
        <is>
          <t>K</t>
        </is>
      </c>
      <c r="C5290" s="12" t="inlineStr">
        <is>
          <t>Fuel supply (adjacent market)</t>
        </is>
      </c>
      <c r="D5290" s="12" t="inlineStr">
        <is>
          <t>CT / VT</t>
        </is>
      </c>
      <c r="E5290" s="12" t="inlineStr"/>
      <c r="F5290" s="12" t="inlineStr">
        <is>
          <t>H2 20: 13.8 kV e-house</t>
        </is>
      </c>
      <c r="G5290" s="12" t="inlineStr"/>
      <c r="H5290" s="12" t="inlineStr">
        <is>
          <t>H2 21: rectifier transformer 3 (7 MVA)</t>
        </is>
      </c>
      <c r="I5290" s="12" t="inlineStr">
        <is>
          <t>Control</t>
        </is>
      </c>
      <c r="J5290" s="12" t="inlineStr">
        <is>
          <t>Control cable 600 V Type TC-ER, Cu #10 AWG (CT / VT circuits)</t>
        </is>
      </c>
      <c r="K5290" s="12" t="inlineStr">
        <is>
          <t>CTCT|4/C|10</t>
        </is>
      </c>
      <c r="L5290" s="12" t="inlineStr">
        <is>
          <t>4/C</t>
        </is>
      </c>
      <c r="M5290" s="12" t="inlineStr">
        <is>
          <t>10</t>
        </is>
      </c>
      <c r="N5290" s="12" t="n">
        <v>1</v>
      </c>
      <c r="O5290" s="12" t="n">
        <v>1</v>
      </c>
      <c r="P5290" s="12" t="n"/>
      <c r="Q5290" s="12" t="n"/>
      <c r="R5290" s="12" t="n"/>
      <c r="S5290" s="12" t="inlineStr">
        <is>
          <t>Duct bank</t>
        </is>
      </c>
      <c r="T5290" s="17" t="n">
        <v>334</v>
      </c>
      <c r="U5290" s="17" t="n">
        <v>32</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K-C-0027</t>
        </is>
      </c>
      <c r="B5291" s="12" t="inlineStr">
        <is>
          <t>K</t>
        </is>
      </c>
      <c r="C5291" s="12" t="inlineStr">
        <is>
          <t>Fuel supply (adjacent market)</t>
        </is>
      </c>
      <c r="D5291" s="12" t="inlineStr">
        <is>
          <t>CT / VT</t>
        </is>
      </c>
      <c r="E5291" s="12" t="inlineStr"/>
      <c r="F5291" s="12" t="inlineStr">
        <is>
          <t>H2 20: 13.8 kV e-house</t>
        </is>
      </c>
      <c r="G5291" s="12" t="inlineStr"/>
      <c r="H5291" s="12" t="inlineStr">
        <is>
          <t>H2 21: rectifier transformer 3 (7 MVA)</t>
        </is>
      </c>
      <c r="I5291" s="12" t="inlineStr">
        <is>
          <t>Control</t>
        </is>
      </c>
      <c r="J5291" s="12" t="inlineStr">
        <is>
          <t>Control cable 600 V Type TC-ER, Cu #10 AWG (CT / VT circuits)</t>
        </is>
      </c>
      <c r="K5291" s="12" t="inlineStr">
        <is>
          <t>CTCT|4/C|10</t>
        </is>
      </c>
      <c r="L5291" s="12" t="inlineStr">
        <is>
          <t>4/C</t>
        </is>
      </c>
      <c r="M5291" s="12" t="inlineStr">
        <is>
          <t>10</t>
        </is>
      </c>
      <c r="N5291" s="12" t="n">
        <v>1</v>
      </c>
      <c r="O5291" s="12" t="n">
        <v>1</v>
      </c>
      <c r="P5291" s="12" t="n"/>
      <c r="Q5291" s="12" t="n"/>
      <c r="R5291" s="12" t="n"/>
      <c r="S5291" s="12" t="inlineStr">
        <is>
          <t>Duct bank</t>
        </is>
      </c>
      <c r="T5291" s="17" t="n">
        <v>334</v>
      </c>
      <c r="U5291" s="17" t="n">
        <v>32</v>
      </c>
      <c r="V5291" s="17">
        <f>ROUNDUP((T5291+U5291+2*'Read Me'!$B$13)*(1+'Read Me'!$B$12),-1)</f>
        <v/>
      </c>
      <c r="W5291" s="17">
        <f>V5291*N5291*O5291</f>
        <v/>
      </c>
      <c r="X5291" s="12">
        <f>IF(LEFT(I5291,2)="MV",2*N5291*IF(L5291="1/C",O5291,1),0)</f>
        <v/>
      </c>
      <c r="Y5291" s="12">
        <f>IF(OR(LEFT(K5291,4)="LVAX",LEFT(K5291,6)="MV15AX",LEFT(K5291,4)="CTAX",LEFT(K5291,2)="W|"),2*N5291*O5291,0)</f>
        <v/>
      </c>
      <c r="Z5291" s="12" t="inlineStr"/>
      <c r="AA5291" s="12">
        <f>N5291*O5291</f>
        <v/>
      </c>
    </row>
    <row r="5292">
      <c r="A5292" s="12" t="inlineStr">
        <is>
          <t>K-C-0028</t>
        </is>
      </c>
      <c r="B5292" s="12" t="inlineStr">
        <is>
          <t>K</t>
        </is>
      </c>
      <c r="C5292" s="12" t="inlineStr">
        <is>
          <t>Fuel supply (adjacent market)</t>
        </is>
      </c>
      <c r="D5292" s="12" t="inlineStr">
        <is>
          <t>Motor 1 of 1: control / local station</t>
        </is>
      </c>
      <c r="E5292" s="12" t="inlineStr"/>
      <c r="F5292" s="12" t="inlineStr">
        <is>
          <t>H2 20: 13.8 kV e-house</t>
        </is>
      </c>
      <c r="G5292" s="12" t="inlineStr"/>
      <c r="H5292" s="12" t="inlineStr">
        <is>
          <t>H2 21: rectifier transformer 4 (7 MVA)</t>
        </is>
      </c>
      <c r="I5292" s="12" t="inlineStr">
        <is>
          <t>Control</t>
        </is>
      </c>
      <c r="J5292" s="12" t="inlineStr">
        <is>
          <t>ARMOR-X MC-HL 600 V control, Cu #14 AWG (Class I Div 2)</t>
        </is>
      </c>
      <c r="K5292" s="12" t="inlineStr">
        <is>
          <t>CTAX|7/C|14</t>
        </is>
      </c>
      <c r="L5292" s="12" t="inlineStr">
        <is>
          <t>7/C</t>
        </is>
      </c>
      <c r="M5292" s="12" t="inlineStr">
        <is>
          <t>14</t>
        </is>
      </c>
      <c r="N5292" s="12" t="n">
        <v>1</v>
      </c>
      <c r="O5292" s="12" t="n">
        <v>1</v>
      </c>
      <c r="P5292" s="12" t="n"/>
      <c r="Q5292" s="12" t="n"/>
      <c r="R5292" s="12" t="n"/>
      <c r="S5292" s="12" t="inlineStr">
        <is>
          <t>Duct bank</t>
        </is>
      </c>
      <c r="T5292" s="17" t="n">
        <v>312</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K-C-0029</t>
        </is>
      </c>
      <c r="B5293" s="12" t="inlineStr">
        <is>
          <t>K</t>
        </is>
      </c>
      <c r="C5293" s="12" t="inlineStr">
        <is>
          <t>Fuel supply (adjacent market)</t>
        </is>
      </c>
      <c r="D5293" s="12" t="inlineStr">
        <is>
          <t>Solenoid to JB JB-H2 21: rectifier t-SOL01: 2 x 2/C (field cables)</t>
        </is>
      </c>
      <c r="E5293" s="12" t="inlineStr"/>
      <c r="F5293" s="12" t="inlineStr">
        <is>
          <t>H2 21: rectifier transformer 4 (7 MVA)</t>
        </is>
      </c>
      <c r="G5293" s="12" t="inlineStr">
        <is>
          <t>JB-H2 21: rectifier t-SOL01</t>
        </is>
      </c>
      <c r="H5293" s="12" t="inlineStr">
        <is>
          <t>H2 21: rectifier transformer 4 (7 MVA)</t>
        </is>
      </c>
      <c r="I5293" s="12" t="inlineStr">
        <is>
          <t>Control</t>
        </is>
      </c>
      <c r="J5293" s="12" t="inlineStr">
        <is>
          <t>ARMOR-X MC-HL 600 V control, Cu #14 AWG (Class I Div 2)</t>
        </is>
      </c>
      <c r="K5293" s="12" t="inlineStr">
        <is>
          <t>CTAX|2/C|14</t>
        </is>
      </c>
      <c r="L5293" s="12" t="inlineStr">
        <is>
          <t>2/C</t>
        </is>
      </c>
      <c r="M5293" s="12" t="inlineStr">
        <is>
          <t>14</t>
        </is>
      </c>
      <c r="N5293" s="12" t="n">
        <v>2</v>
      </c>
      <c r="O5293" s="12" t="n">
        <v>1</v>
      </c>
      <c r="P5293" s="12" t="n"/>
      <c r="Q5293" s="12" t="n"/>
      <c r="R5293" s="12" t="n"/>
      <c r="S5293" s="12" t="inlineStr">
        <is>
          <t>Tray / conduit</t>
        </is>
      </c>
      <c r="T5293" s="17" t="n">
        <v>41</v>
      </c>
      <c r="U5293" s="17" t="n">
        <v>10</v>
      </c>
      <c r="V5293" s="17">
        <f>ROUNDUP((T5293+U5293+2*'Read Me'!$B$13)*(1+'Read Me'!$B$12),-1)</f>
        <v/>
      </c>
      <c r="W5293" s="17">
        <f>V5293*N5293*O5293</f>
        <v/>
      </c>
      <c r="X5293" s="12">
        <f>IF(LEFT(I5293,2)="MV",2*N5293*IF(L5293="1/C",O5293,1),0)</f>
        <v/>
      </c>
      <c r="Y5293" s="12">
        <f>IF(OR(LEFT(K5293,4)="LVAX",LEFT(K5293,6)="MV15AX",LEFT(K5293,4)="CTAX",LEFT(K5293,2)="W|"),2*N5293*O5293,0)</f>
        <v/>
      </c>
      <c r="Z5293" s="12" t="inlineStr">
        <is>
          <t>device-to-JB field wiring, one cable per device</t>
        </is>
      </c>
      <c r="AA5293" s="12">
        <f>N5293*O5293</f>
        <v/>
      </c>
    </row>
    <row r="5294">
      <c r="A5294" s="12" t="inlineStr">
        <is>
          <t>K-C-0030</t>
        </is>
      </c>
      <c r="B5294" s="12" t="inlineStr">
        <is>
          <t>K</t>
        </is>
      </c>
      <c r="C5294" s="12" t="inlineStr">
        <is>
          <t>Fuel supply (adjacent market)</t>
        </is>
      </c>
      <c r="D5294" s="12" t="inlineStr">
        <is>
          <t>Home run JB-H2 21: rectifier t-SOL01 to the control / marshalling room</t>
        </is>
      </c>
      <c r="E5294" s="12" t="inlineStr"/>
      <c r="F5294" s="12" t="inlineStr">
        <is>
          <t>H2 20: 13.8 kV e-house</t>
        </is>
      </c>
      <c r="G5294" s="12" t="inlineStr">
        <is>
          <t>JB-H2 21: rectifier t-SOL01</t>
        </is>
      </c>
      <c r="H5294" s="12" t="inlineStr">
        <is>
          <t>H2 21: rectifier transformer 4 (7 MVA)</t>
        </is>
      </c>
      <c r="I5294" s="12" t="inlineStr">
        <is>
          <t>Control</t>
        </is>
      </c>
      <c r="J5294" s="12" t="inlineStr">
        <is>
          <t>ARMOR-X MC-HL 600 V control, Cu #14 AWG (Class I Div 2)</t>
        </is>
      </c>
      <c r="K5294" s="12" t="inlineStr">
        <is>
          <t>CTAX|25/C|14</t>
        </is>
      </c>
      <c r="L5294" s="12" t="inlineStr">
        <is>
          <t>25/C</t>
        </is>
      </c>
      <c r="M5294" s="12" t="inlineStr">
        <is>
          <t>14</t>
        </is>
      </c>
      <c r="N5294" s="12" t="n">
        <v>1</v>
      </c>
      <c r="O5294" s="12" t="n">
        <v>1</v>
      </c>
      <c r="P5294" s="12" t="n"/>
      <c r="Q5294" s="12" t="n"/>
      <c r="R5294" s="12" t="n"/>
      <c r="S5294" s="12" t="inlineStr">
        <is>
          <t>Duct bank</t>
        </is>
      </c>
      <c r="T5294" s="17" t="n">
        <v>312</v>
      </c>
      <c r="U5294" s="17" t="n">
        <v>32</v>
      </c>
      <c r="V5294" s="17">
        <f>ROUNDUP((T5294+U5294+2*'Read Me'!$B$13)*(1+'Read Me'!$B$12),-1)</f>
        <v/>
      </c>
      <c r="W5294" s="17">
        <f>V5294*N5294*O5294</f>
        <v/>
      </c>
      <c r="X5294" s="12">
        <f>IF(LEFT(I5294,2)="MV",2*N5294*IF(L5294="1/C",O5294,1),0)</f>
        <v/>
      </c>
      <c r="Y5294" s="12">
        <f>IF(OR(LEFT(K5294,4)="LVAX",LEFT(K5294,6)="MV15AX",LEFT(K5294,4)="CTAX",LEFT(K5294,2)="W|"),2*N5294*O5294,0)</f>
        <v/>
      </c>
      <c r="Z5294" s="12" t="inlineStr"/>
      <c r="AA5294" s="12">
        <f>N5294*O5294</f>
        <v/>
      </c>
    </row>
    <row r="5295">
      <c r="A5295" s="12" t="inlineStr">
        <is>
          <t>K-C-0031</t>
        </is>
      </c>
      <c r="B5295" s="12" t="inlineStr">
        <is>
          <t>K</t>
        </is>
      </c>
      <c r="C5295" s="12" t="inlineStr">
        <is>
          <t>Fuel supply (adjacent market)</t>
        </is>
      </c>
      <c r="D5295" s="12" t="inlineStr">
        <is>
          <t>Control</t>
        </is>
      </c>
      <c r="E5295" s="12" t="inlineStr"/>
      <c r="F5295" s="12" t="inlineStr">
        <is>
          <t>H2 20: 13.8 kV e-house</t>
        </is>
      </c>
      <c r="G5295" s="12" t="inlineStr"/>
      <c r="H5295" s="12" t="inlineStr">
        <is>
          <t>H2 21: rectifier transformer 4 (7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7" t="n">
        <v>312</v>
      </c>
      <c r="U5295" s="17" t="n">
        <v>32</v>
      </c>
      <c r="V5295" s="17">
        <f>ROUNDUP((T5295+U5295+2*'Read Me'!$B$13)*(1+'Read Me'!$B$12),-1)</f>
        <v/>
      </c>
      <c r="W5295" s="17">
        <f>V5295*N5295*O5295</f>
        <v/>
      </c>
      <c r="X5295" s="12">
        <f>IF(LEFT(I5295,2)="MV",2*N5295*IF(L5295="1/C",O5295,1),0)</f>
        <v/>
      </c>
      <c r="Y5295" s="12">
        <f>IF(OR(LEFT(K5295,4)="LVAX",LEFT(K5295,6)="MV15AX",LEFT(K5295,4)="CTAX",LEFT(K5295,2)="W|"),2*N5295*O5295,0)</f>
        <v/>
      </c>
      <c r="Z5295" s="12" t="inlineStr"/>
      <c r="AA5295" s="12">
        <f>N5295*O5295</f>
        <v/>
      </c>
    </row>
    <row r="5296">
      <c r="A5296" s="12" t="inlineStr">
        <is>
          <t>K-C-0032</t>
        </is>
      </c>
      <c r="B5296" s="12" t="inlineStr">
        <is>
          <t>K</t>
        </is>
      </c>
      <c r="C5296" s="12" t="inlineStr">
        <is>
          <t>Fuel supply (adjacent market)</t>
        </is>
      </c>
      <c r="D5296" s="12" t="inlineStr">
        <is>
          <t>Control</t>
        </is>
      </c>
      <c r="E5296" s="12" t="inlineStr"/>
      <c r="F5296" s="12" t="inlineStr">
        <is>
          <t>H2 20: 13.8 kV e-house</t>
        </is>
      </c>
      <c r="G5296" s="12" t="inlineStr"/>
      <c r="H5296" s="12" t="inlineStr">
        <is>
          <t>H2 21: rectifier transformer 4 (7 MVA)</t>
        </is>
      </c>
      <c r="I5296" s="12" t="inlineStr">
        <is>
          <t>Control</t>
        </is>
      </c>
      <c r="J5296" s="12" t="inlineStr">
        <is>
          <t>ARMOR-X MC-HL 600 V control, Cu #14 AWG (Class I Div 2)</t>
        </is>
      </c>
      <c r="K5296" s="12" t="inlineStr">
        <is>
          <t>CTAX|12/C|14</t>
        </is>
      </c>
      <c r="L5296" s="12" t="inlineStr">
        <is>
          <t>12/C</t>
        </is>
      </c>
      <c r="M5296" s="12" t="inlineStr">
        <is>
          <t>14</t>
        </is>
      </c>
      <c r="N5296" s="12" t="n">
        <v>1</v>
      </c>
      <c r="O5296" s="12" t="n">
        <v>1</v>
      </c>
      <c r="P5296" s="12" t="n"/>
      <c r="Q5296" s="12" t="n"/>
      <c r="R5296" s="12" t="n"/>
      <c r="S5296" s="12" t="inlineStr">
        <is>
          <t>Duct bank</t>
        </is>
      </c>
      <c r="T5296" s="17" t="n">
        <v>312</v>
      </c>
      <c r="U5296" s="17" t="n">
        <v>32</v>
      </c>
      <c r="V5296" s="17">
        <f>ROUNDUP((T5296+U5296+2*'Read Me'!$B$13)*(1+'Read Me'!$B$12),-1)</f>
        <v/>
      </c>
      <c r="W5296" s="17">
        <f>V5296*N5296*O5296</f>
        <v/>
      </c>
      <c r="X5296" s="12">
        <f>IF(LEFT(I5296,2)="MV",2*N5296*IF(L5296="1/C",O5296,1),0)</f>
        <v/>
      </c>
      <c r="Y5296" s="12">
        <f>IF(OR(LEFT(K5296,4)="LVAX",LEFT(K5296,6)="MV15AX",LEFT(K5296,4)="CTAX",LEFT(K5296,2)="W|"),2*N5296*O5296,0)</f>
        <v/>
      </c>
      <c r="Z5296" s="12" t="inlineStr"/>
      <c r="AA5296" s="12">
        <f>N5296*O5296</f>
        <v/>
      </c>
    </row>
    <row r="5297">
      <c r="A5297" s="12" t="inlineStr">
        <is>
          <t>K-C-0033</t>
        </is>
      </c>
      <c r="B5297" s="12" t="inlineStr">
        <is>
          <t>K</t>
        </is>
      </c>
      <c r="C5297" s="12" t="inlineStr">
        <is>
          <t>Fuel supply (adjacent market)</t>
        </is>
      </c>
      <c r="D5297" s="12" t="inlineStr">
        <is>
          <t>CT / VT</t>
        </is>
      </c>
      <c r="E5297" s="12" t="inlineStr"/>
      <c r="F5297" s="12" t="inlineStr">
        <is>
          <t>H2 20: 13.8 kV e-house</t>
        </is>
      </c>
      <c r="G5297" s="12" t="inlineStr"/>
      <c r="H5297" s="12" t="inlineStr">
        <is>
          <t>H2 21: rectifier transformer 4 (7 MVA)</t>
        </is>
      </c>
      <c r="I5297" s="12" t="inlineStr">
        <is>
          <t>Control</t>
        </is>
      </c>
      <c r="J5297" s="12" t="inlineStr">
        <is>
          <t>Control cable 600 V Type TC-ER, Cu #10 AWG (CT / VT circuits)</t>
        </is>
      </c>
      <c r="K5297" s="12" t="inlineStr">
        <is>
          <t>CTCT|4/C|10</t>
        </is>
      </c>
      <c r="L5297" s="12" t="inlineStr">
        <is>
          <t>4/C</t>
        </is>
      </c>
      <c r="M5297" s="12" t="inlineStr">
        <is>
          <t>10</t>
        </is>
      </c>
      <c r="N5297" s="12" t="n">
        <v>1</v>
      </c>
      <c r="O5297" s="12" t="n">
        <v>1</v>
      </c>
      <c r="P5297" s="12" t="n"/>
      <c r="Q5297" s="12" t="n"/>
      <c r="R5297" s="12" t="n"/>
      <c r="S5297" s="12" t="inlineStr">
        <is>
          <t>Duct bank</t>
        </is>
      </c>
      <c r="T5297" s="17" t="n">
        <v>312</v>
      </c>
      <c r="U5297" s="17" t="n">
        <v>32</v>
      </c>
      <c r="V5297" s="17">
        <f>ROUNDUP((T5297+U5297+2*'Read Me'!$B$13)*(1+'Read Me'!$B$12),-1)</f>
        <v/>
      </c>
      <c r="W5297" s="17">
        <f>V5297*N5297*O5297</f>
        <v/>
      </c>
      <c r="X5297" s="12">
        <f>IF(LEFT(I5297,2)="MV",2*N5297*IF(L5297="1/C",O5297,1),0)</f>
        <v/>
      </c>
      <c r="Y5297" s="12">
        <f>IF(OR(LEFT(K5297,4)="LVAX",LEFT(K5297,6)="MV15AX",LEFT(K5297,4)="CTAX",LEFT(K5297,2)="W|"),2*N5297*O5297,0)</f>
        <v/>
      </c>
      <c r="Z5297" s="12" t="inlineStr"/>
      <c r="AA5297" s="12">
        <f>N5297*O5297</f>
        <v/>
      </c>
    </row>
    <row r="5298">
      <c r="A5298" s="12" t="inlineStr">
        <is>
          <t>K-C-0034</t>
        </is>
      </c>
      <c r="B5298" s="12" t="inlineStr">
        <is>
          <t>K</t>
        </is>
      </c>
      <c r="C5298" s="12" t="inlineStr">
        <is>
          <t>Fuel supply (adjacent market)</t>
        </is>
      </c>
      <c r="D5298" s="12" t="inlineStr">
        <is>
          <t>CT / VT</t>
        </is>
      </c>
      <c r="E5298" s="12" t="inlineStr"/>
      <c r="F5298" s="12" t="inlineStr">
        <is>
          <t>H2 20: 13.8 kV e-house</t>
        </is>
      </c>
      <c r="G5298" s="12" t="inlineStr"/>
      <c r="H5298" s="12" t="inlineStr">
        <is>
          <t>H2 21: rectifier transformer 4 (7 MVA)</t>
        </is>
      </c>
      <c r="I5298" s="12" t="inlineStr">
        <is>
          <t>Control</t>
        </is>
      </c>
      <c r="J5298" s="12" t="inlineStr">
        <is>
          <t>Control cable 600 V Type TC-ER, Cu #10 AWG (CT / VT circuits)</t>
        </is>
      </c>
      <c r="K5298" s="12" t="inlineStr">
        <is>
          <t>CTCT|4/C|10</t>
        </is>
      </c>
      <c r="L5298" s="12" t="inlineStr">
        <is>
          <t>4/C</t>
        </is>
      </c>
      <c r="M5298" s="12" t="inlineStr">
        <is>
          <t>10</t>
        </is>
      </c>
      <c r="N5298" s="12" t="n">
        <v>1</v>
      </c>
      <c r="O5298" s="12" t="n">
        <v>1</v>
      </c>
      <c r="P5298" s="12" t="n"/>
      <c r="Q5298" s="12" t="n"/>
      <c r="R5298" s="12" t="n"/>
      <c r="S5298" s="12" t="inlineStr">
        <is>
          <t>Duct bank</t>
        </is>
      </c>
      <c r="T5298" s="17" t="n">
        <v>312</v>
      </c>
      <c r="U5298" s="17" t="n">
        <v>32</v>
      </c>
      <c r="V5298" s="17">
        <f>ROUNDUP((T5298+U5298+2*'Read Me'!$B$13)*(1+'Read Me'!$B$12),-1)</f>
        <v/>
      </c>
      <c r="W5298" s="17">
        <f>V5298*N5298*O5298</f>
        <v/>
      </c>
      <c r="X5298" s="12">
        <f>IF(LEFT(I5298,2)="MV",2*N5298*IF(L5298="1/C",O5298,1),0)</f>
        <v/>
      </c>
      <c r="Y5298" s="12">
        <f>IF(OR(LEFT(K5298,4)="LVAX",LEFT(K5298,6)="MV15AX",LEFT(K5298,4)="CTAX",LEFT(K5298,2)="W|"),2*N5298*O5298,0)</f>
        <v/>
      </c>
      <c r="Z5298" s="12" t="inlineStr"/>
      <c r="AA5298" s="12">
        <f>N5298*O5298</f>
        <v/>
      </c>
    </row>
    <row r="5299">
      <c r="A5299" s="12" t="inlineStr">
        <is>
          <t>K-C-0035</t>
        </is>
      </c>
      <c r="B5299" s="12" t="inlineStr">
        <is>
          <t>K</t>
        </is>
      </c>
      <c r="C5299" s="12" t="inlineStr">
        <is>
          <t>Fuel supply (adjacent market)</t>
        </is>
      </c>
      <c r="D5299" s="12" t="inlineStr">
        <is>
          <t>Motor 1 of 1: control / local station</t>
        </is>
      </c>
      <c r="E5299" s="12" t="inlineStr"/>
      <c r="F5299" s="12" t="inlineStr">
        <is>
          <t>H2 20: 13.8 kV e-house</t>
        </is>
      </c>
      <c r="G5299" s="12" t="inlineStr"/>
      <c r="H5299" s="12" t="inlineStr">
        <is>
          <t>H2 21: rectifier transformer 5 (7 MVA)</t>
        </is>
      </c>
      <c r="I5299" s="12" t="inlineStr">
        <is>
          <t>Control</t>
        </is>
      </c>
      <c r="J5299" s="12" t="inlineStr">
        <is>
          <t>ARMOR-X MC-HL 600 V control, Cu #14 AWG (Class I Div 2)</t>
        </is>
      </c>
      <c r="K5299" s="12" t="inlineStr">
        <is>
          <t>CTAX|7/C|14</t>
        </is>
      </c>
      <c r="L5299" s="12" t="inlineStr">
        <is>
          <t>7/C</t>
        </is>
      </c>
      <c r="M5299" s="12" t="inlineStr">
        <is>
          <t>14</t>
        </is>
      </c>
      <c r="N5299" s="12" t="n">
        <v>1</v>
      </c>
      <c r="O5299" s="12" t="n">
        <v>1</v>
      </c>
      <c r="P5299" s="12" t="n"/>
      <c r="Q5299" s="12" t="n"/>
      <c r="R5299" s="12" t="n"/>
      <c r="S5299" s="12" t="inlineStr">
        <is>
          <t>Duct bank</t>
        </is>
      </c>
      <c r="T5299" s="17" t="n">
        <v>254</v>
      </c>
      <c r="U5299" s="17" t="n">
        <v>32</v>
      </c>
      <c r="V5299" s="17">
        <f>ROUNDUP((T5299+U5299+2*'Read Me'!$B$13)*(1+'Read Me'!$B$12),-1)</f>
        <v/>
      </c>
      <c r="W5299" s="17">
        <f>V5299*N5299*O5299</f>
        <v/>
      </c>
      <c r="X5299" s="12">
        <f>IF(LEFT(I5299,2)="MV",2*N5299*IF(L5299="1/C",O5299,1),0)</f>
        <v/>
      </c>
      <c r="Y5299" s="12">
        <f>IF(OR(LEFT(K5299,4)="LVAX",LEFT(K5299,6)="MV15AX",LEFT(K5299,4)="CTAX",LEFT(K5299,2)="W|"),2*N5299*O5299,0)</f>
        <v/>
      </c>
      <c r="Z5299" s="12" t="inlineStr"/>
      <c r="AA5299" s="12">
        <f>N5299*O5299</f>
        <v/>
      </c>
    </row>
    <row r="5300">
      <c r="A5300" s="12" t="inlineStr">
        <is>
          <t>K-C-0036</t>
        </is>
      </c>
      <c r="B5300" s="12" t="inlineStr">
        <is>
          <t>K</t>
        </is>
      </c>
      <c r="C5300" s="12" t="inlineStr">
        <is>
          <t>Fuel supply (adjacent market)</t>
        </is>
      </c>
      <c r="D5300" s="12" t="inlineStr">
        <is>
          <t>Solenoid to JB JB-H2 21: rectifier t-SOL01: 2 x 2/C (field cables)</t>
        </is>
      </c>
      <c r="E5300" s="12" t="inlineStr"/>
      <c r="F5300" s="12" t="inlineStr">
        <is>
          <t>H2 21: rectifier transformer 5 (7 MVA)</t>
        </is>
      </c>
      <c r="G5300" s="12" t="inlineStr">
        <is>
          <t>JB-H2 21: rectifier t-SOL01</t>
        </is>
      </c>
      <c r="H5300" s="12" t="inlineStr">
        <is>
          <t>H2 21: rectifier transformer 5 (7 MVA)</t>
        </is>
      </c>
      <c r="I5300" s="12" t="inlineStr">
        <is>
          <t>Control</t>
        </is>
      </c>
      <c r="J5300" s="12" t="inlineStr">
        <is>
          <t>ARMOR-X MC-HL 600 V control, Cu #14 AWG (Class I Div 2)</t>
        </is>
      </c>
      <c r="K5300" s="12" t="inlineStr">
        <is>
          <t>CTAX|2/C|14</t>
        </is>
      </c>
      <c r="L5300" s="12" t="inlineStr">
        <is>
          <t>2/C</t>
        </is>
      </c>
      <c r="M5300" s="12" t="inlineStr">
        <is>
          <t>14</t>
        </is>
      </c>
      <c r="N5300" s="12" t="n">
        <v>2</v>
      </c>
      <c r="O5300" s="12" t="n">
        <v>1</v>
      </c>
      <c r="P5300" s="12" t="n"/>
      <c r="Q5300" s="12" t="n"/>
      <c r="R5300" s="12" t="n"/>
      <c r="S5300" s="12" t="inlineStr">
        <is>
          <t>Tray / conduit</t>
        </is>
      </c>
      <c r="T5300" s="17" t="n">
        <v>41</v>
      </c>
      <c r="U5300" s="17" t="n">
        <v>10</v>
      </c>
      <c r="V5300" s="17">
        <f>ROUNDUP((T5300+U5300+2*'Read Me'!$B$13)*(1+'Read Me'!$B$12),-1)</f>
        <v/>
      </c>
      <c r="W5300" s="17">
        <f>V5300*N5300*O5300</f>
        <v/>
      </c>
      <c r="X5300" s="12">
        <f>IF(LEFT(I5300,2)="MV",2*N5300*IF(L5300="1/C",O5300,1),0)</f>
        <v/>
      </c>
      <c r="Y5300" s="12">
        <f>IF(OR(LEFT(K5300,4)="LVAX",LEFT(K5300,6)="MV15AX",LEFT(K5300,4)="CTAX",LEFT(K5300,2)="W|"),2*N5300*O5300,0)</f>
        <v/>
      </c>
      <c r="Z5300" s="12" t="inlineStr">
        <is>
          <t>device-to-JB field wiring, one cable per device</t>
        </is>
      </c>
      <c r="AA5300" s="12">
        <f>N5300*O5300</f>
        <v/>
      </c>
    </row>
    <row r="5301">
      <c r="A5301" s="12" t="inlineStr">
        <is>
          <t>K-C-0037</t>
        </is>
      </c>
      <c r="B5301" s="12" t="inlineStr">
        <is>
          <t>K</t>
        </is>
      </c>
      <c r="C5301" s="12" t="inlineStr">
        <is>
          <t>Fuel supply (adjacent market)</t>
        </is>
      </c>
      <c r="D5301" s="12" t="inlineStr">
        <is>
          <t>Home run JB-H2 21: rectifier t-SOL01 to the control / marshalling room</t>
        </is>
      </c>
      <c r="E5301" s="12" t="inlineStr"/>
      <c r="F5301" s="12" t="inlineStr">
        <is>
          <t>H2 20: 13.8 kV e-house</t>
        </is>
      </c>
      <c r="G5301" s="12" t="inlineStr">
        <is>
          <t>JB-H2 21: rectifier t-SOL01</t>
        </is>
      </c>
      <c r="H5301" s="12" t="inlineStr">
        <is>
          <t>H2 21: rectifier transformer 5 (7 MVA)</t>
        </is>
      </c>
      <c r="I5301" s="12" t="inlineStr">
        <is>
          <t>Control</t>
        </is>
      </c>
      <c r="J5301" s="12" t="inlineStr">
        <is>
          <t>ARMOR-X MC-HL 600 V control, Cu #14 AWG (Class I Div 2)</t>
        </is>
      </c>
      <c r="K5301" s="12" t="inlineStr">
        <is>
          <t>CTAX|25/C|14</t>
        </is>
      </c>
      <c r="L5301" s="12" t="inlineStr">
        <is>
          <t>25/C</t>
        </is>
      </c>
      <c r="M5301" s="12" t="inlineStr">
        <is>
          <t>14</t>
        </is>
      </c>
      <c r="N5301" s="12" t="n">
        <v>1</v>
      </c>
      <c r="O5301" s="12" t="n">
        <v>1</v>
      </c>
      <c r="P5301" s="12" t="n"/>
      <c r="Q5301" s="12" t="n"/>
      <c r="R5301" s="12" t="n"/>
      <c r="S5301" s="12" t="inlineStr">
        <is>
          <t>Duct bank</t>
        </is>
      </c>
      <c r="T5301" s="17" t="n">
        <v>254</v>
      </c>
      <c r="U5301" s="17" t="n">
        <v>32</v>
      </c>
      <c r="V5301" s="17">
        <f>ROUNDUP((T5301+U5301+2*'Read Me'!$B$13)*(1+'Read Me'!$B$12),-1)</f>
        <v/>
      </c>
      <c r="W5301" s="17">
        <f>V5301*N5301*O5301</f>
        <v/>
      </c>
      <c r="X5301" s="12">
        <f>IF(LEFT(I5301,2)="MV",2*N5301*IF(L5301="1/C",O5301,1),0)</f>
        <v/>
      </c>
      <c r="Y5301" s="12">
        <f>IF(OR(LEFT(K5301,4)="LVAX",LEFT(K5301,6)="MV15AX",LEFT(K5301,4)="CTAX",LEFT(K5301,2)="W|"),2*N5301*O5301,0)</f>
        <v/>
      </c>
      <c r="Z5301" s="12" t="inlineStr"/>
      <c r="AA5301" s="12">
        <f>N5301*O5301</f>
        <v/>
      </c>
    </row>
    <row r="5302">
      <c r="A5302" s="12" t="inlineStr">
        <is>
          <t>K-C-0038</t>
        </is>
      </c>
      <c r="B5302" s="12" t="inlineStr">
        <is>
          <t>K</t>
        </is>
      </c>
      <c r="C5302" s="12" t="inlineStr">
        <is>
          <t>Fuel supply (adjacent market)</t>
        </is>
      </c>
      <c r="D5302" s="12" t="inlineStr">
        <is>
          <t>Control</t>
        </is>
      </c>
      <c r="E5302" s="12" t="inlineStr"/>
      <c r="F5302" s="12" t="inlineStr">
        <is>
          <t>H2 20: 13.8 kV e-house</t>
        </is>
      </c>
      <c r="G5302" s="12" t="inlineStr"/>
      <c r="H5302" s="12" t="inlineStr">
        <is>
          <t>H2 21: rectifier transformer 5 (7 MVA)</t>
        </is>
      </c>
      <c r="I5302" s="12" t="inlineStr">
        <is>
          <t>Control</t>
        </is>
      </c>
      <c r="J5302" s="12" t="inlineStr">
        <is>
          <t>ARMOR-X MC-HL 600 V control, Cu #14 AWG (Class I Div 2)</t>
        </is>
      </c>
      <c r="K5302" s="12" t="inlineStr">
        <is>
          <t>CTAX|7/C|14</t>
        </is>
      </c>
      <c r="L5302" s="12" t="inlineStr">
        <is>
          <t>7/C</t>
        </is>
      </c>
      <c r="M5302" s="12" t="inlineStr">
        <is>
          <t>14</t>
        </is>
      </c>
      <c r="N5302" s="12" t="n">
        <v>1</v>
      </c>
      <c r="O5302" s="12" t="n">
        <v>1</v>
      </c>
      <c r="P5302" s="12" t="n"/>
      <c r="Q5302" s="12" t="n"/>
      <c r="R5302" s="12" t="n"/>
      <c r="S5302" s="12" t="inlineStr">
        <is>
          <t>Duct bank</t>
        </is>
      </c>
      <c r="T5302" s="17" t="n">
        <v>254</v>
      </c>
      <c r="U5302" s="17" t="n">
        <v>32</v>
      </c>
      <c r="V5302" s="17">
        <f>ROUNDUP((T5302+U5302+2*'Read Me'!$B$13)*(1+'Read Me'!$B$12),-1)</f>
        <v/>
      </c>
      <c r="W5302" s="17">
        <f>V5302*N5302*O5302</f>
        <v/>
      </c>
      <c r="X5302" s="12">
        <f>IF(LEFT(I5302,2)="MV",2*N5302*IF(L5302="1/C",O5302,1),0)</f>
        <v/>
      </c>
      <c r="Y5302" s="12">
        <f>IF(OR(LEFT(K5302,4)="LVAX",LEFT(K5302,6)="MV15AX",LEFT(K5302,4)="CTAX",LEFT(K5302,2)="W|"),2*N5302*O5302,0)</f>
        <v/>
      </c>
      <c r="Z5302" s="12" t="inlineStr"/>
      <c r="AA5302" s="12">
        <f>N5302*O5302</f>
        <v/>
      </c>
    </row>
    <row r="5303">
      <c r="A5303" s="12" t="inlineStr">
        <is>
          <t>K-C-0039</t>
        </is>
      </c>
      <c r="B5303" s="12" t="inlineStr">
        <is>
          <t>K</t>
        </is>
      </c>
      <c r="C5303" s="12" t="inlineStr">
        <is>
          <t>Fuel supply (adjacent market)</t>
        </is>
      </c>
      <c r="D5303" s="12" t="inlineStr">
        <is>
          <t>Control</t>
        </is>
      </c>
      <c r="E5303" s="12" t="inlineStr"/>
      <c r="F5303" s="12" t="inlineStr">
        <is>
          <t>H2 20: 13.8 kV e-house</t>
        </is>
      </c>
      <c r="G5303" s="12" t="inlineStr"/>
      <c r="H5303" s="12" t="inlineStr">
        <is>
          <t>H2 21: rectifier transformer 5 (7 MVA)</t>
        </is>
      </c>
      <c r="I5303" s="12" t="inlineStr">
        <is>
          <t>Control</t>
        </is>
      </c>
      <c r="J5303" s="12" t="inlineStr">
        <is>
          <t>ARMOR-X MC-HL 600 V control, Cu #14 AWG (Class I Div 2)</t>
        </is>
      </c>
      <c r="K5303" s="12" t="inlineStr">
        <is>
          <t>CTAX|12/C|14</t>
        </is>
      </c>
      <c r="L5303" s="12" t="inlineStr">
        <is>
          <t>12/C</t>
        </is>
      </c>
      <c r="M5303" s="12" t="inlineStr">
        <is>
          <t>14</t>
        </is>
      </c>
      <c r="N5303" s="12" t="n">
        <v>1</v>
      </c>
      <c r="O5303" s="12" t="n">
        <v>1</v>
      </c>
      <c r="P5303" s="12" t="n"/>
      <c r="Q5303" s="12" t="n"/>
      <c r="R5303" s="12" t="n"/>
      <c r="S5303" s="12" t="inlineStr">
        <is>
          <t>Duct bank</t>
        </is>
      </c>
      <c r="T5303" s="17" t="n">
        <v>254</v>
      </c>
      <c r="U5303" s="17" t="n">
        <v>32</v>
      </c>
      <c r="V5303" s="17">
        <f>ROUNDUP((T5303+U5303+2*'Read Me'!$B$13)*(1+'Read Me'!$B$12),-1)</f>
        <v/>
      </c>
      <c r="W5303" s="17">
        <f>V5303*N5303*O5303</f>
        <v/>
      </c>
      <c r="X5303" s="12">
        <f>IF(LEFT(I5303,2)="MV",2*N5303*IF(L5303="1/C",O5303,1),0)</f>
        <v/>
      </c>
      <c r="Y5303" s="12">
        <f>IF(OR(LEFT(K5303,4)="LVAX",LEFT(K5303,6)="MV15AX",LEFT(K5303,4)="CTAX",LEFT(K5303,2)="W|"),2*N5303*O5303,0)</f>
        <v/>
      </c>
      <c r="Z5303" s="12" t="inlineStr"/>
      <c r="AA5303" s="12">
        <f>N5303*O5303</f>
        <v/>
      </c>
    </row>
    <row r="5304">
      <c r="A5304" s="12" t="inlineStr">
        <is>
          <t>K-C-0040</t>
        </is>
      </c>
      <c r="B5304" s="12" t="inlineStr">
        <is>
          <t>K</t>
        </is>
      </c>
      <c r="C5304" s="12" t="inlineStr">
        <is>
          <t>Fuel supply (adjacent market)</t>
        </is>
      </c>
      <c r="D5304" s="12" t="inlineStr">
        <is>
          <t>CT / VT</t>
        </is>
      </c>
      <c r="E5304" s="12" t="inlineStr"/>
      <c r="F5304" s="12" t="inlineStr">
        <is>
          <t>H2 20: 13.8 kV e-house</t>
        </is>
      </c>
      <c r="G5304" s="12" t="inlineStr"/>
      <c r="H5304" s="12" t="inlineStr">
        <is>
          <t>H2 21: rectifier transformer 5 (7 MVA)</t>
        </is>
      </c>
      <c r="I5304" s="12" t="inlineStr">
        <is>
          <t>Control</t>
        </is>
      </c>
      <c r="J5304" s="12" t="inlineStr">
        <is>
          <t>Control cable 600 V Type TC-ER, Cu #10 AWG (CT / VT circuits)</t>
        </is>
      </c>
      <c r="K5304" s="12" t="inlineStr">
        <is>
          <t>CTCT|4/C|10</t>
        </is>
      </c>
      <c r="L5304" s="12" t="inlineStr">
        <is>
          <t>4/C</t>
        </is>
      </c>
      <c r="M5304" s="12" t="inlineStr">
        <is>
          <t>10</t>
        </is>
      </c>
      <c r="N5304" s="12" t="n">
        <v>1</v>
      </c>
      <c r="O5304" s="12" t="n">
        <v>1</v>
      </c>
      <c r="P5304" s="12" t="n"/>
      <c r="Q5304" s="12" t="n"/>
      <c r="R5304" s="12" t="n"/>
      <c r="S5304" s="12" t="inlineStr">
        <is>
          <t>Duct bank</t>
        </is>
      </c>
      <c r="T5304" s="17" t="n">
        <v>254</v>
      </c>
      <c r="U5304" s="17" t="n">
        <v>32</v>
      </c>
      <c r="V5304" s="17">
        <f>ROUNDUP((T5304+U5304+2*'Read Me'!$B$13)*(1+'Read Me'!$B$12),-1)</f>
        <v/>
      </c>
      <c r="W5304" s="17">
        <f>V5304*N5304*O5304</f>
        <v/>
      </c>
      <c r="X5304" s="12">
        <f>IF(LEFT(I5304,2)="MV",2*N5304*IF(L5304="1/C",O5304,1),0)</f>
        <v/>
      </c>
      <c r="Y5304" s="12">
        <f>IF(OR(LEFT(K5304,4)="LVAX",LEFT(K5304,6)="MV15AX",LEFT(K5304,4)="CTAX",LEFT(K5304,2)="W|"),2*N5304*O5304,0)</f>
        <v/>
      </c>
      <c r="Z5304" s="12" t="inlineStr"/>
      <c r="AA5304" s="12">
        <f>N5304*O5304</f>
        <v/>
      </c>
    </row>
    <row r="5305">
      <c r="A5305" s="12" t="inlineStr">
        <is>
          <t>K-C-0041</t>
        </is>
      </c>
      <c r="B5305" s="12" t="inlineStr">
        <is>
          <t>K</t>
        </is>
      </c>
      <c r="C5305" s="12" t="inlineStr">
        <is>
          <t>Fuel supply (adjacent market)</t>
        </is>
      </c>
      <c r="D5305" s="12" t="inlineStr">
        <is>
          <t>CT / VT</t>
        </is>
      </c>
      <c r="E5305" s="12" t="inlineStr"/>
      <c r="F5305" s="12" t="inlineStr">
        <is>
          <t>H2 20: 13.8 kV e-house</t>
        </is>
      </c>
      <c r="G5305" s="12" t="inlineStr"/>
      <c r="H5305" s="12" t="inlineStr">
        <is>
          <t>H2 21: rectifier transformer 5 (7 MVA)</t>
        </is>
      </c>
      <c r="I5305" s="12" t="inlineStr">
        <is>
          <t>Control</t>
        </is>
      </c>
      <c r="J5305" s="12" t="inlineStr">
        <is>
          <t>Control cable 600 V Type TC-ER, Cu #10 AWG (CT / VT circuits)</t>
        </is>
      </c>
      <c r="K5305" s="12" t="inlineStr">
        <is>
          <t>CTCT|4/C|10</t>
        </is>
      </c>
      <c r="L5305" s="12" t="inlineStr">
        <is>
          <t>4/C</t>
        </is>
      </c>
      <c r="M5305" s="12" t="inlineStr">
        <is>
          <t>10</t>
        </is>
      </c>
      <c r="N5305" s="12" t="n">
        <v>1</v>
      </c>
      <c r="O5305" s="12" t="n">
        <v>1</v>
      </c>
      <c r="P5305" s="12" t="n"/>
      <c r="Q5305" s="12" t="n"/>
      <c r="R5305" s="12" t="n"/>
      <c r="S5305" s="12" t="inlineStr">
        <is>
          <t>Duct bank</t>
        </is>
      </c>
      <c r="T5305" s="17" t="n">
        <v>254</v>
      </c>
      <c r="U5305" s="17" t="n">
        <v>32</v>
      </c>
      <c r="V5305" s="17">
        <f>ROUNDUP((T5305+U5305+2*'Read Me'!$B$13)*(1+'Read Me'!$B$12),-1)</f>
        <v/>
      </c>
      <c r="W5305" s="17">
        <f>V5305*N5305*O5305</f>
        <v/>
      </c>
      <c r="X5305" s="12">
        <f>IF(LEFT(I5305,2)="MV",2*N5305*IF(L5305="1/C",O5305,1),0)</f>
        <v/>
      </c>
      <c r="Y5305" s="12">
        <f>IF(OR(LEFT(K5305,4)="LVAX",LEFT(K5305,6)="MV15AX",LEFT(K5305,4)="CTAX",LEFT(K5305,2)="W|"),2*N5305*O5305,0)</f>
        <v/>
      </c>
      <c r="Z5305" s="12" t="inlineStr"/>
      <c r="AA5305" s="12">
        <f>N5305*O5305</f>
        <v/>
      </c>
    </row>
    <row r="5306">
      <c r="A5306" s="12" t="inlineStr">
        <is>
          <t>K-C-0042</t>
        </is>
      </c>
      <c r="B5306" s="12" t="inlineStr">
        <is>
          <t>K</t>
        </is>
      </c>
      <c r="C5306" s="12" t="inlineStr">
        <is>
          <t>Fuel supply (adjacent market)</t>
        </is>
      </c>
      <c r="D5306" s="12" t="inlineStr">
        <is>
          <t>Motor 1 of 1: control / local station</t>
        </is>
      </c>
      <c r="E5306" s="12" t="inlineStr"/>
      <c r="F5306" s="12" t="inlineStr">
        <is>
          <t>H2 20: 13.8 kV e-house</t>
        </is>
      </c>
      <c r="G5306" s="12" t="inlineStr">
        <is>
          <t>H2-EL</t>
        </is>
      </c>
      <c r="H5306" s="12" t="inlineStr">
        <is>
          <t>H2 22: electrolyzer building (5 x HyLYZER-1000 + 5 rectifiers)</t>
        </is>
      </c>
      <c r="I5306" s="12" t="inlineStr">
        <is>
          <t>Control</t>
        </is>
      </c>
      <c r="J5306" s="12" t="inlineStr">
        <is>
          <t>ARMOR-X MC-HL 600 V control, Cu #14 AWG (Class I Div 2)</t>
        </is>
      </c>
      <c r="K5306" s="12" t="inlineStr">
        <is>
          <t>CTAX|7/C|14</t>
        </is>
      </c>
      <c r="L5306" s="12" t="inlineStr">
        <is>
          <t>7/C</t>
        </is>
      </c>
      <c r="M5306" s="12" t="inlineStr">
        <is>
          <t>14</t>
        </is>
      </c>
      <c r="N5306" s="12" t="n">
        <v>1</v>
      </c>
      <c r="O5306" s="12" t="n">
        <v>1</v>
      </c>
      <c r="P5306" s="12" t="n"/>
      <c r="Q5306" s="12" t="n"/>
      <c r="R5306" s="12" t="n"/>
      <c r="S5306" s="12" t="inlineStr">
        <is>
          <t>Duct bank</t>
        </is>
      </c>
      <c r="T5306" s="17" t="n">
        <v>346</v>
      </c>
      <c r="U5306" s="17" t="n">
        <v>32</v>
      </c>
      <c r="V5306" s="17">
        <f>ROUNDUP((T5306+U5306+2*'Read Me'!$B$13)*(1+'Read Me'!$B$12),-1)</f>
        <v/>
      </c>
      <c r="W5306" s="17">
        <f>V5306*N5306*O5306</f>
        <v/>
      </c>
      <c r="X5306" s="12">
        <f>IF(LEFT(I5306,2)="MV",2*N5306*IF(L5306="1/C",O5306,1),0)</f>
        <v/>
      </c>
      <c r="Y5306" s="12">
        <f>IF(OR(LEFT(K5306,4)="LVAX",LEFT(K5306,6)="MV15AX",LEFT(K5306,4)="CTAX",LEFT(K5306,2)="W|"),2*N5306*O5306,0)</f>
        <v/>
      </c>
      <c r="Z5306" s="12" t="inlineStr"/>
      <c r="AA5306" s="12">
        <f>N5306*O5306</f>
        <v/>
      </c>
    </row>
    <row r="5307">
      <c r="A5307" s="12" t="inlineStr">
        <is>
          <t>K-C-0043</t>
        </is>
      </c>
      <c r="B5307" s="12" t="inlineStr">
        <is>
          <t>K</t>
        </is>
      </c>
      <c r="C5307" s="12" t="inlineStr">
        <is>
          <t>Fuel supply (adjacent market)</t>
        </is>
      </c>
      <c r="D5307" s="12" t="inlineStr">
        <is>
          <t>Solenoid to JB JB-H2-EL-SOL01: 2 x 2/C (field cables)</t>
        </is>
      </c>
      <c r="E5307" s="12" t="inlineStr">
        <is>
          <t>H2-EL</t>
        </is>
      </c>
      <c r="F5307" s="12" t="inlineStr">
        <is>
          <t>H2 22: electrolyzer building (5 x HyLYZER-1000 + 5 rectifiers)</t>
        </is>
      </c>
      <c r="G5307" s="12" t="inlineStr">
        <is>
          <t>JB-H2-EL-SOL01</t>
        </is>
      </c>
      <c r="H5307" s="12" t="inlineStr">
        <is>
          <t>H2 22: electrolyzer building (5 x HyLYZER-1000 + 5 rectifiers)</t>
        </is>
      </c>
      <c r="I5307" s="12" t="inlineStr">
        <is>
          <t>Control</t>
        </is>
      </c>
      <c r="J5307" s="12" t="inlineStr">
        <is>
          <t>ARMOR-X MC-HL 600 V control, Cu #14 AWG (Class I Div 2)</t>
        </is>
      </c>
      <c r="K5307" s="12" t="inlineStr">
        <is>
          <t>CTAX|2/C|14</t>
        </is>
      </c>
      <c r="L5307" s="12" t="inlineStr">
        <is>
          <t>2/C</t>
        </is>
      </c>
      <c r="M5307" s="12" t="inlineStr">
        <is>
          <t>14</t>
        </is>
      </c>
      <c r="N5307" s="12" t="n">
        <v>2</v>
      </c>
      <c r="O5307" s="12" t="n">
        <v>1</v>
      </c>
      <c r="P5307" s="12" t="n"/>
      <c r="Q5307" s="12" t="n"/>
      <c r="R5307" s="12" t="n"/>
      <c r="S5307" s="12" t="inlineStr">
        <is>
          <t>Tray / conduit</t>
        </is>
      </c>
      <c r="T5307" s="17" t="n">
        <v>157</v>
      </c>
      <c r="U5307" s="17" t="n">
        <v>10</v>
      </c>
      <c r="V5307" s="17">
        <f>ROUNDUP((T5307+U5307+2*'Read Me'!$B$13)*(1+'Read Me'!$B$12),-1)</f>
        <v/>
      </c>
      <c r="W5307" s="17">
        <f>V5307*N5307*O5307</f>
        <v/>
      </c>
      <c r="X5307" s="12">
        <f>IF(LEFT(I5307,2)="MV",2*N5307*IF(L5307="1/C",O5307,1),0)</f>
        <v/>
      </c>
      <c r="Y5307" s="12">
        <f>IF(OR(LEFT(K5307,4)="LVAX",LEFT(K5307,6)="MV15AX",LEFT(K5307,4)="CTAX",LEFT(K5307,2)="W|"),2*N5307*O5307,0)</f>
        <v/>
      </c>
      <c r="Z5307" s="12" t="inlineStr">
        <is>
          <t>device-to-JB field wiring, one cable per device</t>
        </is>
      </c>
      <c r="AA5307" s="12">
        <f>N5307*O5307</f>
        <v/>
      </c>
    </row>
    <row r="5308">
      <c r="A5308" s="12" t="inlineStr">
        <is>
          <t>K-C-0044</t>
        </is>
      </c>
      <c r="B5308" s="12" t="inlineStr">
        <is>
          <t>K</t>
        </is>
      </c>
      <c r="C5308" s="12" t="inlineStr">
        <is>
          <t>Fuel supply (adjacent market)</t>
        </is>
      </c>
      <c r="D5308" s="12" t="inlineStr">
        <is>
          <t>Home run JB-H2-EL-SOL01 to the control / marshalling room</t>
        </is>
      </c>
      <c r="E5308" s="12" t="inlineStr"/>
      <c r="F5308" s="12" t="inlineStr">
        <is>
          <t>H2 20: 13.8 kV e-house</t>
        </is>
      </c>
      <c r="G5308" s="12" t="inlineStr">
        <is>
          <t>JB-H2-EL-SOL01</t>
        </is>
      </c>
      <c r="H5308" s="12" t="inlineStr">
        <is>
          <t>H2 22: electrolyzer building (5 x HyLYZER-1000 + 5 rectifiers)</t>
        </is>
      </c>
      <c r="I5308" s="12" t="inlineStr">
        <is>
          <t>Control</t>
        </is>
      </c>
      <c r="J5308" s="12" t="inlineStr">
        <is>
          <t>ARMOR-X MC-HL 600 V control, Cu #14 AWG (Class I Div 2)</t>
        </is>
      </c>
      <c r="K5308" s="12" t="inlineStr">
        <is>
          <t>CTAX|25/C|14</t>
        </is>
      </c>
      <c r="L5308" s="12" t="inlineStr">
        <is>
          <t>25/C</t>
        </is>
      </c>
      <c r="M5308" s="12" t="inlineStr">
        <is>
          <t>14</t>
        </is>
      </c>
      <c r="N5308" s="12" t="n">
        <v>1</v>
      </c>
      <c r="O5308" s="12" t="n">
        <v>1</v>
      </c>
      <c r="P5308" s="12" t="n"/>
      <c r="Q5308" s="12" t="n"/>
      <c r="R5308" s="12" t="n"/>
      <c r="S5308" s="12" t="inlineStr">
        <is>
          <t>Duct bank</t>
        </is>
      </c>
      <c r="T5308" s="17" t="n">
        <v>346</v>
      </c>
      <c r="U5308" s="17" t="n">
        <v>32</v>
      </c>
      <c r="V5308" s="17">
        <f>ROUNDUP((T5308+U5308+2*'Read Me'!$B$13)*(1+'Read Me'!$B$12),-1)</f>
        <v/>
      </c>
      <c r="W5308" s="17">
        <f>V5308*N5308*O5308</f>
        <v/>
      </c>
      <c r="X5308" s="12">
        <f>IF(LEFT(I5308,2)="MV",2*N5308*IF(L5308="1/C",O5308,1),0)</f>
        <v/>
      </c>
      <c r="Y5308" s="12">
        <f>IF(OR(LEFT(K5308,4)="LVAX",LEFT(K5308,6)="MV15AX",LEFT(K5308,4)="CTAX",LEFT(K5308,2)="W|"),2*N5308*O5308,0)</f>
        <v/>
      </c>
      <c r="Z5308" s="12" t="inlineStr"/>
      <c r="AA5308" s="12">
        <f>N5308*O5308</f>
        <v/>
      </c>
    </row>
    <row r="5309">
      <c r="A5309" s="12" t="inlineStr">
        <is>
          <t>K-C-0045</t>
        </is>
      </c>
      <c r="B5309" s="12" t="inlineStr">
        <is>
          <t>K</t>
        </is>
      </c>
      <c r="C5309" s="12" t="inlineStr">
        <is>
          <t>Fuel supply (adjacent market)</t>
        </is>
      </c>
      <c r="D5309" s="12" t="inlineStr">
        <is>
          <t>Motor 1 of 1: control / local station</t>
        </is>
      </c>
      <c r="E5309" s="12" t="inlineStr"/>
      <c r="F5309" s="12" t="inlineStr">
        <is>
          <t>H2 20: 13.8 kV e-house</t>
        </is>
      </c>
      <c r="G5309" s="12" t="inlineStr"/>
      <c r="H5309" s="12" t="inlineStr">
        <is>
          <t>H2 23: dry coolers</t>
        </is>
      </c>
      <c r="I5309" s="12" t="inlineStr">
        <is>
          <t>Control</t>
        </is>
      </c>
      <c r="J5309" s="12" t="inlineStr">
        <is>
          <t>ARMOR-X MC-HL 600 V control, Cu #14 AWG (Class I Div 2)</t>
        </is>
      </c>
      <c r="K5309" s="12" t="inlineStr">
        <is>
          <t>CTAX|7/C|14</t>
        </is>
      </c>
      <c r="L5309" s="12" t="inlineStr">
        <is>
          <t>7/C</t>
        </is>
      </c>
      <c r="M5309" s="12" t="inlineStr">
        <is>
          <t>14</t>
        </is>
      </c>
      <c r="N5309" s="12" t="n">
        <v>1</v>
      </c>
      <c r="O5309" s="12" t="n">
        <v>1</v>
      </c>
      <c r="P5309" s="12" t="n"/>
      <c r="Q5309" s="12" t="n"/>
      <c r="R5309" s="12" t="n"/>
      <c r="S5309" s="12" t="inlineStr">
        <is>
          <t>Duct bank</t>
        </is>
      </c>
      <c r="T5309" s="17" t="n">
        <v>100</v>
      </c>
      <c r="U5309" s="17" t="n">
        <v>32</v>
      </c>
      <c r="V5309" s="17">
        <f>ROUNDUP((T5309+U5309+2*'Read Me'!$B$13)*(1+'Read Me'!$B$12),-1)</f>
        <v/>
      </c>
      <c r="W5309" s="17">
        <f>V5309*N5309*O5309</f>
        <v/>
      </c>
      <c r="X5309" s="12">
        <f>IF(LEFT(I5309,2)="MV",2*N5309*IF(L5309="1/C",O5309,1),0)</f>
        <v/>
      </c>
      <c r="Y5309" s="12">
        <f>IF(OR(LEFT(K5309,4)="LVAX",LEFT(K5309,6)="MV15AX",LEFT(K5309,4)="CTAX",LEFT(K5309,2)="W|"),2*N5309*O5309,0)</f>
        <v/>
      </c>
      <c r="Z5309" s="12" t="inlineStr"/>
      <c r="AA5309" s="12">
        <f>N5309*O5309</f>
        <v/>
      </c>
    </row>
    <row r="5310">
      <c r="A5310" s="12" t="inlineStr">
        <is>
          <t>K-C-0046</t>
        </is>
      </c>
      <c r="B5310" s="12" t="inlineStr">
        <is>
          <t>K</t>
        </is>
      </c>
      <c r="C5310" s="12" t="inlineStr">
        <is>
          <t>Fuel supply (adjacent market)</t>
        </is>
      </c>
      <c r="D5310" s="12" t="inlineStr">
        <is>
          <t>Solenoid to JB JB-H2 23: dry coolers-SOL01: 2 x 2/C (field cables)</t>
        </is>
      </c>
      <c r="E5310" s="12" t="inlineStr"/>
      <c r="F5310" s="12" t="inlineStr">
        <is>
          <t>H2 23: dry coolers</t>
        </is>
      </c>
      <c r="G5310" s="12" t="inlineStr">
        <is>
          <t>JB-H2 23: dry coolers-SOL01</t>
        </is>
      </c>
      <c r="H5310" s="12" t="inlineStr">
        <is>
          <t>H2 23: dry coolers</t>
        </is>
      </c>
      <c r="I5310" s="12" t="inlineStr">
        <is>
          <t>Control</t>
        </is>
      </c>
      <c r="J5310" s="12" t="inlineStr">
        <is>
          <t>ARMOR-X MC-HL 600 V control, Cu #14 AWG (Class I Div 2)</t>
        </is>
      </c>
      <c r="K5310" s="12" t="inlineStr">
        <is>
          <t>CTAX|2/C|14</t>
        </is>
      </c>
      <c r="L5310" s="12" t="inlineStr">
        <is>
          <t>2/C</t>
        </is>
      </c>
      <c r="M5310" s="12" t="inlineStr">
        <is>
          <t>14</t>
        </is>
      </c>
      <c r="N5310" s="12" t="n">
        <v>2</v>
      </c>
      <c r="O5310" s="12" t="n">
        <v>1</v>
      </c>
      <c r="P5310" s="12" t="n"/>
      <c r="Q5310" s="12" t="n"/>
      <c r="R5310" s="12" t="n"/>
      <c r="S5310" s="12" t="inlineStr">
        <is>
          <t>Tray / conduit</t>
        </is>
      </c>
      <c r="T5310" s="17" t="n">
        <v>111</v>
      </c>
      <c r="U5310" s="17" t="n">
        <v>10</v>
      </c>
      <c r="V5310" s="17">
        <f>ROUNDUP((T5310+U5310+2*'Read Me'!$B$13)*(1+'Read Me'!$B$12),-1)</f>
        <v/>
      </c>
      <c r="W5310" s="17">
        <f>V5310*N5310*O5310</f>
        <v/>
      </c>
      <c r="X5310" s="12">
        <f>IF(LEFT(I5310,2)="MV",2*N5310*IF(L5310="1/C",O5310,1),0)</f>
        <v/>
      </c>
      <c r="Y5310" s="12">
        <f>IF(OR(LEFT(K5310,4)="LVAX",LEFT(K5310,6)="MV15AX",LEFT(K5310,4)="CTAX",LEFT(K5310,2)="W|"),2*N5310*O5310,0)</f>
        <v/>
      </c>
      <c r="Z5310" s="12" t="inlineStr">
        <is>
          <t>device-to-JB field wiring, one cable per device</t>
        </is>
      </c>
      <c r="AA5310" s="12">
        <f>N5310*O5310</f>
        <v/>
      </c>
    </row>
    <row r="5311">
      <c r="A5311" s="12" t="inlineStr">
        <is>
          <t>K-C-0047</t>
        </is>
      </c>
      <c r="B5311" s="12" t="inlineStr">
        <is>
          <t>K</t>
        </is>
      </c>
      <c r="C5311" s="12" t="inlineStr">
        <is>
          <t>Fuel supply (adjacent market)</t>
        </is>
      </c>
      <c r="D5311" s="12" t="inlineStr">
        <is>
          <t>Home run JB-H2 23: dry coolers-SOL01 to the control / marshalling room</t>
        </is>
      </c>
      <c r="E5311" s="12" t="inlineStr"/>
      <c r="F5311" s="12" t="inlineStr">
        <is>
          <t>H2 20: 13.8 kV e-house</t>
        </is>
      </c>
      <c r="G5311" s="12" t="inlineStr">
        <is>
          <t>JB-H2 23: dry coolers-SOL01</t>
        </is>
      </c>
      <c r="H5311" s="12" t="inlineStr">
        <is>
          <t>H2 23: dry coolers</t>
        </is>
      </c>
      <c r="I5311" s="12" t="inlineStr">
        <is>
          <t>Control</t>
        </is>
      </c>
      <c r="J5311" s="12" t="inlineStr">
        <is>
          <t>ARMOR-X MC-HL 600 V control, Cu #14 AWG (Class I Div 2)</t>
        </is>
      </c>
      <c r="K5311" s="12" t="inlineStr">
        <is>
          <t>CTAX|25/C|14</t>
        </is>
      </c>
      <c r="L5311" s="12" t="inlineStr">
        <is>
          <t>25/C</t>
        </is>
      </c>
      <c r="M5311" s="12" t="inlineStr">
        <is>
          <t>14</t>
        </is>
      </c>
      <c r="N5311" s="12" t="n">
        <v>1</v>
      </c>
      <c r="O5311" s="12" t="n">
        <v>1</v>
      </c>
      <c r="P5311" s="12" t="n"/>
      <c r="Q5311" s="12" t="n"/>
      <c r="R5311" s="12" t="n"/>
      <c r="S5311" s="12" t="inlineStr">
        <is>
          <t>Duct bank</t>
        </is>
      </c>
      <c r="T5311" s="17" t="n">
        <v>100</v>
      </c>
      <c r="U5311" s="17" t="n">
        <v>32</v>
      </c>
      <c r="V5311" s="17">
        <f>ROUNDUP((T5311+U5311+2*'Read Me'!$B$13)*(1+'Read Me'!$B$12),-1)</f>
        <v/>
      </c>
      <c r="W5311" s="17">
        <f>V5311*N5311*O5311</f>
        <v/>
      </c>
      <c r="X5311" s="12">
        <f>IF(LEFT(I5311,2)="MV",2*N5311*IF(L5311="1/C",O5311,1),0)</f>
        <v/>
      </c>
      <c r="Y5311" s="12">
        <f>IF(OR(LEFT(K5311,4)="LVAX",LEFT(K5311,6)="MV15AX",LEFT(K5311,4)="CTAX",LEFT(K5311,2)="W|"),2*N5311*O5311,0)</f>
        <v/>
      </c>
      <c r="Z5311" s="12" t="inlineStr"/>
      <c r="AA5311" s="12">
        <f>N5311*O5311</f>
        <v/>
      </c>
    </row>
    <row r="5312">
      <c r="A5312" s="12" t="inlineStr">
        <is>
          <t>K-C-0048</t>
        </is>
      </c>
      <c r="B5312" s="12" t="inlineStr">
        <is>
          <t>K</t>
        </is>
      </c>
      <c r="C5312" s="12" t="inlineStr">
        <is>
          <t>Fuel supply (adjacent market)</t>
        </is>
      </c>
      <c r="D5312" s="12" t="inlineStr">
        <is>
          <t>Motor 1 of 1: control / local station</t>
        </is>
      </c>
      <c r="E5312" s="12" t="inlineStr"/>
      <c r="F5312" s="12" t="inlineStr">
        <is>
          <t>H2 20: 13.8 kV e-house</t>
        </is>
      </c>
      <c r="G5312" s="12" t="inlineStr"/>
      <c r="H5312" s="12" t="inlineStr">
        <is>
          <t>H2 24: water purification (RO / EDI)</t>
        </is>
      </c>
      <c r="I5312" s="12" t="inlineStr">
        <is>
          <t>Control</t>
        </is>
      </c>
      <c r="J5312" s="12" t="inlineStr">
        <is>
          <t>ARMOR-X MC-HL 600 V control, Cu #14 AWG (Class I Div 2)</t>
        </is>
      </c>
      <c r="K5312" s="12" t="inlineStr">
        <is>
          <t>CTAX|7/C|14</t>
        </is>
      </c>
      <c r="L5312" s="12" t="inlineStr">
        <is>
          <t>7/C</t>
        </is>
      </c>
      <c r="M5312" s="12" t="inlineStr">
        <is>
          <t>14</t>
        </is>
      </c>
      <c r="N5312" s="12" t="n">
        <v>1</v>
      </c>
      <c r="O5312" s="12" t="n">
        <v>1</v>
      </c>
      <c r="P5312" s="12" t="n"/>
      <c r="Q5312" s="12" t="n"/>
      <c r="R5312" s="12" t="n"/>
      <c r="S5312" s="12" t="inlineStr">
        <is>
          <t>Duct bank</t>
        </is>
      </c>
      <c r="T5312" s="17" t="n">
        <v>146</v>
      </c>
      <c r="U5312" s="17" t="n">
        <v>32</v>
      </c>
      <c r="V5312" s="17">
        <f>ROUNDUP((T5312+U5312+2*'Read Me'!$B$13)*(1+'Read Me'!$B$12),-1)</f>
        <v/>
      </c>
      <c r="W5312" s="17">
        <f>V5312*N5312*O5312</f>
        <v/>
      </c>
      <c r="X5312" s="12">
        <f>IF(LEFT(I5312,2)="MV",2*N5312*IF(L5312="1/C",O5312,1),0)</f>
        <v/>
      </c>
      <c r="Y5312" s="12">
        <f>IF(OR(LEFT(K5312,4)="LVAX",LEFT(K5312,6)="MV15AX",LEFT(K5312,4)="CTAX",LEFT(K5312,2)="W|"),2*N5312*O5312,0)</f>
        <v/>
      </c>
      <c r="Z5312" s="12" t="inlineStr"/>
      <c r="AA5312" s="12">
        <f>N5312*O5312</f>
        <v/>
      </c>
    </row>
    <row r="5313">
      <c r="A5313" s="12" t="inlineStr">
        <is>
          <t>K-C-0049</t>
        </is>
      </c>
      <c r="B5313" s="12" t="inlineStr">
        <is>
          <t>K</t>
        </is>
      </c>
      <c r="C5313" s="12" t="inlineStr">
        <is>
          <t>Fuel supply (adjacent market)</t>
        </is>
      </c>
      <c r="D5313" s="12" t="inlineStr">
        <is>
          <t>Solenoid to JB JB-H2 24: water purif-SOL01: 2 x 2/C (field cables)</t>
        </is>
      </c>
      <c r="E5313" s="12" t="inlineStr"/>
      <c r="F5313" s="12" t="inlineStr">
        <is>
          <t>H2 24: water purification (RO / EDI)</t>
        </is>
      </c>
      <c r="G5313" s="12" t="inlineStr">
        <is>
          <t>JB-H2 24: water purif-SOL01</t>
        </is>
      </c>
      <c r="H5313" s="12" t="inlineStr">
        <is>
          <t>H2 24: water purification (RO / EDI)</t>
        </is>
      </c>
      <c r="I5313" s="12" t="inlineStr">
        <is>
          <t>Control</t>
        </is>
      </c>
      <c r="J5313" s="12" t="inlineStr">
        <is>
          <t>ARMOR-X MC-HL 600 V control, Cu #14 AWG (Class I Div 2)</t>
        </is>
      </c>
      <c r="K5313" s="12" t="inlineStr">
        <is>
          <t>CTAX|2/C|14</t>
        </is>
      </c>
      <c r="L5313" s="12" t="inlineStr">
        <is>
          <t>2/C</t>
        </is>
      </c>
      <c r="M5313" s="12" t="inlineStr">
        <is>
          <t>14</t>
        </is>
      </c>
      <c r="N5313" s="12" t="n">
        <v>2</v>
      </c>
      <c r="O5313" s="12" t="n">
        <v>1</v>
      </c>
      <c r="P5313" s="12" t="n"/>
      <c r="Q5313" s="12" t="n"/>
      <c r="R5313" s="12" t="n"/>
      <c r="S5313" s="12" t="inlineStr">
        <is>
          <t>Tray / conduit</t>
        </is>
      </c>
      <c r="T5313" s="17" t="n">
        <v>60</v>
      </c>
      <c r="U5313" s="17" t="n">
        <v>10</v>
      </c>
      <c r="V5313" s="17">
        <f>ROUNDUP((T5313+U5313+2*'Read Me'!$B$13)*(1+'Read Me'!$B$12),-1)</f>
        <v/>
      </c>
      <c r="W5313" s="17">
        <f>V5313*N5313*O5313</f>
        <v/>
      </c>
      <c r="X5313" s="12">
        <f>IF(LEFT(I5313,2)="MV",2*N5313*IF(L5313="1/C",O5313,1),0)</f>
        <v/>
      </c>
      <c r="Y5313" s="12">
        <f>IF(OR(LEFT(K5313,4)="LVAX",LEFT(K5313,6)="MV15AX",LEFT(K5313,4)="CTAX",LEFT(K5313,2)="W|"),2*N5313*O5313,0)</f>
        <v/>
      </c>
      <c r="Z5313" s="12" t="inlineStr">
        <is>
          <t>device-to-JB field wiring, one cable per device</t>
        </is>
      </c>
      <c r="AA5313" s="12">
        <f>N5313*O5313</f>
        <v/>
      </c>
    </row>
    <row r="5314">
      <c r="A5314" s="12" t="inlineStr">
        <is>
          <t>K-C-0050</t>
        </is>
      </c>
      <c r="B5314" s="12" t="inlineStr">
        <is>
          <t>K</t>
        </is>
      </c>
      <c r="C5314" s="12" t="inlineStr">
        <is>
          <t>Fuel supply (adjacent market)</t>
        </is>
      </c>
      <c r="D5314" s="12" t="inlineStr">
        <is>
          <t>Home run JB-H2 24: water purif-SOL01 to the control / marshalling room</t>
        </is>
      </c>
      <c r="E5314" s="12" t="inlineStr"/>
      <c r="F5314" s="12" t="inlineStr">
        <is>
          <t>H2 20: 13.8 kV e-house</t>
        </is>
      </c>
      <c r="G5314" s="12" t="inlineStr">
        <is>
          <t>JB-H2 24: water purif-SOL01</t>
        </is>
      </c>
      <c r="H5314" s="12" t="inlineStr">
        <is>
          <t>H2 24: water purification (RO / EDI)</t>
        </is>
      </c>
      <c r="I5314" s="12" t="inlineStr">
        <is>
          <t>Control</t>
        </is>
      </c>
      <c r="J5314" s="12" t="inlineStr">
        <is>
          <t>ARMOR-X MC-HL 600 V control, Cu #14 AWG (Class I Div 2)</t>
        </is>
      </c>
      <c r="K5314" s="12" t="inlineStr">
        <is>
          <t>CTAX|25/C|14</t>
        </is>
      </c>
      <c r="L5314" s="12" t="inlineStr">
        <is>
          <t>25/C</t>
        </is>
      </c>
      <c r="M5314" s="12" t="inlineStr">
        <is>
          <t>14</t>
        </is>
      </c>
      <c r="N5314" s="12" t="n">
        <v>1</v>
      </c>
      <c r="O5314" s="12" t="n">
        <v>1</v>
      </c>
      <c r="P5314" s="12" t="n"/>
      <c r="Q5314" s="12" t="n"/>
      <c r="R5314" s="12" t="n"/>
      <c r="S5314" s="12" t="inlineStr">
        <is>
          <t>Duct bank</t>
        </is>
      </c>
      <c r="T5314" s="17" t="n">
        <v>146</v>
      </c>
      <c r="U5314" s="17" t="n">
        <v>32</v>
      </c>
      <c r="V5314" s="17">
        <f>ROUNDUP((T5314+U5314+2*'Read Me'!$B$13)*(1+'Read Me'!$B$12),-1)</f>
        <v/>
      </c>
      <c r="W5314" s="17">
        <f>V5314*N5314*O5314</f>
        <v/>
      </c>
      <c r="X5314" s="12">
        <f>IF(LEFT(I5314,2)="MV",2*N5314*IF(L5314="1/C",O5314,1),0)</f>
        <v/>
      </c>
      <c r="Y5314" s="12">
        <f>IF(OR(LEFT(K5314,4)="LVAX",LEFT(K5314,6)="MV15AX",LEFT(K5314,4)="CTAX",LEFT(K5314,2)="W|"),2*N5314*O5314,0)</f>
        <v/>
      </c>
      <c r="Z5314" s="12" t="inlineStr"/>
      <c r="AA5314" s="12">
        <f>N5314*O5314</f>
        <v/>
      </c>
    </row>
    <row r="5315">
      <c r="A5315" s="12" t="inlineStr">
        <is>
          <t>K-C-0051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25: H2 dryer / purification</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7" t="n">
        <v>0</v>
      </c>
      <c r="U5315" s="17" t="n">
        <v>49</v>
      </c>
      <c r="V5315" s="17">
        <f>ROUNDUP((T5315+U5315+2*'Read Me'!$B$13)*(1+'Read Me'!$B$12),-1)</f>
        <v/>
      </c>
      <c r="W5315" s="17">
        <f>V5315*N5315*O5315</f>
        <v/>
      </c>
      <c r="X5315" s="12">
        <f>IF(LEFT(I5315,2)="MV",2*N5315*IF(L5315="1/C",O5315,1),0)</f>
        <v/>
      </c>
      <c r="Y5315" s="12">
        <f>IF(OR(LEFT(K5315,4)="LVAX",LEFT(K5315,6)="MV15AX",LEFT(K5315,4)="CTAX",LEFT(K5315,2)="W|"),2*N5315*O5315,0)</f>
        <v/>
      </c>
      <c r="Z5315" s="12" t="inlineStr"/>
      <c r="AA5315" s="12">
        <f>N5315*O5315</f>
        <v/>
      </c>
    </row>
    <row r="5316">
      <c r="A5316" s="12" t="inlineStr">
        <is>
          <t>K-C-0052</t>
        </is>
      </c>
      <c r="B5316" s="12" t="inlineStr">
        <is>
          <t>K</t>
        </is>
      </c>
      <c r="C5316" s="12" t="inlineStr">
        <is>
          <t>Fuel supply (adjacent market)</t>
        </is>
      </c>
      <c r="D5316" s="12" t="inlineStr">
        <is>
          <t>Solenoid to JB JB-H2 25: H2 dryer / -SOL01: 2 x 2/C (field cables)</t>
        </is>
      </c>
      <c r="E5316" s="12" t="inlineStr"/>
      <c r="F5316" s="12" t="inlineStr">
        <is>
          <t>H2 25: H2 dryer / purification</t>
        </is>
      </c>
      <c r="G5316" s="12" t="inlineStr">
        <is>
          <t>JB-H2 25: H2 dryer / -SOL01</t>
        </is>
      </c>
      <c r="H5316" s="12" t="inlineStr">
        <is>
          <t>H2 25: H2 dryer / purification</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7" t="n">
        <v>60</v>
      </c>
      <c r="U5316" s="17" t="n">
        <v>10</v>
      </c>
      <c r="V5316" s="17">
        <f>ROUNDUP((T5316+U5316+2*'Read Me'!$B$13)*(1+'Read Me'!$B$12),-1)</f>
        <v/>
      </c>
      <c r="W5316" s="17">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K-C-0053</t>
        </is>
      </c>
      <c r="B5317" s="12" t="inlineStr">
        <is>
          <t>K</t>
        </is>
      </c>
      <c r="C5317" s="12" t="inlineStr">
        <is>
          <t>Fuel supply (adjacent market)</t>
        </is>
      </c>
      <c r="D5317" s="12" t="inlineStr">
        <is>
          <t>Home run JB-H2 25: H2 dryer / -SOL01 to the control / marshalling room</t>
        </is>
      </c>
      <c r="E5317" s="12" t="inlineStr"/>
      <c r="F5317" s="12" t="inlineStr">
        <is>
          <t>H2 20: 13.8 kV e-house</t>
        </is>
      </c>
      <c r="G5317" s="12" t="inlineStr">
        <is>
          <t>JB-H2 25: H2 dryer / -SOL01</t>
        </is>
      </c>
      <c r="H5317" s="12" t="inlineStr">
        <is>
          <t>H2 25: H2 dryer / purification</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7" t="n">
        <v>0</v>
      </c>
      <c r="U5317" s="17" t="n">
        <v>49</v>
      </c>
      <c r="V5317" s="17">
        <f>ROUNDUP((T5317+U5317+2*'Read Me'!$B$13)*(1+'Read Me'!$B$12),-1)</f>
        <v/>
      </c>
      <c r="W5317" s="17">
        <f>V5317*N5317*O5317</f>
        <v/>
      </c>
      <c r="X5317" s="12">
        <f>IF(LEFT(I5317,2)="MV",2*N5317*IF(L5317="1/C",O5317,1),0)</f>
        <v/>
      </c>
      <c r="Y5317" s="12">
        <f>IF(OR(LEFT(K5317,4)="LVAX",LEFT(K5317,6)="MV15AX",LEFT(K5317,4)="CTAX",LEFT(K5317,2)="W|"),2*N5317*O5317,0)</f>
        <v/>
      </c>
      <c r="Z5317" s="12" t="inlineStr"/>
      <c r="AA5317" s="12">
        <f>N5317*O5317</f>
        <v/>
      </c>
    </row>
    <row r="5318">
      <c r="A5318" s="12" t="inlineStr">
        <is>
          <t>K-C-0054</t>
        </is>
      </c>
      <c r="B5318" s="12" t="inlineStr">
        <is>
          <t>K</t>
        </is>
      </c>
      <c r="C5318" s="12" t="inlineStr">
        <is>
          <t>Fuel supply (adjacent market)</t>
        </is>
      </c>
      <c r="D5318" s="12" t="inlineStr">
        <is>
          <t>Motor 1 of 1: control / local station</t>
        </is>
      </c>
      <c r="E5318" s="12" t="inlineStr"/>
      <c r="F5318" s="12" t="inlineStr">
        <is>
          <t>H2 20: 13.8 kV e-house</t>
        </is>
      </c>
      <c r="G5318" s="12" t="inlineStr"/>
      <c r="H5318" s="12" t="inlineStr">
        <is>
          <t>H2 26: H2 compressor 1 (40 ft ISO)</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7" t="n">
        <v>50</v>
      </c>
      <c r="U5318" s="17" t="n">
        <v>32</v>
      </c>
      <c r="V5318" s="17">
        <f>ROUNDUP((T5318+U5318+2*'Read Me'!$B$13)*(1+'Read Me'!$B$12),-1)</f>
        <v/>
      </c>
      <c r="W5318" s="17">
        <f>V5318*N5318*O5318</f>
        <v/>
      </c>
      <c r="X5318" s="12">
        <f>IF(LEFT(I5318,2)="MV",2*N5318*IF(L5318="1/C",O5318,1),0)</f>
        <v/>
      </c>
      <c r="Y5318" s="12">
        <f>IF(OR(LEFT(K5318,4)="LVAX",LEFT(K5318,6)="MV15AX",LEFT(K5318,4)="CTAX",LEFT(K5318,2)="W|"),2*N5318*O5318,0)</f>
        <v/>
      </c>
      <c r="Z5318" s="12" t="inlineStr"/>
      <c r="AA5318" s="12">
        <f>N5318*O5318</f>
        <v/>
      </c>
    </row>
    <row r="5319">
      <c r="A5319" s="12" t="inlineStr">
        <is>
          <t>K-C-0055</t>
        </is>
      </c>
      <c r="B5319" s="12" t="inlineStr">
        <is>
          <t>K</t>
        </is>
      </c>
      <c r="C5319" s="12" t="inlineStr">
        <is>
          <t>Fuel supply (adjacent market)</t>
        </is>
      </c>
      <c r="D5319" s="12" t="inlineStr">
        <is>
          <t>Solenoid to JB JB-H2 26: H2 compress-SOL01: 2 x 2/C (field cables)</t>
        </is>
      </c>
      <c r="E5319" s="12" t="inlineStr"/>
      <c r="F5319" s="12" t="inlineStr">
        <is>
          <t>H2 26: H2 compressor 1 (40 ft ISO)</t>
        </is>
      </c>
      <c r="G5319" s="12" t="inlineStr">
        <is>
          <t>JB-H2 26: H2 compress-SOL01</t>
        </is>
      </c>
      <c r="H5319" s="12" t="inlineStr">
        <is>
          <t>H2 26: H2 compressor 1 (40 ft ISO)</t>
        </is>
      </c>
      <c r="I5319" s="12" t="inlineStr">
        <is>
          <t>Control</t>
        </is>
      </c>
      <c r="J5319" s="12" t="inlineStr">
        <is>
          <t>ARMOR-X MC-HL 600 V control, Cu #14 AWG (Class I Div 2)</t>
        </is>
      </c>
      <c r="K5319" s="12" t="inlineStr">
        <is>
          <t>CTAX|2/C|14</t>
        </is>
      </c>
      <c r="L5319" s="12" t="inlineStr">
        <is>
          <t>2/C</t>
        </is>
      </c>
      <c r="M5319" s="12" t="inlineStr">
        <is>
          <t>14</t>
        </is>
      </c>
      <c r="N5319" s="12" t="n">
        <v>2</v>
      </c>
      <c r="O5319" s="12" t="n">
        <v>1</v>
      </c>
      <c r="P5319" s="12" t="n"/>
      <c r="Q5319" s="12" t="n"/>
      <c r="R5319" s="12" t="n"/>
      <c r="S5319" s="12" t="inlineStr">
        <is>
          <t>Tray / conduit</t>
        </is>
      </c>
      <c r="T5319" s="17" t="n">
        <v>53</v>
      </c>
      <c r="U5319" s="17" t="n">
        <v>10</v>
      </c>
      <c r="V5319" s="17">
        <f>ROUNDUP((T5319+U5319+2*'Read Me'!$B$13)*(1+'Read Me'!$B$12),-1)</f>
        <v/>
      </c>
      <c r="W5319" s="17">
        <f>V5319*N5319*O5319</f>
        <v/>
      </c>
      <c r="X5319" s="12">
        <f>IF(LEFT(I5319,2)="MV",2*N5319*IF(L5319="1/C",O5319,1),0)</f>
        <v/>
      </c>
      <c r="Y5319" s="12">
        <f>IF(OR(LEFT(K5319,4)="LVAX",LEFT(K5319,6)="MV15AX",LEFT(K5319,4)="CTAX",LEFT(K5319,2)="W|"),2*N5319*O5319,0)</f>
        <v/>
      </c>
      <c r="Z5319" s="12" t="inlineStr">
        <is>
          <t>device-to-JB field wiring, one cable per device</t>
        </is>
      </c>
      <c r="AA5319" s="12">
        <f>N5319*O5319</f>
        <v/>
      </c>
    </row>
    <row r="5320">
      <c r="A5320" s="12" t="inlineStr">
        <is>
          <t>K-C-0056</t>
        </is>
      </c>
      <c r="B5320" s="12" t="inlineStr">
        <is>
          <t>K</t>
        </is>
      </c>
      <c r="C5320" s="12" t="inlineStr">
        <is>
          <t>Fuel supply (adjacent market)</t>
        </is>
      </c>
      <c r="D5320" s="12" t="inlineStr">
        <is>
          <t>Home run JB-H2 26: H2 compress-SOL01 to the control / marshalling room</t>
        </is>
      </c>
      <c r="E5320" s="12" t="inlineStr"/>
      <c r="F5320" s="12" t="inlineStr">
        <is>
          <t>H2 20: 13.8 kV e-house</t>
        </is>
      </c>
      <c r="G5320" s="12" t="inlineStr">
        <is>
          <t>JB-H2 26: H2 compress-SOL01</t>
        </is>
      </c>
      <c r="H5320" s="12" t="inlineStr">
        <is>
          <t>H2 26: H2 compressor 1 (40 ft ISO)</t>
        </is>
      </c>
      <c r="I5320" s="12" t="inlineStr">
        <is>
          <t>Control</t>
        </is>
      </c>
      <c r="J5320" s="12" t="inlineStr">
        <is>
          <t>ARMOR-X MC-HL 600 V control, Cu #14 AWG (Class I Div 2)</t>
        </is>
      </c>
      <c r="K5320" s="12" t="inlineStr">
        <is>
          <t>CTAX|25/C|14</t>
        </is>
      </c>
      <c r="L5320" s="12" t="inlineStr">
        <is>
          <t>25/C</t>
        </is>
      </c>
      <c r="M5320" s="12" t="inlineStr">
        <is>
          <t>14</t>
        </is>
      </c>
      <c r="N5320" s="12" t="n">
        <v>1</v>
      </c>
      <c r="O5320" s="12" t="n">
        <v>1</v>
      </c>
      <c r="P5320" s="12" t="n"/>
      <c r="Q5320" s="12" t="n"/>
      <c r="R5320" s="12" t="n"/>
      <c r="S5320" s="12" t="inlineStr">
        <is>
          <t>Duct bank</t>
        </is>
      </c>
      <c r="T5320" s="17" t="n">
        <v>50</v>
      </c>
      <c r="U5320" s="17" t="n">
        <v>32</v>
      </c>
      <c r="V5320" s="17">
        <f>ROUNDUP((T5320+U5320+2*'Read Me'!$B$13)*(1+'Read Me'!$B$12),-1)</f>
        <v/>
      </c>
      <c r="W5320" s="17">
        <f>V5320*N5320*O5320</f>
        <v/>
      </c>
      <c r="X5320" s="12">
        <f>IF(LEFT(I5320,2)="MV",2*N5320*IF(L5320="1/C",O5320,1),0)</f>
        <v/>
      </c>
      <c r="Y5320" s="12">
        <f>IF(OR(LEFT(K5320,4)="LVAX",LEFT(K5320,6)="MV15AX",LEFT(K5320,4)="CTAX",LEFT(K5320,2)="W|"),2*N5320*O5320,0)</f>
        <v/>
      </c>
      <c r="Z5320" s="12" t="inlineStr"/>
      <c r="AA5320" s="12">
        <f>N5320*O5320</f>
        <v/>
      </c>
    </row>
    <row r="5321">
      <c r="A5321" s="12" t="inlineStr">
        <is>
          <t>K-C-0057</t>
        </is>
      </c>
      <c r="B5321" s="12" t="inlineStr">
        <is>
          <t>K</t>
        </is>
      </c>
      <c r="C5321" s="12" t="inlineStr">
        <is>
          <t>Fuel supply (adjacent market)</t>
        </is>
      </c>
      <c r="D5321" s="12" t="inlineStr">
        <is>
          <t>Motor 1 of 1: control / local station</t>
        </is>
      </c>
      <c r="E5321" s="12" t="inlineStr"/>
      <c r="F5321" s="12" t="inlineStr">
        <is>
          <t>H2 20: 13.8 kV e-house</t>
        </is>
      </c>
      <c r="G5321" s="12" t="inlineStr"/>
      <c r="H5321" s="12" t="inlineStr">
        <is>
          <t>H2 26: H2 compressor 2 (40 ft ISO)</t>
        </is>
      </c>
      <c r="I5321" s="12" t="inlineStr">
        <is>
          <t>Control</t>
        </is>
      </c>
      <c r="J5321" s="12" t="inlineStr">
        <is>
          <t>ARMOR-X MC-HL 600 V control, Cu #14 AWG (Class I Div 2)</t>
        </is>
      </c>
      <c r="K5321" s="12" t="inlineStr">
        <is>
          <t>CTAX|7/C|14</t>
        </is>
      </c>
      <c r="L5321" s="12" t="inlineStr">
        <is>
          <t>7/C</t>
        </is>
      </c>
      <c r="M5321" s="12" t="inlineStr">
        <is>
          <t>14</t>
        </is>
      </c>
      <c r="N5321" s="12" t="n">
        <v>1</v>
      </c>
      <c r="O5321" s="12" t="n">
        <v>1</v>
      </c>
      <c r="P5321" s="12" t="n"/>
      <c r="Q5321" s="12" t="n"/>
      <c r="R5321" s="12" t="n"/>
      <c r="S5321" s="12" t="inlineStr">
        <is>
          <t>Duct bank</t>
        </is>
      </c>
      <c r="T5321" s="17" t="n">
        <v>50</v>
      </c>
      <c r="U5321" s="17" t="n">
        <v>47</v>
      </c>
      <c r="V5321" s="17">
        <f>ROUNDUP((T5321+U5321+2*'Read Me'!$B$13)*(1+'Read Me'!$B$12),-1)</f>
        <v/>
      </c>
      <c r="W5321" s="17">
        <f>V5321*N5321*O5321</f>
        <v/>
      </c>
      <c r="X5321" s="12">
        <f>IF(LEFT(I5321,2)="MV",2*N5321*IF(L5321="1/C",O5321,1),0)</f>
        <v/>
      </c>
      <c r="Y5321" s="12">
        <f>IF(OR(LEFT(K5321,4)="LVAX",LEFT(K5321,6)="MV15AX",LEFT(K5321,4)="CTAX",LEFT(K5321,2)="W|"),2*N5321*O5321,0)</f>
        <v/>
      </c>
      <c r="Z5321" s="12" t="inlineStr"/>
      <c r="AA5321" s="12">
        <f>N5321*O5321</f>
        <v/>
      </c>
    </row>
    <row r="5322">
      <c r="A5322" s="12" t="inlineStr">
        <is>
          <t>K-C-0058</t>
        </is>
      </c>
      <c r="B5322" s="12" t="inlineStr">
        <is>
          <t>K</t>
        </is>
      </c>
      <c r="C5322" s="12" t="inlineStr">
        <is>
          <t>Fuel supply (adjacent market)</t>
        </is>
      </c>
      <c r="D5322" s="12" t="inlineStr">
        <is>
          <t>Solenoid to JB JB-H2 26: H2 compress-SOL01: 2 x 2/C (field cables)</t>
        </is>
      </c>
      <c r="E5322" s="12" t="inlineStr"/>
      <c r="F5322" s="12" t="inlineStr">
        <is>
          <t>H2 26: H2 compressor 2 (40 ft ISO)</t>
        </is>
      </c>
      <c r="G5322" s="12" t="inlineStr">
        <is>
          <t>JB-H2 26: H2 compress-SOL01</t>
        </is>
      </c>
      <c r="H5322" s="12" t="inlineStr">
        <is>
          <t>H2 26: H2 compressor 2 (40 ft ISO)</t>
        </is>
      </c>
      <c r="I5322" s="12" t="inlineStr">
        <is>
          <t>Control</t>
        </is>
      </c>
      <c r="J5322" s="12" t="inlineStr">
        <is>
          <t>ARMOR-X MC-HL 600 V control, Cu #14 AWG (Class I Div 2)</t>
        </is>
      </c>
      <c r="K5322" s="12" t="inlineStr">
        <is>
          <t>CTAX|2/C|14</t>
        </is>
      </c>
      <c r="L5322" s="12" t="inlineStr">
        <is>
          <t>2/C</t>
        </is>
      </c>
      <c r="M5322" s="12" t="inlineStr">
        <is>
          <t>14</t>
        </is>
      </c>
      <c r="N5322" s="12" t="n">
        <v>2</v>
      </c>
      <c r="O5322" s="12" t="n">
        <v>1</v>
      </c>
      <c r="P5322" s="12" t="n"/>
      <c r="Q5322" s="12" t="n"/>
      <c r="R5322" s="12" t="n"/>
      <c r="S5322" s="12" t="inlineStr">
        <is>
          <t>Tray / conduit</t>
        </is>
      </c>
      <c r="T5322" s="17" t="n">
        <v>53</v>
      </c>
      <c r="U5322" s="17" t="n">
        <v>10</v>
      </c>
      <c r="V5322" s="17">
        <f>ROUNDUP((T5322+U5322+2*'Read Me'!$B$13)*(1+'Read Me'!$B$12),-1)</f>
        <v/>
      </c>
      <c r="W5322" s="17">
        <f>V5322*N5322*O5322</f>
        <v/>
      </c>
      <c r="X5322" s="12">
        <f>IF(LEFT(I5322,2)="MV",2*N5322*IF(L5322="1/C",O5322,1),0)</f>
        <v/>
      </c>
      <c r="Y5322" s="12">
        <f>IF(OR(LEFT(K5322,4)="LVAX",LEFT(K5322,6)="MV15AX",LEFT(K5322,4)="CTAX",LEFT(K5322,2)="W|"),2*N5322*O5322,0)</f>
        <v/>
      </c>
      <c r="Z5322" s="12" t="inlineStr">
        <is>
          <t>device-to-JB field wiring, one cable per device</t>
        </is>
      </c>
      <c r="AA5322" s="12">
        <f>N5322*O5322</f>
        <v/>
      </c>
    </row>
    <row r="5323">
      <c r="A5323" s="12" t="inlineStr">
        <is>
          <t>K-C-0059</t>
        </is>
      </c>
      <c r="B5323" s="12" t="inlineStr">
        <is>
          <t>K</t>
        </is>
      </c>
      <c r="C5323" s="12" t="inlineStr">
        <is>
          <t>Fuel supply (adjacent market)</t>
        </is>
      </c>
      <c r="D5323" s="12" t="inlineStr">
        <is>
          <t>Home run JB-H2 26: H2 compress-SOL01 to the control / marshalling room</t>
        </is>
      </c>
      <c r="E5323" s="12" t="inlineStr"/>
      <c r="F5323" s="12" t="inlineStr">
        <is>
          <t>H2 20: 13.8 kV e-house</t>
        </is>
      </c>
      <c r="G5323" s="12" t="inlineStr">
        <is>
          <t>JB-H2 26: H2 compress-SOL01</t>
        </is>
      </c>
      <c r="H5323" s="12" t="inlineStr">
        <is>
          <t>H2 26: H2 compressor 2 (40 ft ISO)</t>
        </is>
      </c>
      <c r="I5323" s="12" t="inlineStr">
        <is>
          <t>Control</t>
        </is>
      </c>
      <c r="J5323" s="12" t="inlineStr">
        <is>
          <t>ARMOR-X MC-HL 600 V control, Cu #14 AWG (Class I Div 2)</t>
        </is>
      </c>
      <c r="K5323" s="12" t="inlineStr">
        <is>
          <t>CTAX|25/C|14</t>
        </is>
      </c>
      <c r="L5323" s="12" t="inlineStr">
        <is>
          <t>25/C</t>
        </is>
      </c>
      <c r="M5323" s="12" t="inlineStr">
        <is>
          <t>14</t>
        </is>
      </c>
      <c r="N5323" s="12" t="n">
        <v>1</v>
      </c>
      <c r="O5323" s="12" t="n">
        <v>1</v>
      </c>
      <c r="P5323" s="12" t="n"/>
      <c r="Q5323" s="12" t="n"/>
      <c r="R5323" s="12" t="n"/>
      <c r="S5323" s="12" t="inlineStr">
        <is>
          <t>Duct bank</t>
        </is>
      </c>
      <c r="T5323" s="17" t="n">
        <v>50</v>
      </c>
      <c r="U5323" s="17" t="n">
        <v>47</v>
      </c>
      <c r="V5323" s="17">
        <f>ROUNDUP((T5323+U5323+2*'Read Me'!$B$13)*(1+'Read Me'!$B$12),-1)</f>
        <v/>
      </c>
      <c r="W5323" s="17">
        <f>V5323*N5323*O5323</f>
        <v/>
      </c>
      <c r="X5323" s="12">
        <f>IF(LEFT(I5323,2)="MV",2*N5323*IF(L5323="1/C",O5323,1),0)</f>
        <v/>
      </c>
      <c r="Y5323" s="12">
        <f>IF(OR(LEFT(K5323,4)="LVAX",LEFT(K5323,6)="MV15AX",LEFT(K5323,4)="CTAX",LEFT(K5323,2)="W|"),2*N5323*O5323,0)</f>
        <v/>
      </c>
      <c r="Z5323" s="12" t="inlineStr"/>
      <c r="AA5323" s="12">
        <f>N5323*O5323</f>
        <v/>
      </c>
    </row>
    <row r="5324">
      <c r="A5324" s="12" t="inlineStr">
        <is>
          <t>K-C-0060</t>
        </is>
      </c>
      <c r="B5324" s="12" t="inlineStr">
        <is>
          <t>K</t>
        </is>
      </c>
      <c r="C5324" s="12" t="inlineStr">
        <is>
          <t>Fuel supply (adjacent market)</t>
        </is>
      </c>
      <c r="D5324" s="12" t="inlineStr">
        <is>
          <t>Motor 1 of 1: control / local station</t>
        </is>
      </c>
      <c r="E5324" s="12" t="inlineStr"/>
      <c r="F5324" s="12" t="inlineStr">
        <is>
          <t>H2 20: 13.8 kV e-house</t>
        </is>
      </c>
      <c r="G5324" s="12" t="inlineStr"/>
      <c r="H5324" s="12" t="inlineStr">
        <is>
          <t>H2 27: storage tube bank (~40 ft tubes)</t>
        </is>
      </c>
      <c r="I5324" s="12" t="inlineStr">
        <is>
          <t>Control</t>
        </is>
      </c>
      <c r="J5324" s="12" t="inlineStr">
        <is>
          <t>ARMOR-X MC-HL 600 V control, Cu #14 AWG (Class I Div 2)</t>
        </is>
      </c>
      <c r="K5324" s="12" t="inlineStr">
        <is>
          <t>CTAX|7/C|14</t>
        </is>
      </c>
      <c r="L5324" s="12" t="inlineStr">
        <is>
          <t>7/C</t>
        </is>
      </c>
      <c r="M5324" s="12" t="inlineStr">
        <is>
          <t>14</t>
        </is>
      </c>
      <c r="N5324" s="12" t="n">
        <v>1</v>
      </c>
      <c r="O5324" s="12" t="n">
        <v>1</v>
      </c>
      <c r="P5324" s="12" t="n"/>
      <c r="Q5324" s="12" t="n"/>
      <c r="R5324" s="12" t="n"/>
      <c r="S5324" s="12" t="inlineStr">
        <is>
          <t>Duct bank</t>
        </is>
      </c>
      <c r="T5324" s="17" t="n">
        <v>50</v>
      </c>
      <c r="U5324" s="17" t="n">
        <v>97</v>
      </c>
      <c r="V5324" s="17">
        <f>ROUNDUP((T5324+U5324+2*'Read Me'!$B$13)*(1+'Read Me'!$B$12),-1)</f>
        <v/>
      </c>
      <c r="W5324" s="17">
        <f>V5324*N5324*O5324</f>
        <v/>
      </c>
      <c r="X5324" s="12">
        <f>IF(LEFT(I5324,2)="MV",2*N5324*IF(L5324="1/C",O5324,1),0)</f>
        <v/>
      </c>
      <c r="Y5324" s="12">
        <f>IF(OR(LEFT(K5324,4)="LVAX",LEFT(K5324,6)="MV15AX",LEFT(K5324,4)="CTAX",LEFT(K5324,2)="W|"),2*N5324*O5324,0)</f>
        <v/>
      </c>
      <c r="Z5324" s="12" t="inlineStr"/>
      <c r="AA5324" s="12">
        <f>N5324*O5324</f>
        <v/>
      </c>
    </row>
    <row r="5325">
      <c r="A5325" s="12" t="inlineStr">
        <is>
          <t>K-C-0061</t>
        </is>
      </c>
      <c r="B5325" s="12" t="inlineStr">
        <is>
          <t>K</t>
        </is>
      </c>
      <c r="C5325" s="12" t="inlineStr">
        <is>
          <t>Fuel supply (adjacent market)</t>
        </is>
      </c>
      <c r="D5325" s="12" t="inlineStr">
        <is>
          <t>Solenoid to JB JB-H2 27: storage tub-SOL01: 2 x 2/C (field cables)</t>
        </is>
      </c>
      <c r="E5325" s="12" t="inlineStr"/>
      <c r="F5325" s="12" t="inlineStr">
        <is>
          <t>H2 27: storage tube bank (~40 ft tubes)</t>
        </is>
      </c>
      <c r="G5325" s="12" t="inlineStr">
        <is>
          <t>JB-H2 27: storage tub-SOL01</t>
        </is>
      </c>
      <c r="H5325" s="12" t="inlineStr">
        <is>
          <t>H2 27: storage tube bank (~40 ft tubes)</t>
        </is>
      </c>
      <c r="I5325" s="12" t="inlineStr">
        <is>
          <t>Control</t>
        </is>
      </c>
      <c r="J5325" s="12" t="inlineStr">
        <is>
          <t>ARMOR-X MC-HL 600 V control, Cu #14 AWG (Class I Div 2)</t>
        </is>
      </c>
      <c r="K5325" s="12" t="inlineStr">
        <is>
          <t>CTAX|2/C|14</t>
        </is>
      </c>
      <c r="L5325" s="12" t="inlineStr">
        <is>
          <t>2/C</t>
        </is>
      </c>
      <c r="M5325" s="12" t="inlineStr">
        <is>
          <t>14</t>
        </is>
      </c>
      <c r="N5325" s="12" t="n">
        <v>2</v>
      </c>
      <c r="O5325" s="12" t="n">
        <v>1</v>
      </c>
      <c r="P5325" s="12" t="n"/>
      <c r="Q5325" s="12" t="n"/>
      <c r="R5325" s="12" t="n"/>
      <c r="S5325" s="12" t="inlineStr">
        <is>
          <t>Tray / conduit</t>
        </is>
      </c>
      <c r="T5325" s="17" t="n">
        <v>54</v>
      </c>
      <c r="U5325" s="17" t="n">
        <v>10</v>
      </c>
      <c r="V5325" s="17">
        <f>ROUNDUP((T5325+U5325+2*'Read Me'!$B$13)*(1+'Read Me'!$B$12),-1)</f>
        <v/>
      </c>
      <c r="W5325" s="17">
        <f>V5325*N5325*O5325</f>
        <v/>
      </c>
      <c r="X5325" s="12">
        <f>IF(LEFT(I5325,2)="MV",2*N5325*IF(L5325="1/C",O5325,1),0)</f>
        <v/>
      </c>
      <c r="Y5325" s="12">
        <f>IF(OR(LEFT(K5325,4)="LVAX",LEFT(K5325,6)="MV15AX",LEFT(K5325,4)="CTAX",LEFT(K5325,2)="W|"),2*N5325*O5325,0)</f>
        <v/>
      </c>
      <c r="Z5325" s="12" t="inlineStr">
        <is>
          <t>device-to-JB field wiring, one cable per device</t>
        </is>
      </c>
      <c r="AA5325" s="12">
        <f>N5325*O5325</f>
        <v/>
      </c>
    </row>
    <row r="5326">
      <c r="A5326" s="12" t="inlineStr">
        <is>
          <t>K-C-0062</t>
        </is>
      </c>
      <c r="B5326" s="12" t="inlineStr">
        <is>
          <t>K</t>
        </is>
      </c>
      <c r="C5326" s="12" t="inlineStr">
        <is>
          <t>Fuel supply (adjacent market)</t>
        </is>
      </c>
      <c r="D5326" s="12" t="inlineStr">
        <is>
          <t>Home run JB-H2 27: storage tub-SOL01 to the control / marshalling room</t>
        </is>
      </c>
      <c r="E5326" s="12" t="inlineStr"/>
      <c r="F5326" s="12" t="inlineStr">
        <is>
          <t>H2 20: 13.8 kV e-house</t>
        </is>
      </c>
      <c r="G5326" s="12" t="inlineStr">
        <is>
          <t>JB-H2 27: storage tub-SOL01</t>
        </is>
      </c>
      <c r="H5326" s="12" t="inlineStr">
        <is>
          <t>H2 27: storage tube bank (~40 ft tubes)</t>
        </is>
      </c>
      <c r="I5326" s="12" t="inlineStr">
        <is>
          <t>Control</t>
        </is>
      </c>
      <c r="J5326" s="12" t="inlineStr">
        <is>
          <t>ARMOR-X MC-HL 600 V control, Cu #14 AWG (Class I Div 2)</t>
        </is>
      </c>
      <c r="K5326" s="12" t="inlineStr">
        <is>
          <t>CTAX|25/C|14</t>
        </is>
      </c>
      <c r="L5326" s="12" t="inlineStr">
        <is>
          <t>25/C</t>
        </is>
      </c>
      <c r="M5326" s="12" t="inlineStr">
        <is>
          <t>14</t>
        </is>
      </c>
      <c r="N5326" s="12" t="n">
        <v>1</v>
      </c>
      <c r="O5326" s="12" t="n">
        <v>1</v>
      </c>
      <c r="P5326" s="12" t="n"/>
      <c r="Q5326" s="12" t="n"/>
      <c r="R5326" s="12" t="n"/>
      <c r="S5326" s="12" t="inlineStr">
        <is>
          <t>Duct bank</t>
        </is>
      </c>
      <c r="T5326" s="17" t="n">
        <v>50</v>
      </c>
      <c r="U5326" s="17" t="n">
        <v>97</v>
      </c>
      <c r="V5326" s="17">
        <f>ROUNDUP((T5326+U5326+2*'Read Me'!$B$13)*(1+'Read Me'!$B$12),-1)</f>
        <v/>
      </c>
      <c r="W5326" s="17">
        <f>V5326*N5326*O5326</f>
        <v/>
      </c>
      <c r="X5326" s="12">
        <f>IF(LEFT(I5326,2)="MV",2*N5326*IF(L5326="1/C",O5326,1),0)</f>
        <v/>
      </c>
      <c r="Y5326" s="12">
        <f>IF(OR(LEFT(K5326,4)="LVAX",LEFT(K5326,6)="MV15AX",LEFT(K5326,4)="CTAX",LEFT(K5326,2)="W|"),2*N5326*O5326,0)</f>
        <v/>
      </c>
      <c r="Z5326" s="12" t="inlineStr"/>
      <c r="AA5326" s="12">
        <f>N5326*O5326</f>
        <v/>
      </c>
    </row>
    <row r="5327">
      <c r="A5327" s="12" t="inlineStr">
        <is>
          <t>K-C-0063</t>
        </is>
      </c>
      <c r="B5327" s="12" t="inlineStr">
        <is>
          <t>K</t>
        </is>
      </c>
      <c r="C5327" s="12" t="inlineStr">
        <is>
          <t>Fuel supply (adjacent market)</t>
        </is>
      </c>
      <c r="D5327" s="12" t="inlineStr">
        <is>
          <t>Motor 1 of 1: control / local station</t>
        </is>
      </c>
      <c r="E5327" s="12" t="inlineStr"/>
      <c r="F5327" s="12" t="inlineStr">
        <is>
          <t>H2 20: 13.8 kV e-house</t>
        </is>
      </c>
      <c r="G5327" s="12" t="inlineStr"/>
      <c r="H5327" s="12" t="inlineStr">
        <is>
          <t>H2 27: storage tube bank (~40 ft tubes)</t>
        </is>
      </c>
      <c r="I5327" s="12" t="inlineStr">
        <is>
          <t>Control</t>
        </is>
      </c>
      <c r="J5327" s="12" t="inlineStr">
        <is>
          <t>ARMOR-X MC-HL 600 V control, Cu #14 AWG (Class I Div 2)</t>
        </is>
      </c>
      <c r="K5327" s="12" t="inlineStr">
        <is>
          <t>CTAX|7/C|14</t>
        </is>
      </c>
      <c r="L5327" s="12" t="inlineStr">
        <is>
          <t>7/C</t>
        </is>
      </c>
      <c r="M5327" s="12" t="inlineStr">
        <is>
          <t>14</t>
        </is>
      </c>
      <c r="N5327" s="12" t="n">
        <v>1</v>
      </c>
      <c r="O5327" s="12" t="n">
        <v>1</v>
      </c>
      <c r="P5327" s="12" t="n"/>
      <c r="Q5327" s="12" t="n"/>
      <c r="R5327" s="12" t="n"/>
      <c r="S5327" s="12" t="inlineStr">
        <is>
          <t>Duct bank</t>
        </is>
      </c>
      <c r="T5327" s="17" t="n">
        <v>50</v>
      </c>
      <c r="U5327" s="17" t="n">
        <v>117</v>
      </c>
      <c r="V5327" s="17">
        <f>ROUNDUP((T5327+U5327+2*'Read Me'!$B$13)*(1+'Read Me'!$B$12),-1)</f>
        <v/>
      </c>
      <c r="W5327" s="17">
        <f>V5327*N5327*O5327</f>
        <v/>
      </c>
      <c r="X5327" s="12">
        <f>IF(LEFT(I5327,2)="MV",2*N5327*IF(L5327="1/C",O5327,1),0)</f>
        <v/>
      </c>
      <c r="Y5327" s="12">
        <f>IF(OR(LEFT(K5327,4)="LVAX",LEFT(K5327,6)="MV15AX",LEFT(K5327,4)="CTAX",LEFT(K5327,2)="W|"),2*N5327*O5327,0)</f>
        <v/>
      </c>
      <c r="Z5327" s="12" t="inlineStr"/>
      <c r="AA5327" s="12">
        <f>N5327*O5327</f>
        <v/>
      </c>
    </row>
    <row r="5328">
      <c r="A5328" s="12" t="inlineStr">
        <is>
          <t>K-C-0064</t>
        </is>
      </c>
      <c r="B5328" s="12" t="inlineStr">
        <is>
          <t>K</t>
        </is>
      </c>
      <c r="C5328" s="12" t="inlineStr">
        <is>
          <t>Fuel supply (adjacent market)</t>
        </is>
      </c>
      <c r="D5328" s="12" t="inlineStr">
        <is>
          <t>Solenoid to JB JB-H2 27: storage tub-SOL01: 2 x 2/C (field cables)</t>
        </is>
      </c>
      <c r="E5328" s="12" t="inlineStr"/>
      <c r="F5328" s="12" t="inlineStr">
        <is>
          <t>H2 27: storage tube bank (~40 ft tubes)</t>
        </is>
      </c>
      <c r="G5328" s="12" t="inlineStr">
        <is>
          <t>JB-H2 27: storage tub-SOL01</t>
        </is>
      </c>
      <c r="H5328" s="12" t="inlineStr">
        <is>
          <t>H2 27: storage tube bank (~40 ft tubes)</t>
        </is>
      </c>
      <c r="I5328" s="12" t="inlineStr">
        <is>
          <t>Control</t>
        </is>
      </c>
      <c r="J5328" s="12" t="inlineStr">
        <is>
          <t>ARMOR-X MC-HL 600 V control, Cu #14 AWG (Class I Div 2)</t>
        </is>
      </c>
      <c r="K5328" s="12" t="inlineStr">
        <is>
          <t>CTAX|2/C|14</t>
        </is>
      </c>
      <c r="L5328" s="12" t="inlineStr">
        <is>
          <t>2/C</t>
        </is>
      </c>
      <c r="M5328" s="12" t="inlineStr">
        <is>
          <t>14</t>
        </is>
      </c>
      <c r="N5328" s="12" t="n">
        <v>2</v>
      </c>
      <c r="O5328" s="12" t="n">
        <v>1</v>
      </c>
      <c r="P5328" s="12" t="n"/>
      <c r="Q5328" s="12" t="n"/>
      <c r="R5328" s="12" t="n"/>
      <c r="S5328" s="12" t="inlineStr">
        <is>
          <t>Tray / conduit</t>
        </is>
      </c>
      <c r="T5328" s="17" t="n">
        <v>54</v>
      </c>
      <c r="U5328" s="17" t="n">
        <v>10</v>
      </c>
      <c r="V5328" s="17">
        <f>ROUNDUP((T5328+U5328+2*'Read Me'!$B$13)*(1+'Read Me'!$B$12),-1)</f>
        <v/>
      </c>
      <c r="W5328" s="17">
        <f>V5328*N5328*O5328</f>
        <v/>
      </c>
      <c r="X5328" s="12">
        <f>IF(LEFT(I5328,2)="MV",2*N5328*IF(L5328="1/C",O5328,1),0)</f>
        <v/>
      </c>
      <c r="Y5328" s="12">
        <f>IF(OR(LEFT(K5328,4)="LVAX",LEFT(K5328,6)="MV15AX",LEFT(K5328,4)="CTAX",LEFT(K5328,2)="W|"),2*N5328*O5328,0)</f>
        <v/>
      </c>
      <c r="Z5328" s="12" t="inlineStr">
        <is>
          <t>device-to-JB field wiring, one cable per device</t>
        </is>
      </c>
      <c r="AA5328" s="12">
        <f>N5328*O5328</f>
        <v/>
      </c>
    </row>
    <row r="5329">
      <c r="A5329" s="12" t="inlineStr">
        <is>
          <t>K-C-0065</t>
        </is>
      </c>
      <c r="B5329" s="12" t="inlineStr">
        <is>
          <t>K</t>
        </is>
      </c>
      <c r="C5329" s="12" t="inlineStr">
        <is>
          <t>Fuel supply (adjacent market)</t>
        </is>
      </c>
      <c r="D5329" s="12" t="inlineStr">
        <is>
          <t>Home run JB-H2 27: storage tub-SOL01 to the control / marshalling room</t>
        </is>
      </c>
      <c r="E5329" s="12" t="inlineStr"/>
      <c r="F5329" s="12" t="inlineStr">
        <is>
          <t>H2 20: 13.8 kV e-house</t>
        </is>
      </c>
      <c r="G5329" s="12" t="inlineStr">
        <is>
          <t>JB-H2 27: storage tub-SOL01</t>
        </is>
      </c>
      <c r="H5329" s="12" t="inlineStr">
        <is>
          <t>H2 27: storage tube bank (~40 ft tubes)</t>
        </is>
      </c>
      <c r="I5329" s="12" t="inlineStr">
        <is>
          <t>Control</t>
        </is>
      </c>
      <c r="J5329" s="12" t="inlineStr">
        <is>
          <t>ARMOR-X MC-HL 600 V control, Cu #14 AWG (Class I Div 2)</t>
        </is>
      </c>
      <c r="K5329" s="12" t="inlineStr">
        <is>
          <t>CTAX|25/C|14</t>
        </is>
      </c>
      <c r="L5329" s="12" t="inlineStr">
        <is>
          <t>25/C</t>
        </is>
      </c>
      <c r="M5329" s="12" t="inlineStr">
        <is>
          <t>14</t>
        </is>
      </c>
      <c r="N5329" s="12" t="n">
        <v>1</v>
      </c>
      <c r="O5329" s="12" t="n">
        <v>1</v>
      </c>
      <c r="P5329" s="12" t="n"/>
      <c r="Q5329" s="12" t="n"/>
      <c r="R5329" s="12" t="n"/>
      <c r="S5329" s="12" t="inlineStr">
        <is>
          <t>Duct bank</t>
        </is>
      </c>
      <c r="T5329" s="17" t="n">
        <v>50</v>
      </c>
      <c r="U5329" s="17" t="n">
        <v>117</v>
      </c>
      <c r="V5329" s="17">
        <f>ROUNDUP((T5329+U5329+2*'Read Me'!$B$13)*(1+'Read Me'!$B$12),-1)</f>
        <v/>
      </c>
      <c r="W5329" s="17">
        <f>V5329*N5329*O5329</f>
        <v/>
      </c>
      <c r="X5329" s="12">
        <f>IF(LEFT(I5329,2)="MV",2*N5329*IF(L5329="1/C",O5329,1),0)</f>
        <v/>
      </c>
      <c r="Y5329" s="12">
        <f>IF(OR(LEFT(K5329,4)="LVAX",LEFT(K5329,6)="MV15AX",LEFT(K5329,4)="CTAX",LEFT(K5329,2)="W|"),2*N5329*O5329,0)</f>
        <v/>
      </c>
      <c r="Z5329" s="12" t="inlineStr"/>
      <c r="AA5329" s="12">
        <f>N5329*O5329</f>
        <v/>
      </c>
    </row>
    <row r="5330">
      <c r="A5330" s="12" t="inlineStr">
        <is>
          <t>K-C-0066</t>
        </is>
      </c>
      <c r="B5330" s="12" t="inlineStr">
        <is>
          <t>K</t>
        </is>
      </c>
      <c r="C5330" s="12" t="inlineStr">
        <is>
          <t>Fuel supply (adjacent market)</t>
        </is>
      </c>
      <c r="D5330" s="12" t="inlineStr">
        <is>
          <t>Motor 1 of 1: control / local station</t>
        </is>
      </c>
      <c r="E5330" s="12" t="inlineStr"/>
      <c r="F5330" s="12" t="inlineStr">
        <is>
          <t>H2 20: 13.8 kV e-house</t>
        </is>
      </c>
      <c r="G5330" s="12" t="inlineStr"/>
      <c r="H5330" s="12" t="inlineStr">
        <is>
          <t>H2 27: storage tube bank (~40 ft tubes)</t>
        </is>
      </c>
      <c r="I5330" s="12" t="inlineStr">
        <is>
          <t>Control</t>
        </is>
      </c>
      <c r="J5330" s="12" t="inlineStr">
        <is>
          <t>ARMOR-X MC-HL 600 V control, Cu #14 AWG (Class I Div 2)</t>
        </is>
      </c>
      <c r="K5330" s="12" t="inlineStr">
        <is>
          <t>CTAX|7/C|14</t>
        </is>
      </c>
      <c r="L5330" s="12" t="inlineStr">
        <is>
          <t>7/C</t>
        </is>
      </c>
      <c r="M5330" s="12" t="inlineStr">
        <is>
          <t>14</t>
        </is>
      </c>
      <c r="N5330" s="12" t="n">
        <v>1</v>
      </c>
      <c r="O5330" s="12" t="n">
        <v>1</v>
      </c>
      <c r="P5330" s="12" t="n"/>
      <c r="Q5330" s="12" t="n"/>
      <c r="R5330" s="12" t="n"/>
      <c r="S5330" s="12" t="inlineStr">
        <is>
          <t>Duct bank</t>
        </is>
      </c>
      <c r="T5330" s="17" t="n">
        <v>50</v>
      </c>
      <c r="U5330" s="17" t="n">
        <v>97</v>
      </c>
      <c r="V5330" s="17">
        <f>ROUNDUP((T5330+U5330+2*'Read Me'!$B$13)*(1+'Read Me'!$B$12),-1)</f>
        <v/>
      </c>
      <c r="W5330" s="17">
        <f>V5330*N5330*O5330</f>
        <v/>
      </c>
      <c r="X5330" s="12">
        <f>IF(LEFT(I5330,2)="MV",2*N5330*IF(L5330="1/C",O5330,1),0)</f>
        <v/>
      </c>
      <c r="Y5330" s="12">
        <f>IF(OR(LEFT(K5330,4)="LVAX",LEFT(K5330,6)="MV15AX",LEFT(K5330,4)="CTAX",LEFT(K5330,2)="W|"),2*N5330*O5330,0)</f>
        <v/>
      </c>
      <c r="Z5330" s="12" t="inlineStr"/>
      <c r="AA5330" s="12">
        <f>N5330*O5330</f>
        <v/>
      </c>
    </row>
    <row r="5331">
      <c r="A5331" s="12" t="inlineStr">
        <is>
          <t>K-C-0067</t>
        </is>
      </c>
      <c r="B5331" s="12" t="inlineStr">
        <is>
          <t>K</t>
        </is>
      </c>
      <c r="C5331" s="12" t="inlineStr">
        <is>
          <t>Fuel supply (adjacent market)</t>
        </is>
      </c>
      <c r="D5331" s="12" t="inlineStr">
        <is>
          <t>Solenoid to JB JB-H2 27: storage tub-SOL01: 2 x 2/C (field cables)</t>
        </is>
      </c>
      <c r="E5331" s="12" t="inlineStr"/>
      <c r="F5331" s="12" t="inlineStr">
        <is>
          <t>H2 27: storage tube bank (~40 ft tubes)</t>
        </is>
      </c>
      <c r="G5331" s="12" t="inlineStr">
        <is>
          <t>JB-H2 27: storage tub-SOL01</t>
        </is>
      </c>
      <c r="H5331" s="12" t="inlineStr">
        <is>
          <t>H2 27: storage tube bank (~40 ft tubes)</t>
        </is>
      </c>
      <c r="I5331" s="12" t="inlineStr">
        <is>
          <t>Control</t>
        </is>
      </c>
      <c r="J5331" s="12" t="inlineStr">
        <is>
          <t>ARMOR-X MC-HL 600 V control, Cu #14 AWG (Class I Div 2)</t>
        </is>
      </c>
      <c r="K5331" s="12" t="inlineStr">
        <is>
          <t>CTAX|2/C|14</t>
        </is>
      </c>
      <c r="L5331" s="12" t="inlineStr">
        <is>
          <t>2/C</t>
        </is>
      </c>
      <c r="M5331" s="12" t="inlineStr">
        <is>
          <t>14</t>
        </is>
      </c>
      <c r="N5331" s="12" t="n">
        <v>2</v>
      </c>
      <c r="O5331" s="12" t="n">
        <v>1</v>
      </c>
      <c r="P5331" s="12" t="n"/>
      <c r="Q5331" s="12" t="n"/>
      <c r="R5331" s="12" t="n"/>
      <c r="S5331" s="12" t="inlineStr">
        <is>
          <t>Tray / conduit</t>
        </is>
      </c>
      <c r="T5331" s="17" t="n">
        <v>54</v>
      </c>
      <c r="U5331" s="17" t="n">
        <v>10</v>
      </c>
      <c r="V5331" s="17">
        <f>ROUNDUP((T5331+U5331+2*'Read Me'!$B$13)*(1+'Read Me'!$B$12),-1)</f>
        <v/>
      </c>
      <c r="W5331" s="17">
        <f>V5331*N5331*O5331</f>
        <v/>
      </c>
      <c r="X5331" s="12">
        <f>IF(LEFT(I5331,2)="MV",2*N5331*IF(L5331="1/C",O5331,1),0)</f>
        <v/>
      </c>
      <c r="Y5331" s="12">
        <f>IF(OR(LEFT(K5331,4)="LVAX",LEFT(K5331,6)="MV15AX",LEFT(K5331,4)="CTAX",LEFT(K5331,2)="W|"),2*N5331*O5331,0)</f>
        <v/>
      </c>
      <c r="Z5331" s="12" t="inlineStr">
        <is>
          <t>device-to-JB field wiring, one cable per device</t>
        </is>
      </c>
      <c r="AA5331" s="12">
        <f>N5331*O5331</f>
        <v/>
      </c>
    </row>
    <row r="5332">
      <c r="A5332" s="12" t="inlineStr">
        <is>
          <t>K-C-0068</t>
        </is>
      </c>
      <c r="B5332" s="12" t="inlineStr">
        <is>
          <t>K</t>
        </is>
      </c>
      <c r="C5332" s="12" t="inlineStr">
        <is>
          <t>Fuel supply (adjacent market)</t>
        </is>
      </c>
      <c r="D5332" s="12" t="inlineStr">
        <is>
          <t>Home run JB-H2 27: storage tub-SOL01 to the control / marshalling room</t>
        </is>
      </c>
      <c r="E5332" s="12" t="inlineStr"/>
      <c r="F5332" s="12" t="inlineStr">
        <is>
          <t>H2 20: 13.8 kV e-house</t>
        </is>
      </c>
      <c r="G5332" s="12" t="inlineStr">
        <is>
          <t>JB-H2 27: storage tub-SOL01</t>
        </is>
      </c>
      <c r="H5332" s="12" t="inlineStr">
        <is>
          <t>H2 27: storage tube bank (~40 ft tubes)</t>
        </is>
      </c>
      <c r="I5332" s="12" t="inlineStr">
        <is>
          <t>Control</t>
        </is>
      </c>
      <c r="J5332" s="12" t="inlineStr">
        <is>
          <t>ARMOR-X MC-HL 600 V control, Cu #14 AWG (Class I Div 2)</t>
        </is>
      </c>
      <c r="K5332" s="12" t="inlineStr">
        <is>
          <t>CTAX|25/C|14</t>
        </is>
      </c>
      <c r="L5332" s="12" t="inlineStr">
        <is>
          <t>25/C</t>
        </is>
      </c>
      <c r="M5332" s="12" t="inlineStr">
        <is>
          <t>14</t>
        </is>
      </c>
      <c r="N5332" s="12" t="n">
        <v>1</v>
      </c>
      <c r="O5332" s="12" t="n">
        <v>1</v>
      </c>
      <c r="P5332" s="12" t="n"/>
      <c r="Q5332" s="12" t="n"/>
      <c r="R5332" s="12" t="n"/>
      <c r="S5332" s="12" t="inlineStr">
        <is>
          <t>Duct bank</t>
        </is>
      </c>
      <c r="T5332" s="17" t="n">
        <v>50</v>
      </c>
      <c r="U5332" s="17" t="n">
        <v>97</v>
      </c>
      <c r="V5332" s="17">
        <f>ROUNDUP((T5332+U5332+2*'Read Me'!$B$13)*(1+'Read Me'!$B$12),-1)</f>
        <v/>
      </c>
      <c r="W5332" s="17">
        <f>V5332*N5332*O5332</f>
        <v/>
      </c>
      <c r="X5332" s="12">
        <f>IF(LEFT(I5332,2)="MV",2*N5332*IF(L5332="1/C",O5332,1),0)</f>
        <v/>
      </c>
      <c r="Y5332" s="12">
        <f>IF(OR(LEFT(K5332,4)="LVAX",LEFT(K5332,6)="MV15AX",LEFT(K5332,4)="CTAX",LEFT(K5332,2)="W|"),2*N5332*O5332,0)</f>
        <v/>
      </c>
      <c r="Z5332" s="12" t="inlineStr"/>
      <c r="AA5332" s="12">
        <f>N5332*O5332</f>
        <v/>
      </c>
    </row>
    <row r="5333">
      <c r="A5333" s="12" t="inlineStr">
        <is>
          <t>K-C-0069</t>
        </is>
      </c>
      <c r="B5333" s="12" t="inlineStr">
        <is>
          <t>K</t>
        </is>
      </c>
      <c r="C5333" s="12" t="inlineStr">
        <is>
          <t>Fuel supply (adjacent market)</t>
        </is>
      </c>
      <c r="D5333" s="12" t="inlineStr">
        <is>
          <t>Motor 1 of 1: control / local station</t>
        </is>
      </c>
      <c r="E5333" s="12" t="inlineStr"/>
      <c r="F5333" s="12" t="inlineStr">
        <is>
          <t>H2 20: 13.8 kV e-house</t>
        </is>
      </c>
      <c r="G5333" s="12" t="inlineStr"/>
      <c r="H5333" s="12" t="inlineStr">
        <is>
          <t>H2 27: storage tube bank (~40 ft tubes)</t>
        </is>
      </c>
      <c r="I5333" s="12" t="inlineStr">
        <is>
          <t>Control</t>
        </is>
      </c>
      <c r="J5333" s="12" t="inlineStr">
        <is>
          <t>ARMOR-X MC-HL 600 V control, Cu #14 AWG (Class I Div 2)</t>
        </is>
      </c>
      <c r="K5333" s="12" t="inlineStr">
        <is>
          <t>CTAX|7/C|14</t>
        </is>
      </c>
      <c r="L5333" s="12" t="inlineStr">
        <is>
          <t>7/C</t>
        </is>
      </c>
      <c r="M5333" s="12" t="inlineStr">
        <is>
          <t>14</t>
        </is>
      </c>
      <c r="N5333" s="12" t="n">
        <v>1</v>
      </c>
      <c r="O5333" s="12" t="n">
        <v>1</v>
      </c>
      <c r="P5333" s="12" t="n"/>
      <c r="Q5333" s="12" t="n"/>
      <c r="R5333" s="12" t="n"/>
      <c r="S5333" s="12" t="inlineStr">
        <is>
          <t>Duct bank</t>
        </is>
      </c>
      <c r="T5333" s="17" t="n">
        <v>50</v>
      </c>
      <c r="U5333" s="17" t="n">
        <v>117</v>
      </c>
      <c r="V5333" s="17">
        <f>ROUNDUP((T5333+U5333+2*'Read Me'!$B$13)*(1+'Read Me'!$B$12),-1)</f>
        <v/>
      </c>
      <c r="W5333" s="17">
        <f>V5333*N5333*O5333</f>
        <v/>
      </c>
      <c r="X5333" s="12">
        <f>IF(LEFT(I5333,2)="MV",2*N5333*IF(L5333="1/C",O5333,1),0)</f>
        <v/>
      </c>
      <c r="Y5333" s="12">
        <f>IF(OR(LEFT(K5333,4)="LVAX",LEFT(K5333,6)="MV15AX",LEFT(K5333,4)="CTAX",LEFT(K5333,2)="W|"),2*N5333*O5333,0)</f>
        <v/>
      </c>
      <c r="Z5333" s="12" t="inlineStr"/>
      <c r="AA5333" s="12">
        <f>N5333*O5333</f>
        <v/>
      </c>
    </row>
    <row r="5334">
      <c r="A5334" s="12" t="inlineStr">
        <is>
          <t>K-C-0070</t>
        </is>
      </c>
      <c r="B5334" s="12" t="inlineStr">
        <is>
          <t>K</t>
        </is>
      </c>
      <c r="C5334" s="12" t="inlineStr">
        <is>
          <t>Fuel supply (adjacent market)</t>
        </is>
      </c>
      <c r="D5334" s="12" t="inlineStr">
        <is>
          <t>Solenoid to JB JB-H2 27: storage tub-SOL01: 2 x 2/C (field cables)</t>
        </is>
      </c>
      <c r="E5334" s="12" t="inlineStr"/>
      <c r="F5334" s="12" t="inlineStr">
        <is>
          <t>H2 27: storage tube bank (~40 ft tubes)</t>
        </is>
      </c>
      <c r="G5334" s="12" t="inlineStr">
        <is>
          <t>JB-H2 27: storage tub-SOL01</t>
        </is>
      </c>
      <c r="H5334" s="12" t="inlineStr">
        <is>
          <t>H2 27: storage tube bank (~40 ft tubes)</t>
        </is>
      </c>
      <c r="I5334" s="12" t="inlineStr">
        <is>
          <t>Control</t>
        </is>
      </c>
      <c r="J5334" s="12" t="inlineStr">
        <is>
          <t>ARMOR-X MC-HL 600 V control, Cu #14 AWG (Class I Div 2)</t>
        </is>
      </c>
      <c r="K5334" s="12" t="inlineStr">
        <is>
          <t>CTAX|2/C|14</t>
        </is>
      </c>
      <c r="L5334" s="12" t="inlineStr">
        <is>
          <t>2/C</t>
        </is>
      </c>
      <c r="M5334" s="12" t="inlineStr">
        <is>
          <t>14</t>
        </is>
      </c>
      <c r="N5334" s="12" t="n">
        <v>2</v>
      </c>
      <c r="O5334" s="12" t="n">
        <v>1</v>
      </c>
      <c r="P5334" s="12" t="n"/>
      <c r="Q5334" s="12" t="n"/>
      <c r="R5334" s="12" t="n"/>
      <c r="S5334" s="12" t="inlineStr">
        <is>
          <t>Tray / conduit</t>
        </is>
      </c>
      <c r="T5334" s="17" t="n">
        <v>54</v>
      </c>
      <c r="U5334" s="17" t="n">
        <v>10</v>
      </c>
      <c r="V5334" s="17">
        <f>ROUNDUP((T5334+U5334+2*'Read Me'!$B$13)*(1+'Read Me'!$B$12),-1)</f>
        <v/>
      </c>
      <c r="W5334" s="17">
        <f>V5334*N5334*O5334</f>
        <v/>
      </c>
      <c r="X5334" s="12">
        <f>IF(LEFT(I5334,2)="MV",2*N5334*IF(L5334="1/C",O5334,1),0)</f>
        <v/>
      </c>
      <c r="Y5334" s="12">
        <f>IF(OR(LEFT(K5334,4)="LVAX",LEFT(K5334,6)="MV15AX",LEFT(K5334,4)="CTAX",LEFT(K5334,2)="W|"),2*N5334*O5334,0)</f>
        <v/>
      </c>
      <c r="Z5334" s="12" t="inlineStr">
        <is>
          <t>device-to-JB field wiring, one cable per device</t>
        </is>
      </c>
      <c r="AA5334" s="12">
        <f>N5334*O5334</f>
        <v/>
      </c>
    </row>
    <row r="5335">
      <c r="A5335" s="12" t="inlineStr">
        <is>
          <t>K-C-0071</t>
        </is>
      </c>
      <c r="B5335" s="12" t="inlineStr">
        <is>
          <t>K</t>
        </is>
      </c>
      <c r="C5335" s="12" t="inlineStr">
        <is>
          <t>Fuel supply (adjacent market)</t>
        </is>
      </c>
      <c r="D5335" s="12" t="inlineStr">
        <is>
          <t>Home run JB-H2 27: storage tub-SOL01 to the control / marshalling room</t>
        </is>
      </c>
      <c r="E5335" s="12" t="inlineStr"/>
      <c r="F5335" s="12" t="inlineStr">
        <is>
          <t>H2 20: 13.8 kV e-house</t>
        </is>
      </c>
      <c r="G5335" s="12" t="inlineStr">
        <is>
          <t>JB-H2 27: storage tub-SOL01</t>
        </is>
      </c>
      <c r="H5335" s="12" t="inlineStr">
        <is>
          <t>H2 27: storage tube bank (~40 ft tubes)</t>
        </is>
      </c>
      <c r="I5335" s="12" t="inlineStr">
        <is>
          <t>Control</t>
        </is>
      </c>
      <c r="J5335" s="12" t="inlineStr">
        <is>
          <t>ARMOR-X MC-HL 600 V control, Cu #14 AWG (Class I Div 2)</t>
        </is>
      </c>
      <c r="K5335" s="12" t="inlineStr">
        <is>
          <t>CTAX|25/C|14</t>
        </is>
      </c>
      <c r="L5335" s="12" t="inlineStr">
        <is>
          <t>25/C</t>
        </is>
      </c>
      <c r="M5335" s="12" t="inlineStr">
        <is>
          <t>14</t>
        </is>
      </c>
      <c r="N5335" s="12" t="n">
        <v>1</v>
      </c>
      <c r="O5335" s="12" t="n">
        <v>1</v>
      </c>
      <c r="P5335" s="12" t="n"/>
      <c r="Q5335" s="12" t="n"/>
      <c r="R5335" s="12" t="n"/>
      <c r="S5335" s="12" t="inlineStr">
        <is>
          <t>Duct bank</t>
        </is>
      </c>
      <c r="T5335" s="17" t="n">
        <v>50</v>
      </c>
      <c r="U5335" s="17" t="n">
        <v>117</v>
      </c>
      <c r="V5335" s="17">
        <f>ROUNDUP((T5335+U5335+2*'Read Me'!$B$13)*(1+'Read Me'!$B$12),-1)</f>
        <v/>
      </c>
      <c r="W5335" s="17">
        <f>V5335*N5335*O5335</f>
        <v/>
      </c>
      <c r="X5335" s="12">
        <f>IF(LEFT(I5335,2)="MV",2*N5335*IF(L5335="1/C",O5335,1),0)</f>
        <v/>
      </c>
      <c r="Y5335" s="12">
        <f>IF(OR(LEFT(K5335,4)="LVAX",LEFT(K5335,6)="MV15AX",LEFT(K5335,4)="CTAX",LEFT(K5335,2)="W|"),2*N5335*O5335,0)</f>
        <v/>
      </c>
      <c r="Z5335" s="12" t="inlineStr"/>
      <c r="AA5335" s="12">
        <f>N5335*O5335</f>
        <v/>
      </c>
    </row>
    <row r="5336">
      <c r="A5336" s="12" t="inlineStr">
        <is>
          <t>K-C-0072</t>
        </is>
      </c>
      <c r="B5336" s="12" t="inlineStr">
        <is>
          <t>K</t>
        </is>
      </c>
      <c r="C5336" s="12" t="inlineStr">
        <is>
          <t>Fuel supply (adjacent market)</t>
        </is>
      </c>
      <c r="D5336" s="12" t="inlineStr">
        <is>
          <t>Motor 1 of 1: control / local station</t>
        </is>
      </c>
      <c r="E5336" s="12" t="inlineStr"/>
      <c r="F5336" s="12" t="inlineStr">
        <is>
          <t>H2 20: 13.8 kV e-house</t>
        </is>
      </c>
      <c r="G5336" s="12" t="inlineStr"/>
      <c r="H5336" s="12" t="inlineStr">
        <is>
          <t>H2 28: N2 purge supply</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7" t="n">
        <v>53</v>
      </c>
      <c r="U5336" s="17" t="n">
        <v>36</v>
      </c>
      <c r="V5336" s="17">
        <f>ROUNDUP((T5336+U5336+2*'Read Me'!$B$13)*(1+'Read Me'!$B$12),-1)</f>
        <v/>
      </c>
      <c r="W5336" s="17">
        <f>V5336*N5336*O5336</f>
        <v/>
      </c>
      <c r="X5336" s="12">
        <f>IF(LEFT(I5336,2)="MV",2*N5336*IF(L5336="1/C",O5336,1),0)</f>
        <v/>
      </c>
      <c r="Y5336" s="12">
        <f>IF(OR(LEFT(K5336,4)="LVAX",LEFT(K5336,6)="MV15AX",LEFT(K5336,4)="CTAX",LEFT(K5336,2)="W|"),2*N5336*O5336,0)</f>
        <v/>
      </c>
      <c r="Z5336" s="12" t="inlineStr"/>
      <c r="AA5336" s="12">
        <f>N5336*O5336</f>
        <v/>
      </c>
    </row>
    <row r="5337">
      <c r="A5337" s="12" t="inlineStr">
        <is>
          <t>K-C-0073</t>
        </is>
      </c>
      <c r="B5337" s="12" t="inlineStr">
        <is>
          <t>K</t>
        </is>
      </c>
      <c r="C5337" s="12" t="inlineStr">
        <is>
          <t>Fuel supply (adjacent market)</t>
        </is>
      </c>
      <c r="D5337" s="12" t="inlineStr">
        <is>
          <t>Solenoid to JB JB-H2 28: N2 purge su-SOL01: 2 x 2/C (field cables)</t>
        </is>
      </c>
      <c r="E5337" s="12" t="inlineStr"/>
      <c r="F5337" s="12" t="inlineStr">
        <is>
          <t>H2 28: N2 purge supply</t>
        </is>
      </c>
      <c r="G5337" s="12" t="inlineStr">
        <is>
          <t>JB-H2 28: N2 purge su-SOL01</t>
        </is>
      </c>
      <c r="H5337" s="12" t="inlineStr">
        <is>
          <t>H2 28: N2 purge supply</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7" t="n">
        <v>56</v>
      </c>
      <c r="U5337" s="17" t="n">
        <v>10</v>
      </c>
      <c r="V5337" s="17">
        <f>ROUNDUP((T5337+U5337+2*'Read Me'!$B$13)*(1+'Read Me'!$B$12),-1)</f>
        <v/>
      </c>
      <c r="W5337" s="17">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K-C-0074</t>
        </is>
      </c>
      <c r="B5338" s="12" t="inlineStr">
        <is>
          <t>K</t>
        </is>
      </c>
      <c r="C5338" s="12" t="inlineStr">
        <is>
          <t>Fuel supply (adjacent market)</t>
        </is>
      </c>
      <c r="D5338" s="12" t="inlineStr">
        <is>
          <t>Home run JB-H2 28: N2 purge su-SOL01 to the control / marshalling room</t>
        </is>
      </c>
      <c r="E5338" s="12" t="inlineStr"/>
      <c r="F5338" s="12" t="inlineStr">
        <is>
          <t>H2 20: 13.8 kV e-house</t>
        </is>
      </c>
      <c r="G5338" s="12" t="inlineStr">
        <is>
          <t>JB-H2 28: N2 purge su-SOL01</t>
        </is>
      </c>
      <c r="H5338" s="12" t="inlineStr">
        <is>
          <t>H2 28: N2 purge supply</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7" t="n">
        <v>53</v>
      </c>
      <c r="U5338" s="17" t="n">
        <v>36</v>
      </c>
      <c r="V5338" s="17">
        <f>ROUNDUP((T5338+U5338+2*'Read Me'!$B$13)*(1+'Read Me'!$B$12),-1)</f>
        <v/>
      </c>
      <c r="W5338" s="17">
        <f>V5338*N5338*O5338</f>
        <v/>
      </c>
      <c r="X5338" s="12">
        <f>IF(LEFT(I5338,2)="MV",2*N5338*IF(L5338="1/C",O5338,1),0)</f>
        <v/>
      </c>
      <c r="Y5338" s="12">
        <f>IF(OR(LEFT(K5338,4)="LVAX",LEFT(K5338,6)="MV15AX",LEFT(K5338,4)="CTAX",LEFT(K5338,2)="W|"),2*N5338*O5338,0)</f>
        <v/>
      </c>
      <c r="Z5338" s="12" t="inlineStr"/>
      <c r="AA5338" s="12">
        <f>N5338*O5338</f>
        <v/>
      </c>
    </row>
    <row r="5339">
      <c r="A5339" s="12" t="inlineStr">
        <is>
          <t>K-C-0075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29: vent stack</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7" t="n">
        <v>55</v>
      </c>
      <c r="U5339" s="17" t="n">
        <v>205</v>
      </c>
      <c r="V5339" s="17">
        <f>ROUNDUP((T5339+U5339+2*'Read Me'!$B$13)*(1+'Read Me'!$B$12),-1)</f>
        <v/>
      </c>
      <c r="W5339" s="17">
        <f>V5339*N5339*O5339</f>
        <v/>
      </c>
      <c r="X5339" s="12">
        <f>IF(LEFT(I5339,2)="MV",2*N5339*IF(L5339="1/C",O5339,1),0)</f>
        <v/>
      </c>
      <c r="Y5339" s="12">
        <f>IF(OR(LEFT(K5339,4)="LVAX",LEFT(K5339,6)="MV15AX",LEFT(K5339,4)="CTAX",LEFT(K5339,2)="W|"),2*N5339*O5339,0)</f>
        <v/>
      </c>
      <c r="Z5339" s="12" t="inlineStr"/>
      <c r="AA5339" s="12">
        <f>N5339*O5339</f>
        <v/>
      </c>
    </row>
    <row r="5340">
      <c r="A5340" s="12" t="inlineStr">
        <is>
          <t>K-C-0076</t>
        </is>
      </c>
      <c r="B5340" s="12" t="inlineStr">
        <is>
          <t>K</t>
        </is>
      </c>
      <c r="C5340" s="12" t="inlineStr">
        <is>
          <t>Fuel supply (adjacent market)</t>
        </is>
      </c>
      <c r="D5340" s="12" t="inlineStr">
        <is>
          <t>Solenoid to JB JB-H2 29: vent stack-SOL01: 2 x 2/C (field cables)</t>
        </is>
      </c>
      <c r="E5340" s="12" t="inlineStr"/>
      <c r="F5340" s="12" t="inlineStr">
        <is>
          <t>H2 29: vent stack</t>
        </is>
      </c>
      <c r="G5340" s="12" t="inlineStr">
        <is>
          <t>JB-H2 29: vent stack-SOL01</t>
        </is>
      </c>
      <c r="H5340" s="12" t="inlineStr">
        <is>
          <t>H2 29: vent stack</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7" t="n">
        <v>45</v>
      </c>
      <c r="U5340" s="17" t="n">
        <v>10</v>
      </c>
      <c r="V5340" s="17">
        <f>ROUNDUP((T5340+U5340+2*'Read Me'!$B$13)*(1+'Read Me'!$B$12),-1)</f>
        <v/>
      </c>
      <c r="W5340" s="17">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K-C-0077</t>
        </is>
      </c>
      <c r="B5341" s="12" t="inlineStr">
        <is>
          <t>K</t>
        </is>
      </c>
      <c r="C5341" s="12" t="inlineStr">
        <is>
          <t>Fuel supply (adjacent market)</t>
        </is>
      </c>
      <c r="D5341" s="12" t="inlineStr">
        <is>
          <t>Home run JB-H2 29: vent stack-SOL01 to the control / marshalling room</t>
        </is>
      </c>
      <c r="E5341" s="12" t="inlineStr"/>
      <c r="F5341" s="12" t="inlineStr">
        <is>
          <t>H2 20: 13.8 kV e-house</t>
        </is>
      </c>
      <c r="G5341" s="12" t="inlineStr">
        <is>
          <t>JB-H2 29: vent stack-SOL01</t>
        </is>
      </c>
      <c r="H5341" s="12" t="inlineStr">
        <is>
          <t>H2 29: vent stack</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7" t="n">
        <v>55</v>
      </c>
      <c r="U5341" s="17" t="n">
        <v>205</v>
      </c>
      <c r="V5341" s="17">
        <f>ROUNDUP((T5341+U5341+2*'Read Me'!$B$13)*(1+'Read Me'!$B$12),-1)</f>
        <v/>
      </c>
      <c r="W5341" s="17">
        <f>V5341*N5341*O5341</f>
        <v/>
      </c>
      <c r="X5341" s="12">
        <f>IF(LEFT(I5341,2)="MV",2*N5341*IF(L5341="1/C",O5341,1),0)</f>
        <v/>
      </c>
      <c r="Y5341" s="12">
        <f>IF(OR(LEFT(K5341,4)="LVAX",LEFT(K5341,6)="MV15AX",LEFT(K5341,4)="CTAX",LEFT(K5341,2)="W|"),2*N5341*O5341,0)</f>
        <v/>
      </c>
      <c r="Z5341" s="12" t="inlineStr"/>
      <c r="AA5341" s="12">
        <f>N5341*O5341</f>
        <v/>
      </c>
    </row>
    <row r="5342">
      <c r="A5342" s="12" t="inlineStr">
        <is>
          <t>K-C-0078</t>
        </is>
      </c>
      <c r="B5342" s="12" t="inlineStr">
        <is>
          <t>K</t>
        </is>
      </c>
      <c r="C5342" s="12" t="inlineStr">
        <is>
          <t>Fuel supply (adjacent market)</t>
        </is>
      </c>
      <c r="D5342" s="12" t="inlineStr">
        <is>
          <t>Motor 1 of 1: control / local station</t>
        </is>
      </c>
      <c r="E5342" s="12" t="inlineStr"/>
      <c r="F5342" s="12" t="inlineStr">
        <is>
          <t>LNG 17: LNG e-house (13.8 kV / 480 V)</t>
        </is>
      </c>
      <c r="G5342" s="12" t="inlineStr"/>
      <c r="H5342" s="12" t="inlineStr">
        <is>
          <t>H2 30: H2 / gas blending station (plant gas yard)</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7" t="n">
        <v>994</v>
      </c>
      <c r="U5342" s="17" t="n">
        <v>114</v>
      </c>
      <c r="V5342" s="17">
        <f>ROUNDUP((T5342+U5342+2*'Read Me'!$B$13)*(1+'Read Me'!$B$12),-1)</f>
        <v/>
      </c>
      <c r="W5342" s="17">
        <f>V5342*N5342*O5342</f>
        <v/>
      </c>
      <c r="X5342" s="12">
        <f>IF(LEFT(I5342,2)="MV",2*N5342*IF(L5342="1/C",O5342,1),0)</f>
        <v/>
      </c>
      <c r="Y5342" s="12">
        <f>IF(OR(LEFT(K5342,4)="LVAX",LEFT(K5342,6)="MV15AX",LEFT(K5342,4)="CTAX",LEFT(K5342,2)="W|"),2*N5342*O5342,0)</f>
        <v/>
      </c>
      <c r="Z5342" s="12" t="inlineStr"/>
      <c r="AA5342" s="12">
        <f>N5342*O5342</f>
        <v/>
      </c>
    </row>
    <row r="5343">
      <c r="A5343" s="12" t="inlineStr">
        <is>
          <t>K-C-0079</t>
        </is>
      </c>
      <c r="B5343" s="12" t="inlineStr">
        <is>
          <t>K</t>
        </is>
      </c>
      <c r="C5343" s="12" t="inlineStr">
        <is>
          <t>Fuel supply (adjacent market)</t>
        </is>
      </c>
      <c r="D5343" s="12" t="inlineStr">
        <is>
          <t>Solenoid to JB JB-H2 30: H2 / gas bl-SOL01: 2 x 2/C (field cables)</t>
        </is>
      </c>
      <c r="E5343" s="12" t="inlineStr"/>
      <c r="F5343" s="12" t="inlineStr">
        <is>
          <t>H2 30: H2 / gas blending station (plant gas yard)</t>
        </is>
      </c>
      <c r="G5343" s="12" t="inlineStr">
        <is>
          <t>JB-H2 30: H2 / gas bl-SOL01</t>
        </is>
      </c>
      <c r="H5343" s="12" t="inlineStr">
        <is>
          <t>H2 30: H2 / gas blending station (plant gas yard)</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7" t="n">
        <v>129</v>
      </c>
      <c r="U5343" s="17" t="n">
        <v>10</v>
      </c>
      <c r="V5343" s="17">
        <f>ROUNDUP((T5343+U5343+2*'Read Me'!$B$13)*(1+'Read Me'!$B$12),-1)</f>
        <v/>
      </c>
      <c r="W5343" s="17">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K-C-0080</t>
        </is>
      </c>
      <c r="B5344" s="12" t="inlineStr">
        <is>
          <t>K</t>
        </is>
      </c>
      <c r="C5344" s="12" t="inlineStr">
        <is>
          <t>Fuel supply (adjacent market)</t>
        </is>
      </c>
      <c r="D5344" s="12" t="inlineStr">
        <is>
          <t>Home run JB-H2 30: H2 / gas bl-SOL01 to the control / marshalling room</t>
        </is>
      </c>
      <c r="E5344" s="12" t="inlineStr"/>
      <c r="F5344" s="12" t="inlineStr">
        <is>
          <t>LNG 17: LNG e-house (13.8 kV / 480 V)</t>
        </is>
      </c>
      <c r="G5344" s="12" t="inlineStr">
        <is>
          <t>JB-H2 30: H2 / gas bl-SOL01</t>
        </is>
      </c>
      <c r="H5344" s="12" t="inlineStr">
        <is>
          <t>H2 30: H2 / gas blending station (plant gas yard)</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7" t="n">
        <v>994</v>
      </c>
      <c r="U5344" s="17" t="n">
        <v>114</v>
      </c>
      <c r="V5344" s="17">
        <f>ROUNDUP((T5344+U5344+2*'Read Me'!$B$13)*(1+'Read Me'!$B$12),-1)</f>
        <v/>
      </c>
      <c r="W5344" s="17">
        <f>V5344*N5344*O5344</f>
        <v/>
      </c>
      <c r="X5344" s="12">
        <f>IF(LEFT(I5344,2)="MV",2*N5344*IF(L5344="1/C",O5344,1),0)</f>
        <v/>
      </c>
      <c r="Y5344" s="12">
        <f>IF(OR(LEFT(K5344,4)="LVAX",LEFT(K5344,6)="MV15AX",LEFT(K5344,4)="CTAX",LEFT(K5344,2)="W|"),2*N5344*O5344,0)</f>
        <v/>
      </c>
      <c r="Z5344" s="12" t="inlineStr"/>
      <c r="AA5344" s="12">
        <f>N5344*O5344</f>
        <v/>
      </c>
    </row>
    <row r="5345">
      <c r="A5345" s="12" t="inlineStr">
        <is>
          <t>K-C-0081</t>
        </is>
      </c>
      <c r="B5345" s="12" t="inlineStr">
        <is>
          <t>K</t>
        </is>
      </c>
      <c r="C5345" s="12" t="inlineStr">
        <is>
          <t>Fuel supply (adjacent market)</t>
        </is>
      </c>
      <c r="D5345" s="12" t="inlineStr">
        <is>
          <t>Motor 1 of 2: control / local station</t>
        </is>
      </c>
      <c r="E5345" s="12" t="inlineStr"/>
      <c r="F5345" s="12" t="inlineStr">
        <is>
          <t>H2 20: 13.8 kV e-house</t>
        </is>
      </c>
      <c r="G5345" s="12" t="inlineStr"/>
      <c r="H5345" s="12" t="inlineStr">
        <is>
          <t>H2 pipe track and cable trench, hall -&gt; dryer / compressors (N2, instr</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7" t="n">
        <v>53</v>
      </c>
      <c r="U5345" s="17" t="n">
        <v>62</v>
      </c>
      <c r="V5345" s="17">
        <f>ROUNDUP((T5345+U5345+2*'Read Me'!$B$13)*(1+'Read Me'!$B$12),-1)</f>
        <v/>
      </c>
      <c r="W5345" s="17">
        <f>V5345*N5345*O5345</f>
        <v/>
      </c>
      <c r="X5345" s="12">
        <f>IF(LEFT(I5345,2)="MV",2*N5345*IF(L5345="1/C",O5345,1),0)</f>
        <v/>
      </c>
      <c r="Y5345" s="12">
        <f>IF(OR(LEFT(K5345,4)="LVAX",LEFT(K5345,6)="MV15AX",LEFT(K5345,4)="CTAX",LEFT(K5345,2)="W|"),2*N5345*O5345,0)</f>
        <v/>
      </c>
      <c r="Z5345" s="12" t="inlineStr"/>
      <c r="AA5345" s="12">
        <f>N5345*O5345</f>
        <v/>
      </c>
    </row>
    <row r="5346">
      <c r="A5346" s="12" t="inlineStr">
        <is>
          <t>K-C-0082</t>
        </is>
      </c>
      <c r="B5346" s="12" t="inlineStr">
        <is>
          <t>K</t>
        </is>
      </c>
      <c r="C5346" s="12" t="inlineStr">
        <is>
          <t>Fuel supply (adjacent market)</t>
        </is>
      </c>
      <c r="D5346" s="12" t="inlineStr">
        <is>
          <t>Motor 2 of 2: control / local station</t>
        </is>
      </c>
      <c r="E5346" s="12" t="inlineStr"/>
      <c r="F5346" s="12" t="inlineStr">
        <is>
          <t>H2 20: 13.8 kV e-house</t>
        </is>
      </c>
      <c r="G5346" s="12" t="inlineStr"/>
      <c r="H5346" s="12" t="inlineStr">
        <is>
          <t>H2 pipe track and cable trench, hall -&gt; dryer / compressors (N2, instr</t>
        </is>
      </c>
      <c r="I5346" s="12" t="inlineStr">
        <is>
          <t>Control</t>
        </is>
      </c>
      <c r="J5346" s="12" t="inlineStr">
        <is>
          <t>ARMOR-X MC-HL 600 V control, Cu #14 AWG (Class I Div 2)</t>
        </is>
      </c>
      <c r="K5346" s="12" t="inlineStr">
        <is>
          <t>CTAX|7/C|14</t>
        </is>
      </c>
      <c r="L5346" s="12" t="inlineStr">
        <is>
          <t>7/C</t>
        </is>
      </c>
      <c r="M5346" s="12" t="inlineStr">
        <is>
          <t>14</t>
        </is>
      </c>
      <c r="N5346" s="12" t="n">
        <v>1</v>
      </c>
      <c r="O5346" s="12" t="n">
        <v>1</v>
      </c>
      <c r="P5346" s="12" t="n"/>
      <c r="Q5346" s="12" t="n"/>
      <c r="R5346" s="12" t="n"/>
      <c r="S5346" s="12" t="inlineStr">
        <is>
          <t>Duct bank</t>
        </is>
      </c>
      <c r="T5346" s="17" t="n">
        <v>53</v>
      </c>
      <c r="U5346" s="17" t="n">
        <v>62</v>
      </c>
      <c r="V5346" s="17">
        <f>ROUNDUP((T5346+U5346+2*'Read Me'!$B$13)*(1+'Read Me'!$B$12),-1)</f>
        <v/>
      </c>
      <c r="W5346" s="17">
        <f>V5346*N5346*O5346</f>
        <v/>
      </c>
      <c r="X5346" s="12">
        <f>IF(LEFT(I5346,2)="MV",2*N5346*IF(L5346="1/C",O5346,1),0)</f>
        <v/>
      </c>
      <c r="Y5346" s="12">
        <f>IF(OR(LEFT(K5346,4)="LVAX",LEFT(K5346,6)="MV15AX",LEFT(K5346,4)="CTAX",LEFT(K5346,2)="W|"),2*N5346*O5346,0)</f>
        <v/>
      </c>
      <c r="Z5346" s="12" t="inlineStr"/>
      <c r="AA5346" s="12">
        <f>N5346*O5346</f>
        <v/>
      </c>
    </row>
    <row r="5347">
      <c r="A5347" s="12" t="inlineStr">
        <is>
          <t>K-C-0083</t>
        </is>
      </c>
      <c r="B5347" s="12" t="inlineStr">
        <is>
          <t>K</t>
        </is>
      </c>
      <c r="C5347" s="12" t="inlineStr">
        <is>
          <t>Fuel supply (adjacent market)</t>
        </is>
      </c>
      <c r="D5347" s="12" t="inlineStr">
        <is>
          <t>Control</t>
        </is>
      </c>
      <c r="E5347" s="12" t="inlineStr"/>
      <c r="F5347" s="12" t="inlineStr">
        <is>
          <t>H2 20: 13.8 kV e-house</t>
        </is>
      </c>
      <c r="G5347" s="12" t="inlineStr">
        <is>
          <t>H2-ST</t>
        </is>
      </c>
      <c r="H5347" s="12" t="inlineStr">
        <is>
          <t>H2 storage tube banks x4</t>
        </is>
      </c>
      <c r="I5347" s="12" t="inlineStr">
        <is>
          <t>Control</t>
        </is>
      </c>
      <c r="J5347" s="12" t="inlineStr">
        <is>
          <t>ARMOR-X MC-HL 600 V control, Cu #14 AWG (Class I Div 2)</t>
        </is>
      </c>
      <c r="K5347" s="12" t="inlineStr">
        <is>
          <t>CTAX|7/C|14</t>
        </is>
      </c>
      <c r="L5347" s="12" t="inlineStr">
        <is>
          <t>7/C</t>
        </is>
      </c>
      <c r="M5347" s="12" t="inlineStr">
        <is>
          <t>14</t>
        </is>
      </c>
      <c r="N5347" s="12" t="n">
        <v>1</v>
      </c>
      <c r="O5347" s="12" t="n">
        <v>1</v>
      </c>
      <c r="P5347" s="12" t="n"/>
      <c r="Q5347" s="12" t="n"/>
      <c r="R5347" s="12" t="n"/>
      <c r="S5347" s="12" t="inlineStr">
        <is>
          <t>Duct bank</t>
        </is>
      </c>
      <c r="T5347" s="17" t="n">
        <v>50</v>
      </c>
      <c r="U5347" s="17" t="n">
        <v>92</v>
      </c>
      <c r="V5347" s="17">
        <f>ROUNDUP((T5347+U5347+2*'Read Me'!$B$13)*(1+'Read Me'!$B$12),-1)</f>
        <v/>
      </c>
      <c r="W5347" s="17">
        <f>V5347*N5347*O5347</f>
        <v/>
      </c>
      <c r="X5347" s="12">
        <f>IF(LEFT(I5347,2)="MV",2*N5347*IF(L5347="1/C",O5347,1),0)</f>
        <v/>
      </c>
      <c r="Y5347" s="12">
        <f>IF(OR(LEFT(K5347,4)="LVAX",LEFT(K5347,6)="MV15AX",LEFT(K5347,4)="CTAX",LEFT(K5347,2)="W|"),2*N5347*O5347,0)</f>
        <v/>
      </c>
      <c r="Z5347" s="12" t="inlineStr"/>
      <c r="AA5347" s="12">
        <f>N5347*O5347</f>
        <v/>
      </c>
    </row>
    <row r="5348">
      <c r="A5348" s="12" t="inlineStr">
        <is>
          <t>K-C-0084</t>
        </is>
      </c>
      <c r="B5348" s="12" t="inlineStr">
        <is>
          <t>K</t>
        </is>
      </c>
      <c r="C5348" s="12" t="inlineStr">
        <is>
          <t>Fuel supply (adjacent market)</t>
        </is>
      </c>
      <c r="D5348" s="12" t="inlineStr">
        <is>
          <t>Motor 1 of 1: control / local station</t>
        </is>
      </c>
      <c r="E5348" s="12" t="inlineStr"/>
      <c r="F5348" s="12" t="inlineStr">
        <is>
          <t>LNG 17: LNG e-house (13.8 kV / 480 V)</t>
        </is>
      </c>
      <c r="G5348" s="12" t="inlineStr"/>
      <c r="H5348" s="12" t="inlineStr">
        <is>
          <t>LNG 10: truck unloading bay 1</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7" t="n">
        <v>237</v>
      </c>
      <c r="U5348" s="17" t="n">
        <v>61</v>
      </c>
      <c r="V5348" s="17">
        <f>ROUNDUP((T5348+U5348+2*'Read Me'!$B$13)*(1+'Read Me'!$B$12),-1)</f>
        <v/>
      </c>
      <c r="W5348" s="17">
        <f>V5348*N5348*O5348</f>
        <v/>
      </c>
      <c r="X5348" s="12">
        <f>IF(LEFT(I5348,2)="MV",2*N5348*IF(L5348="1/C",O5348,1),0)</f>
        <v/>
      </c>
      <c r="Y5348" s="12">
        <f>IF(OR(LEFT(K5348,4)="LVAX",LEFT(K5348,6)="MV15AX",LEFT(K5348,4)="CTAX",LEFT(K5348,2)="W|"),2*N5348*O5348,0)</f>
        <v/>
      </c>
      <c r="Z5348" s="12" t="inlineStr"/>
      <c r="AA5348" s="12">
        <f>N5348*O5348</f>
        <v/>
      </c>
    </row>
    <row r="5349">
      <c r="A5349" s="12" t="inlineStr">
        <is>
          <t>K-C-0085</t>
        </is>
      </c>
      <c r="B5349" s="12" t="inlineStr">
        <is>
          <t>K</t>
        </is>
      </c>
      <c r="C5349" s="12" t="inlineStr">
        <is>
          <t>Fuel supply (adjacent market)</t>
        </is>
      </c>
      <c r="D5349" s="12" t="inlineStr">
        <is>
          <t>Solenoid to JB JB-LNG 10: truck unlo-SOL01: 2 x 2/C (field cables)</t>
        </is>
      </c>
      <c r="E5349" s="12" t="inlineStr"/>
      <c r="F5349" s="12" t="inlineStr">
        <is>
          <t>LNG 10: truck unloading bay 1</t>
        </is>
      </c>
      <c r="G5349" s="12" t="inlineStr">
        <is>
          <t>JB-LNG 10: truck unlo-SOL01</t>
        </is>
      </c>
      <c r="H5349" s="12" t="inlineStr">
        <is>
          <t>LNG 10: truck unloading bay 1</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7" t="n">
        <v>72</v>
      </c>
      <c r="U5349" s="17" t="n">
        <v>10</v>
      </c>
      <c r="V5349" s="17">
        <f>ROUNDUP((T5349+U5349+2*'Read Me'!$B$13)*(1+'Read Me'!$B$12),-1)</f>
        <v/>
      </c>
      <c r="W5349" s="17">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K-C-0086</t>
        </is>
      </c>
      <c r="B5350" s="12" t="inlineStr">
        <is>
          <t>K</t>
        </is>
      </c>
      <c r="C5350" s="12" t="inlineStr">
        <is>
          <t>Fuel supply (adjacent market)</t>
        </is>
      </c>
      <c r="D5350" s="12" t="inlineStr">
        <is>
          <t>Home run JB-LNG 10: truck unlo-SOL01 to the control / marshalling room</t>
        </is>
      </c>
      <c r="E5350" s="12" t="inlineStr"/>
      <c r="F5350" s="12" t="inlineStr">
        <is>
          <t>LNG 17: LNG e-house (13.8 kV / 480 V)</t>
        </is>
      </c>
      <c r="G5350" s="12" t="inlineStr">
        <is>
          <t>JB-LNG 10: truck unlo-SOL01</t>
        </is>
      </c>
      <c r="H5350" s="12" t="inlineStr">
        <is>
          <t>LNG 10: truck unloading bay 1</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7" t="n">
        <v>237</v>
      </c>
      <c r="U5350" s="17" t="n">
        <v>61</v>
      </c>
      <c r="V5350" s="17">
        <f>ROUNDUP((T5350+U5350+2*'Read Me'!$B$13)*(1+'Read Me'!$B$12),-1)</f>
        <v/>
      </c>
      <c r="W5350" s="17">
        <f>V5350*N5350*O5350</f>
        <v/>
      </c>
      <c r="X5350" s="12">
        <f>IF(LEFT(I5350,2)="MV",2*N5350*IF(L5350="1/C",O5350,1),0)</f>
        <v/>
      </c>
      <c r="Y5350" s="12">
        <f>IF(OR(LEFT(K5350,4)="LVAX",LEFT(K5350,6)="MV15AX",LEFT(K5350,4)="CTAX",LEFT(K5350,2)="W|"),2*N5350*O5350,0)</f>
        <v/>
      </c>
      <c r="Z5350" s="12" t="inlineStr"/>
      <c r="AA5350" s="12">
        <f>N5350*O5350</f>
        <v/>
      </c>
    </row>
    <row r="5351">
      <c r="A5351" s="12" t="inlineStr">
        <is>
          <t>K-C-0087</t>
        </is>
      </c>
      <c r="B5351" s="12" t="inlineStr">
        <is>
          <t>K</t>
        </is>
      </c>
      <c r="C5351" s="12" t="inlineStr">
        <is>
          <t>Fuel supply (adjacent market)</t>
        </is>
      </c>
      <c r="D5351" s="12" t="inlineStr">
        <is>
          <t>Motor 1 of 1: control / local station</t>
        </is>
      </c>
      <c r="E5351" s="12" t="inlineStr"/>
      <c r="F5351" s="12" t="inlineStr">
        <is>
          <t>LNG 17: LNG e-house (13.8 kV / 480 V)</t>
        </is>
      </c>
      <c r="G5351" s="12" t="inlineStr"/>
      <c r="H5351" s="12" t="inlineStr">
        <is>
          <t>LNG 10: truck unloading bay 2</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7" t="n">
        <v>147</v>
      </c>
      <c r="U5351" s="17" t="n">
        <v>66</v>
      </c>
      <c r="V5351" s="17">
        <f>ROUNDUP((T5351+U5351+2*'Read Me'!$B$13)*(1+'Read Me'!$B$12),-1)</f>
        <v/>
      </c>
      <c r="W5351" s="17">
        <f>V5351*N5351*O5351</f>
        <v/>
      </c>
      <c r="X5351" s="12">
        <f>IF(LEFT(I5351,2)="MV",2*N5351*IF(L5351="1/C",O5351,1),0)</f>
        <v/>
      </c>
      <c r="Y5351" s="12">
        <f>IF(OR(LEFT(K5351,4)="LVAX",LEFT(K5351,6)="MV15AX",LEFT(K5351,4)="CTAX",LEFT(K5351,2)="W|"),2*N5351*O5351,0)</f>
        <v/>
      </c>
      <c r="Z5351" s="12" t="inlineStr"/>
      <c r="AA5351" s="12">
        <f>N5351*O5351</f>
        <v/>
      </c>
    </row>
    <row r="5352">
      <c r="A5352" s="12" t="inlineStr">
        <is>
          <t>K-C-0088</t>
        </is>
      </c>
      <c r="B5352" s="12" t="inlineStr">
        <is>
          <t>K</t>
        </is>
      </c>
      <c r="C5352" s="12" t="inlineStr">
        <is>
          <t>Fuel supply (adjacent market)</t>
        </is>
      </c>
      <c r="D5352" s="12" t="inlineStr">
        <is>
          <t>Solenoid to JB JB-LNG 10: truck unlo-SOL01: 2 x 2/C (field cables)</t>
        </is>
      </c>
      <c r="E5352" s="12" t="inlineStr"/>
      <c r="F5352" s="12" t="inlineStr">
        <is>
          <t>LNG 10: truck unloading bay 2</t>
        </is>
      </c>
      <c r="G5352" s="12" t="inlineStr">
        <is>
          <t>JB-LNG 10: truck unlo-SOL01</t>
        </is>
      </c>
      <c r="H5352" s="12" t="inlineStr">
        <is>
          <t>LNG 10: truck unloading bay 2</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7" t="n">
        <v>72</v>
      </c>
      <c r="U5352" s="17" t="n">
        <v>10</v>
      </c>
      <c r="V5352" s="17">
        <f>ROUNDUP((T5352+U5352+2*'Read Me'!$B$13)*(1+'Read Me'!$B$12),-1)</f>
        <v/>
      </c>
      <c r="W5352" s="17">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K-C-0089</t>
        </is>
      </c>
      <c r="B5353" s="12" t="inlineStr">
        <is>
          <t>K</t>
        </is>
      </c>
      <c r="C5353" s="12" t="inlineStr">
        <is>
          <t>Fuel supply (adjacent market)</t>
        </is>
      </c>
      <c r="D5353" s="12" t="inlineStr">
        <is>
          <t>Home run JB-LNG 10: truck unlo-SOL01 to the control / marshalling room</t>
        </is>
      </c>
      <c r="E5353" s="12" t="inlineStr"/>
      <c r="F5353" s="12" t="inlineStr">
        <is>
          <t>LNG 17: LNG e-house (13.8 kV / 480 V)</t>
        </is>
      </c>
      <c r="G5353" s="12" t="inlineStr">
        <is>
          <t>JB-LNG 10: truck unlo-SOL01</t>
        </is>
      </c>
      <c r="H5353" s="12" t="inlineStr">
        <is>
          <t>LNG 10: truck unloading bay 2</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7" t="n">
        <v>147</v>
      </c>
      <c r="U5353" s="17" t="n">
        <v>66</v>
      </c>
      <c r="V5353" s="17">
        <f>ROUNDUP((T5353+U5353+2*'Read Me'!$B$13)*(1+'Read Me'!$B$12),-1)</f>
        <v/>
      </c>
      <c r="W5353" s="17">
        <f>V5353*N5353*O5353</f>
        <v/>
      </c>
      <c r="X5353" s="12">
        <f>IF(LEFT(I5353,2)="MV",2*N5353*IF(L5353="1/C",O5353,1),0)</f>
        <v/>
      </c>
      <c r="Y5353" s="12">
        <f>IF(OR(LEFT(K5353,4)="LVAX",LEFT(K5353,6)="MV15AX",LEFT(K5353,4)="CTAX",LEFT(K5353,2)="W|"),2*N5353*O5353,0)</f>
        <v/>
      </c>
      <c r="Z5353" s="12" t="inlineStr"/>
      <c r="AA5353" s="12">
        <f>N5353*O5353</f>
        <v/>
      </c>
    </row>
    <row r="5354">
      <c r="A5354" s="12" t="inlineStr">
        <is>
          <t>K-C-0090</t>
        </is>
      </c>
      <c r="B5354" s="12" t="inlineStr">
        <is>
          <t>K</t>
        </is>
      </c>
      <c r="C5354" s="12" t="inlineStr">
        <is>
          <t>Fuel supply (adjacent market)</t>
        </is>
      </c>
      <c r="D5354" s="12" t="inlineStr">
        <is>
          <t>Motor 1 of 1: control / local station</t>
        </is>
      </c>
      <c r="E5354" s="12" t="inlineStr"/>
      <c r="F5354" s="12" t="inlineStr">
        <is>
          <t>LNG 17: LNG e-house (13.8 kV / 480 V)</t>
        </is>
      </c>
      <c r="G5354" s="12" t="inlineStr"/>
      <c r="H5354" s="12" t="inlineStr">
        <is>
          <t>LNG 10: unloading skid</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7" t="n">
        <v>237</v>
      </c>
      <c r="U5354" s="17" t="n">
        <v>32</v>
      </c>
      <c r="V5354" s="17">
        <f>ROUNDUP((T5354+U5354+2*'Read Me'!$B$13)*(1+'Read Me'!$B$12),-1)</f>
        <v/>
      </c>
      <c r="W5354" s="17">
        <f>V5354*N5354*O5354</f>
        <v/>
      </c>
      <c r="X5354" s="12">
        <f>IF(LEFT(I5354,2)="MV",2*N5354*IF(L5354="1/C",O5354,1),0)</f>
        <v/>
      </c>
      <c r="Y5354" s="12">
        <f>IF(OR(LEFT(K5354,4)="LVAX",LEFT(K5354,6)="MV15AX",LEFT(K5354,4)="CTAX",LEFT(K5354,2)="W|"),2*N5354*O5354,0)</f>
        <v/>
      </c>
      <c r="Z5354" s="12" t="inlineStr"/>
      <c r="AA5354" s="12">
        <f>N5354*O5354</f>
        <v/>
      </c>
    </row>
    <row r="5355">
      <c r="A5355" s="12" t="inlineStr">
        <is>
          <t>K-C-0091</t>
        </is>
      </c>
      <c r="B5355" s="12" t="inlineStr">
        <is>
          <t>K</t>
        </is>
      </c>
      <c r="C5355" s="12" t="inlineStr">
        <is>
          <t>Fuel supply (adjacent market)</t>
        </is>
      </c>
      <c r="D5355" s="12" t="inlineStr">
        <is>
          <t>Solenoid to JB JB-LNG 10: unloading -SOL01: 2 x 2/C (field cables)</t>
        </is>
      </c>
      <c r="E5355" s="12" t="inlineStr"/>
      <c r="F5355" s="12" t="inlineStr">
        <is>
          <t>LNG 10: unloading skid</t>
        </is>
      </c>
      <c r="G5355" s="12" t="inlineStr">
        <is>
          <t>JB-LNG 10: unloading -SOL01</t>
        </is>
      </c>
      <c r="H5355" s="12" t="inlineStr">
        <is>
          <t>LNG 10: unloading skid</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7" t="n">
        <v>54</v>
      </c>
      <c r="U5355" s="17" t="n">
        <v>10</v>
      </c>
      <c r="V5355" s="17">
        <f>ROUNDUP((T5355+U5355+2*'Read Me'!$B$13)*(1+'Read Me'!$B$12),-1)</f>
        <v/>
      </c>
      <c r="W5355" s="17">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K-C-0092</t>
        </is>
      </c>
      <c r="B5356" s="12" t="inlineStr">
        <is>
          <t>K</t>
        </is>
      </c>
      <c r="C5356" s="12" t="inlineStr">
        <is>
          <t>Fuel supply (adjacent market)</t>
        </is>
      </c>
      <c r="D5356" s="12" t="inlineStr">
        <is>
          <t>Home run JB-LNG 10: unloading -SOL01 to the control / marshalling room</t>
        </is>
      </c>
      <c r="E5356" s="12" t="inlineStr"/>
      <c r="F5356" s="12" t="inlineStr">
        <is>
          <t>LNG 17: LNG e-house (13.8 kV / 480 V)</t>
        </is>
      </c>
      <c r="G5356" s="12" t="inlineStr">
        <is>
          <t>JB-LNG 10: unloading -SOL01</t>
        </is>
      </c>
      <c r="H5356" s="12" t="inlineStr">
        <is>
          <t>LNG 10: unloading skid</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7" t="n">
        <v>237</v>
      </c>
      <c r="U5356" s="17" t="n">
        <v>32</v>
      </c>
      <c r="V5356" s="17">
        <f>ROUNDUP((T5356+U5356+2*'Read Me'!$B$13)*(1+'Read Me'!$B$12),-1)</f>
        <v/>
      </c>
      <c r="W5356" s="17">
        <f>V5356*N5356*O5356</f>
        <v/>
      </c>
      <c r="X5356" s="12">
        <f>IF(LEFT(I5356,2)="MV",2*N5356*IF(L5356="1/C",O5356,1),0)</f>
        <v/>
      </c>
      <c r="Y5356" s="12">
        <f>IF(OR(LEFT(K5356,4)="LVAX",LEFT(K5356,6)="MV15AX",LEFT(K5356,4)="CTAX",LEFT(K5356,2)="W|"),2*N5356*O5356,0)</f>
        <v/>
      </c>
      <c r="Z5356" s="12" t="inlineStr"/>
      <c r="AA5356" s="12">
        <f>N5356*O5356</f>
        <v/>
      </c>
    </row>
    <row r="5357">
      <c r="A5357" s="12" t="inlineStr">
        <is>
          <t>K-C-0093</t>
        </is>
      </c>
      <c r="B5357" s="12" t="inlineStr">
        <is>
          <t>K</t>
        </is>
      </c>
      <c r="C5357" s="12" t="inlineStr">
        <is>
          <t>Fuel supply (adjacent market)</t>
        </is>
      </c>
      <c r="D5357" s="12" t="inlineStr">
        <is>
          <t>Motor 1 of 1: control / local station</t>
        </is>
      </c>
      <c r="E5357" s="12" t="inlineStr"/>
      <c r="F5357" s="12" t="inlineStr">
        <is>
          <t>LNG 17: LNG e-house (13.8 kV / 480 V)</t>
        </is>
      </c>
      <c r="G5357" s="12" t="inlineStr"/>
      <c r="H5357" s="12" t="inlineStr">
        <is>
          <t>LNG 12: spill impoundment (NFPA 59A, to verify)</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7" t="n">
        <v>230</v>
      </c>
      <c r="U5357" s="17" t="n">
        <v>32</v>
      </c>
      <c r="V5357" s="17">
        <f>ROUNDUP((T5357+U5357+2*'Read Me'!$B$13)*(1+'Read Me'!$B$12),-1)</f>
        <v/>
      </c>
      <c r="W5357" s="17">
        <f>V5357*N5357*O5357</f>
        <v/>
      </c>
      <c r="X5357" s="12">
        <f>IF(LEFT(I5357,2)="MV",2*N5357*IF(L5357="1/C",O5357,1),0)</f>
        <v/>
      </c>
      <c r="Y5357" s="12">
        <f>IF(OR(LEFT(K5357,4)="LVAX",LEFT(K5357,6)="MV15AX",LEFT(K5357,4)="CTAX",LEFT(K5357,2)="W|"),2*N5357*O5357,0)</f>
        <v/>
      </c>
      <c r="Z5357" s="12" t="inlineStr"/>
      <c r="AA5357" s="12">
        <f>N5357*O5357</f>
        <v/>
      </c>
    </row>
    <row r="5358">
      <c r="A5358" s="12" t="inlineStr">
        <is>
          <t>K-C-0094</t>
        </is>
      </c>
      <c r="B5358" s="12" t="inlineStr">
        <is>
          <t>K</t>
        </is>
      </c>
      <c r="C5358" s="12" t="inlineStr">
        <is>
          <t>Fuel supply (adjacent market)</t>
        </is>
      </c>
      <c r="D5358" s="12" t="inlineStr">
        <is>
          <t>Solenoid to JB JB-LNG 12: spill impo-SOL01: 2 x 2/C (field cables)</t>
        </is>
      </c>
      <c r="E5358" s="12" t="inlineStr"/>
      <c r="F5358" s="12" t="inlineStr">
        <is>
          <t>LNG 12: spill impoundment (NFPA 59A, to verify)</t>
        </is>
      </c>
      <c r="G5358" s="12" t="inlineStr">
        <is>
          <t>JB-LNG 12: spill impo-SOL01</t>
        </is>
      </c>
      <c r="H5358" s="12" t="inlineStr">
        <is>
          <t>LNG 12: spill impoundment (NFPA 59A, to verify)</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7" t="n">
        <v>170</v>
      </c>
      <c r="U5358" s="17" t="n">
        <v>10</v>
      </c>
      <c r="V5358" s="17">
        <f>ROUNDUP((T5358+U5358+2*'Read Me'!$B$13)*(1+'Read Me'!$B$12),-1)</f>
        <v/>
      </c>
      <c r="W5358" s="17">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K-C-0095</t>
        </is>
      </c>
      <c r="B5359" s="12" t="inlineStr">
        <is>
          <t>K</t>
        </is>
      </c>
      <c r="C5359" s="12" t="inlineStr">
        <is>
          <t>Fuel supply (adjacent market)</t>
        </is>
      </c>
      <c r="D5359" s="12" t="inlineStr">
        <is>
          <t>Home run JB-LNG 12: spill impo-SOL01 to the control / marshalling room</t>
        </is>
      </c>
      <c r="E5359" s="12" t="inlineStr"/>
      <c r="F5359" s="12" t="inlineStr">
        <is>
          <t>LNG 17: LNG e-house (13.8 kV / 480 V)</t>
        </is>
      </c>
      <c r="G5359" s="12" t="inlineStr">
        <is>
          <t>JB-LNG 12: spill impo-SOL01</t>
        </is>
      </c>
      <c r="H5359" s="12" t="inlineStr">
        <is>
          <t>LNG 12: spill impoundment (NFPA 59A, to verify)</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7" t="n">
        <v>230</v>
      </c>
      <c r="U5359" s="17" t="n">
        <v>32</v>
      </c>
      <c r="V5359" s="17">
        <f>ROUNDUP((T5359+U5359+2*'Read Me'!$B$13)*(1+'Read Me'!$B$12),-1)</f>
        <v/>
      </c>
      <c r="W5359" s="17">
        <f>V5359*N5359*O5359</f>
        <v/>
      </c>
      <c r="X5359" s="12">
        <f>IF(LEFT(I5359,2)="MV",2*N5359*IF(L5359="1/C",O5359,1),0)</f>
        <v/>
      </c>
      <c r="Y5359" s="12">
        <f>IF(OR(LEFT(K5359,4)="LVAX",LEFT(K5359,6)="MV15AX",LEFT(K5359,4)="CTAX",LEFT(K5359,2)="W|"),2*N5359*O5359,0)</f>
        <v/>
      </c>
      <c r="Z5359" s="12" t="inlineStr"/>
      <c r="AA5359" s="12">
        <f>N5359*O5359</f>
        <v/>
      </c>
    </row>
    <row r="5360">
      <c r="A5360" s="12" t="inlineStr">
        <is>
          <t>K-C-0096</t>
        </is>
      </c>
      <c r="B5360" s="12" t="inlineStr">
        <is>
          <t>K</t>
        </is>
      </c>
      <c r="C5360" s="12" t="inlineStr">
        <is>
          <t>Fuel supply (adjacent market)</t>
        </is>
      </c>
      <c r="D5360" s="12" t="inlineStr">
        <is>
          <t>Motor 1 of 1: control / local station</t>
        </is>
      </c>
      <c r="E5360" s="12" t="inlineStr"/>
      <c r="F5360" s="12" t="inlineStr">
        <is>
          <t>LNG 17: LNG e-house (13.8 kV / 480 V)</t>
        </is>
      </c>
      <c r="G5360" s="12" t="inlineStr"/>
      <c r="H5360" s="12" t="inlineStr">
        <is>
          <t>LNG 13: send-out pumps 2 x 100%</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7" t="n">
        <v>110</v>
      </c>
      <c r="U5360" s="17" t="n">
        <v>32</v>
      </c>
      <c r="V5360" s="17">
        <f>ROUNDUP((T5360+U5360+2*'Read Me'!$B$13)*(1+'Read Me'!$B$12),-1)</f>
        <v/>
      </c>
      <c r="W5360" s="17">
        <f>V5360*N5360*O5360</f>
        <v/>
      </c>
      <c r="X5360" s="12">
        <f>IF(LEFT(I5360,2)="MV",2*N5360*IF(L5360="1/C",O5360,1),0)</f>
        <v/>
      </c>
      <c r="Y5360" s="12">
        <f>IF(OR(LEFT(K5360,4)="LVAX",LEFT(K5360,6)="MV15AX",LEFT(K5360,4)="CTAX",LEFT(K5360,2)="W|"),2*N5360*O5360,0)</f>
        <v/>
      </c>
      <c r="Z5360" s="12" t="inlineStr"/>
      <c r="AA5360" s="12">
        <f>N5360*O5360</f>
        <v/>
      </c>
    </row>
    <row r="5361">
      <c r="A5361" s="12" t="inlineStr">
        <is>
          <t>K-C-0097</t>
        </is>
      </c>
      <c r="B5361" s="12" t="inlineStr">
        <is>
          <t>K</t>
        </is>
      </c>
      <c r="C5361" s="12" t="inlineStr">
        <is>
          <t>Fuel supply (adjacent market)</t>
        </is>
      </c>
      <c r="D5361" s="12" t="inlineStr">
        <is>
          <t>Solenoid to JB JB-LNG 13: send-out p-SOL01: 2 x 2/C (field cables)</t>
        </is>
      </c>
      <c r="E5361" s="12" t="inlineStr"/>
      <c r="F5361" s="12" t="inlineStr">
        <is>
          <t>LNG 13: send-out pumps 2 x 100%</t>
        </is>
      </c>
      <c r="G5361" s="12" t="inlineStr">
        <is>
          <t>JB-LNG 13: send-out p-SOL01</t>
        </is>
      </c>
      <c r="H5361" s="12" t="inlineStr">
        <is>
          <t>LNG 13: send-out pumps 2 x 100%</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7" t="n">
        <v>63</v>
      </c>
      <c r="U5361" s="17" t="n">
        <v>10</v>
      </c>
      <c r="V5361" s="17">
        <f>ROUNDUP((T5361+U5361+2*'Read Me'!$B$13)*(1+'Read Me'!$B$12),-1)</f>
        <v/>
      </c>
      <c r="W5361" s="17">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K-C-0098</t>
        </is>
      </c>
      <c r="B5362" s="12" t="inlineStr">
        <is>
          <t>K</t>
        </is>
      </c>
      <c r="C5362" s="12" t="inlineStr">
        <is>
          <t>Fuel supply (adjacent market)</t>
        </is>
      </c>
      <c r="D5362" s="12" t="inlineStr">
        <is>
          <t>Home run JB-LNG 13: send-out p-SOL01 to the control / marshalling room</t>
        </is>
      </c>
      <c r="E5362" s="12" t="inlineStr"/>
      <c r="F5362" s="12" t="inlineStr">
        <is>
          <t>LNG 17: LNG e-house (13.8 kV / 480 V)</t>
        </is>
      </c>
      <c r="G5362" s="12" t="inlineStr">
        <is>
          <t>JB-LNG 13: send-out p-SOL01</t>
        </is>
      </c>
      <c r="H5362" s="12" t="inlineStr">
        <is>
          <t>LNG 13: send-out pumps 2 x 100%</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7" t="n">
        <v>110</v>
      </c>
      <c r="U5362" s="17" t="n">
        <v>32</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K-C-0099</t>
        </is>
      </c>
      <c r="B5363" s="12" t="inlineStr">
        <is>
          <t>K</t>
        </is>
      </c>
      <c r="C5363" s="12" t="inlineStr">
        <is>
          <t>Fuel supply (adjacent market)</t>
        </is>
      </c>
      <c r="D5363" s="12" t="inlineStr">
        <is>
          <t>Motor 1 of 1: control / local station</t>
        </is>
      </c>
      <c r="E5363" s="12" t="inlineStr"/>
      <c r="F5363" s="12" t="inlineStr">
        <is>
          <t>LNG 17: LNG e-house (13.8 kV / 480 V)</t>
        </is>
      </c>
      <c r="G5363" s="12" t="inlineStr"/>
      <c r="H5363" s="12" t="inlineStr">
        <is>
          <t>LNG 14: vaporizers + glycol heater</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7" t="n">
        <v>259</v>
      </c>
      <c r="U5363" s="17" t="n">
        <v>32</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K-C-0100</t>
        </is>
      </c>
      <c r="B5364" s="12" t="inlineStr">
        <is>
          <t>K</t>
        </is>
      </c>
      <c r="C5364" s="12" t="inlineStr">
        <is>
          <t>Fuel supply (adjacent market)</t>
        </is>
      </c>
      <c r="D5364" s="12" t="inlineStr">
        <is>
          <t>Solenoid to JB JB-LNG 14: vaporizers-SOL01: 2 x 2/C (field cables)</t>
        </is>
      </c>
      <c r="E5364" s="12" t="inlineStr"/>
      <c r="F5364" s="12" t="inlineStr">
        <is>
          <t>LNG 14: vaporizers + glycol heater</t>
        </is>
      </c>
      <c r="G5364" s="12" t="inlineStr">
        <is>
          <t>JB-LNG 14: vaporizers-SOL01</t>
        </is>
      </c>
      <c r="H5364" s="12" t="inlineStr">
        <is>
          <t>LNG 14: vaporizers + glycol heater</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7" t="n">
        <v>122</v>
      </c>
      <c r="U5364" s="17" t="n">
        <v>10</v>
      </c>
      <c r="V5364" s="17">
        <f>ROUNDUP((T5364+U5364+2*'Read Me'!$B$13)*(1+'Read Me'!$B$12),-1)</f>
        <v/>
      </c>
      <c r="W5364" s="17">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K-C-0101</t>
        </is>
      </c>
      <c r="B5365" s="12" t="inlineStr">
        <is>
          <t>K</t>
        </is>
      </c>
      <c r="C5365" s="12" t="inlineStr">
        <is>
          <t>Fuel supply (adjacent market)</t>
        </is>
      </c>
      <c r="D5365" s="12" t="inlineStr">
        <is>
          <t>Home run JB-LNG 14: vaporizers-SOL01 to the control / marshalling room</t>
        </is>
      </c>
      <c r="E5365" s="12" t="inlineStr"/>
      <c r="F5365" s="12" t="inlineStr">
        <is>
          <t>LNG 17: LNG e-house (13.8 kV / 480 V)</t>
        </is>
      </c>
      <c r="G5365" s="12" t="inlineStr">
        <is>
          <t>JB-LNG 14: vaporizers-SOL01</t>
        </is>
      </c>
      <c r="H5365" s="12" t="inlineStr">
        <is>
          <t>LNG 14: vaporizers + glycol heater</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7" t="n">
        <v>259</v>
      </c>
      <c r="U5365" s="17" t="n">
        <v>32</v>
      </c>
      <c r="V5365" s="17">
        <f>ROUNDUP((T5365+U5365+2*'Read Me'!$B$13)*(1+'Read Me'!$B$12),-1)</f>
        <v/>
      </c>
      <c r="W5365" s="17">
        <f>V5365*N5365*O5365</f>
        <v/>
      </c>
      <c r="X5365" s="12">
        <f>IF(LEFT(I5365,2)="MV",2*N5365*IF(L5365="1/C",O5365,1),0)</f>
        <v/>
      </c>
      <c r="Y5365" s="12">
        <f>IF(OR(LEFT(K5365,4)="LVAX",LEFT(K5365,6)="MV15AX",LEFT(K5365,4)="CTAX",LEFT(K5365,2)="W|"),2*N5365*O5365,0)</f>
        <v/>
      </c>
      <c r="Z5365" s="12" t="inlineStr"/>
      <c r="AA5365" s="12">
        <f>N5365*O5365</f>
        <v/>
      </c>
    </row>
    <row r="5366">
      <c r="A5366" s="12" t="inlineStr">
        <is>
          <t>K-C-0102</t>
        </is>
      </c>
      <c r="B5366" s="12" t="inlineStr">
        <is>
          <t>K</t>
        </is>
      </c>
      <c r="C5366" s="12" t="inlineStr">
        <is>
          <t>Fuel supply (adjacent market)</t>
        </is>
      </c>
      <c r="D5366" s="12" t="inlineStr">
        <is>
          <t>Motor 1 of 1: control / local station</t>
        </is>
      </c>
      <c r="E5366" s="12" t="inlineStr"/>
      <c r="F5366" s="12" t="inlineStr">
        <is>
          <t>LNG 17: LNG e-house (13.8 kV / 480 V)</t>
        </is>
      </c>
      <c r="G5366" s="12" t="inlineStr"/>
      <c r="H5366" s="12" t="inlineStr">
        <is>
          <t>LNG 15: boil-off gas compressor</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7" t="n">
        <v>25</v>
      </c>
      <c r="U5366" s="17" t="n">
        <v>54</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K-C-0103</t>
        </is>
      </c>
      <c r="B5367" s="12" t="inlineStr">
        <is>
          <t>K</t>
        </is>
      </c>
      <c r="C5367" s="12" t="inlineStr">
        <is>
          <t>Fuel supply (adjacent market)</t>
        </is>
      </c>
      <c r="D5367" s="12" t="inlineStr">
        <is>
          <t>Solenoid to JB JB-LNG 15: boil-off g-SOL01: 2 x 2/C (field cables)</t>
        </is>
      </c>
      <c r="E5367" s="12" t="inlineStr"/>
      <c r="F5367" s="12" t="inlineStr">
        <is>
          <t>LNG 15: boil-off gas compressor</t>
        </is>
      </c>
      <c r="G5367" s="12" t="inlineStr">
        <is>
          <t>JB-LNG 15: boil-off g-SOL01</t>
        </is>
      </c>
      <c r="H5367" s="12" t="inlineStr">
        <is>
          <t>LNG 15: boil-off gas compressor</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7" t="n">
        <v>67</v>
      </c>
      <c r="U5367" s="17" t="n">
        <v>10</v>
      </c>
      <c r="V5367" s="17">
        <f>ROUNDUP((T5367+U5367+2*'Read Me'!$B$13)*(1+'Read Me'!$B$12),-1)</f>
        <v/>
      </c>
      <c r="W5367" s="17">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K-C-0104</t>
        </is>
      </c>
      <c r="B5368" s="12" t="inlineStr">
        <is>
          <t>K</t>
        </is>
      </c>
      <c r="C5368" s="12" t="inlineStr">
        <is>
          <t>Fuel supply (adjacent market)</t>
        </is>
      </c>
      <c r="D5368" s="12" t="inlineStr">
        <is>
          <t>Home run JB-LNG 15: boil-off g-SOL01 to the control / marshalling room</t>
        </is>
      </c>
      <c r="E5368" s="12" t="inlineStr"/>
      <c r="F5368" s="12" t="inlineStr">
        <is>
          <t>LNG 17: LNG e-house (13.8 kV / 480 V)</t>
        </is>
      </c>
      <c r="G5368" s="12" t="inlineStr">
        <is>
          <t>JB-LNG 15: boil-off g-SOL01</t>
        </is>
      </c>
      <c r="H5368" s="12" t="inlineStr">
        <is>
          <t>LNG 15: boil-off gas compressor</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7" t="n">
        <v>25</v>
      </c>
      <c r="U5368" s="17" t="n">
        <v>54</v>
      </c>
      <c r="V5368" s="17">
        <f>ROUNDUP((T5368+U5368+2*'Read Me'!$B$13)*(1+'Read Me'!$B$12),-1)</f>
        <v/>
      </c>
      <c r="W5368" s="17">
        <f>V5368*N5368*O5368</f>
        <v/>
      </c>
      <c r="X5368" s="12">
        <f>IF(LEFT(I5368,2)="MV",2*N5368*IF(L5368="1/C",O5368,1),0)</f>
        <v/>
      </c>
      <c r="Y5368" s="12">
        <f>IF(OR(LEFT(K5368,4)="LVAX",LEFT(K5368,6)="MV15AX",LEFT(K5368,4)="CTAX",LEFT(K5368,2)="W|"),2*N5368*O5368,0)</f>
        <v/>
      </c>
      <c r="Z5368" s="12" t="inlineStr"/>
      <c r="AA5368" s="12">
        <f>N5368*O5368</f>
        <v/>
      </c>
    </row>
    <row r="5369">
      <c r="A5369" s="12" t="inlineStr">
        <is>
          <t>K-C-0105</t>
        </is>
      </c>
      <c r="B5369" s="12" t="inlineStr">
        <is>
          <t>K</t>
        </is>
      </c>
      <c r="C5369" s="12" t="inlineStr">
        <is>
          <t>Fuel supply (adjacent market)</t>
        </is>
      </c>
      <c r="D5369" s="12" t="inlineStr">
        <is>
          <t>Motor 1 of 1: control / local station</t>
        </is>
      </c>
      <c r="E5369" s="12" t="inlineStr"/>
      <c r="F5369" s="12" t="inlineStr">
        <is>
          <t>LNG 17: LNG e-house (13.8 kV / 480 V)</t>
        </is>
      </c>
      <c r="G5369" s="12" t="inlineStr"/>
      <c r="H5369" s="12" t="inlineStr">
        <is>
          <t>LNG 16: send-out metering + pressure control</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7" t="n">
        <v>20</v>
      </c>
      <c r="U5369" s="17" t="n">
        <v>32</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K-C-0106</t>
        </is>
      </c>
      <c r="B5370" s="12" t="inlineStr">
        <is>
          <t>K</t>
        </is>
      </c>
      <c r="C5370" s="12" t="inlineStr">
        <is>
          <t>Fuel supply (adjacent market)</t>
        </is>
      </c>
      <c r="D5370" s="12" t="inlineStr">
        <is>
          <t>Solenoid to JB JB-LNG 16: send-out m-SOL01: 2 x 2/C (field cables)</t>
        </is>
      </c>
      <c r="E5370" s="12" t="inlineStr"/>
      <c r="F5370" s="12" t="inlineStr">
        <is>
          <t>LNG 16: send-out metering + pressure control</t>
        </is>
      </c>
      <c r="G5370" s="12" t="inlineStr">
        <is>
          <t>JB-LNG 16: send-out m-SOL01</t>
        </is>
      </c>
      <c r="H5370" s="12" t="inlineStr">
        <is>
          <t>LNG 16: send-out metering + pressure control</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7" t="n">
        <v>74</v>
      </c>
      <c r="U5370" s="17" t="n">
        <v>10</v>
      </c>
      <c r="V5370" s="17">
        <f>ROUNDUP((T5370+U5370+2*'Read Me'!$B$13)*(1+'Read Me'!$B$12),-1)</f>
        <v/>
      </c>
      <c r="W5370" s="17">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K-C-0107</t>
        </is>
      </c>
      <c r="B5371" s="12" t="inlineStr">
        <is>
          <t>K</t>
        </is>
      </c>
      <c r="C5371" s="12" t="inlineStr">
        <is>
          <t>Fuel supply (adjacent market)</t>
        </is>
      </c>
      <c r="D5371" s="12" t="inlineStr">
        <is>
          <t>Home run JB-LNG 16: send-out m-SOL01 to the control / marshalling room</t>
        </is>
      </c>
      <c r="E5371" s="12" t="inlineStr"/>
      <c r="F5371" s="12" t="inlineStr">
        <is>
          <t>LNG 17: LNG e-house (13.8 kV / 480 V)</t>
        </is>
      </c>
      <c r="G5371" s="12" t="inlineStr">
        <is>
          <t>JB-LNG 16: send-out m-SOL01</t>
        </is>
      </c>
      <c r="H5371" s="12" t="inlineStr">
        <is>
          <t>LNG 16: send-out metering + pressure control</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7" t="n">
        <v>20</v>
      </c>
      <c r="U5371" s="17" t="n">
        <v>32</v>
      </c>
      <c r="V5371" s="17">
        <f>ROUNDUP((T5371+U5371+2*'Read Me'!$B$13)*(1+'Read Me'!$B$12),-1)</f>
        <v/>
      </c>
      <c r="W5371" s="17">
        <f>V5371*N5371*O5371</f>
        <v/>
      </c>
      <c r="X5371" s="12">
        <f>IF(LEFT(I5371,2)="MV",2*N5371*IF(L5371="1/C",O5371,1),0)</f>
        <v/>
      </c>
      <c r="Y5371" s="12">
        <f>IF(OR(LEFT(K5371,4)="LVAX",LEFT(K5371,6)="MV15AX",LEFT(K5371,4)="CTAX",LEFT(K5371,2)="W|"),2*N5371*O5371,0)</f>
        <v/>
      </c>
      <c r="Z5371" s="12" t="inlineStr"/>
      <c r="AA5371" s="12">
        <f>N5371*O5371</f>
        <v/>
      </c>
    </row>
    <row r="5372">
      <c r="A5372" s="12" t="inlineStr">
        <is>
          <t>K-C-0108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LNG 17: LNG e-house (13.8 kV / 480 V)</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Tray</t>
        </is>
      </c>
      <c r="T5372" s="17" t="n">
        <v>0</v>
      </c>
      <c r="U5372" s="17" t="n">
        <v>32</v>
      </c>
      <c r="V5372" s="17">
        <f>ROUNDUP((T5372+U5372+2*'Read Me'!$B$13)*(1+'Read Me'!$B$12),-1)</f>
        <v/>
      </c>
      <c r="W5372" s="17">
        <f>V5372*N5372*O5372</f>
        <v/>
      </c>
      <c r="X5372" s="12">
        <f>IF(LEFT(I5372,2)="MV",2*N5372*IF(L5372="1/C",O5372,1),0)</f>
        <v/>
      </c>
      <c r="Y5372" s="12">
        <f>IF(OR(LEFT(K5372,4)="LVAX",LEFT(K5372,6)="MV15AX",LEFT(K5372,4)="CTAX",LEFT(K5372,2)="W|"),2*N5372*O5372,0)</f>
        <v/>
      </c>
      <c r="Z5372" s="12" t="inlineStr"/>
      <c r="AA5372" s="12">
        <f>N5372*O5372</f>
        <v/>
      </c>
    </row>
    <row r="5373">
      <c r="A5373" s="12" t="inlineStr">
        <is>
          <t>K-C-0109</t>
        </is>
      </c>
      <c r="B5373" s="12" t="inlineStr">
        <is>
          <t>K</t>
        </is>
      </c>
      <c r="C5373" s="12" t="inlineStr">
        <is>
          <t>Fuel supply (adjacent market)</t>
        </is>
      </c>
      <c r="D5373" s="12" t="inlineStr">
        <is>
          <t>Solenoid to JB JB-LNG 17: LNG e-hous-SOL01: 2 x 2/C (field cables)</t>
        </is>
      </c>
      <c r="E5373" s="12" t="inlineStr"/>
      <c r="F5373" s="12" t="inlineStr">
        <is>
          <t>LNG 17: LNG e-house (13.8 kV / 480 V)</t>
        </is>
      </c>
      <c r="G5373" s="12" t="inlineStr">
        <is>
          <t>JB-LNG 17: LNG e-hous-SOL01</t>
        </is>
      </c>
      <c r="H5373" s="12" t="inlineStr">
        <is>
          <t>LNG 17: LNG e-house (13.8 kV / 480 V)</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7" t="n">
        <v>58</v>
      </c>
      <c r="U5373" s="17" t="n">
        <v>10</v>
      </c>
      <c r="V5373" s="17">
        <f>ROUNDUP((T5373+U5373+2*'Read Me'!$B$13)*(1+'Read Me'!$B$12),-1)</f>
        <v/>
      </c>
      <c r="W5373" s="17">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K-C-0110</t>
        </is>
      </c>
      <c r="B5374" s="12" t="inlineStr">
        <is>
          <t>K</t>
        </is>
      </c>
      <c r="C5374" s="12" t="inlineStr">
        <is>
          <t>Fuel supply (adjacent market)</t>
        </is>
      </c>
      <c r="D5374" s="12" t="inlineStr">
        <is>
          <t>Home run JB-LNG 17: LNG e-hous-SOL01 to the control / marshalling room</t>
        </is>
      </c>
      <c r="E5374" s="12" t="inlineStr"/>
      <c r="F5374" s="12" t="inlineStr">
        <is>
          <t>LNG 17: LNG e-house (13.8 kV / 480 V)</t>
        </is>
      </c>
      <c r="G5374" s="12" t="inlineStr">
        <is>
          <t>JB-LNG 17: LNG e-hous-SOL01</t>
        </is>
      </c>
      <c r="H5374" s="12" t="inlineStr">
        <is>
          <t>LNG 17: LNG e-house (13.8 kV / 480 V)</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Tray</t>
        </is>
      </c>
      <c r="T5374" s="17" t="n">
        <v>0</v>
      </c>
      <c r="U5374" s="17" t="n">
        <v>32</v>
      </c>
      <c r="V5374" s="17">
        <f>ROUNDUP((T5374+U5374+2*'Read Me'!$B$13)*(1+'Read Me'!$B$12),-1)</f>
        <v/>
      </c>
      <c r="W5374" s="17">
        <f>V5374*N5374*O5374</f>
        <v/>
      </c>
      <c r="X5374" s="12">
        <f>IF(LEFT(I5374,2)="MV",2*N5374*IF(L5374="1/C",O5374,1),0)</f>
        <v/>
      </c>
      <c r="Y5374" s="12">
        <f>IF(OR(LEFT(K5374,4)="LVAX",LEFT(K5374,6)="MV15AX",LEFT(K5374,4)="CTAX",LEFT(K5374,2)="W|"),2*N5374*O5374,0)</f>
        <v/>
      </c>
      <c r="Z5374" s="12" t="inlineStr"/>
      <c r="AA5374" s="12">
        <f>N5374*O5374</f>
        <v/>
      </c>
    </row>
    <row r="5375">
      <c r="A5375" s="12" t="inlineStr">
        <is>
          <t>K-C-0111</t>
        </is>
      </c>
      <c r="B5375" s="12" t="inlineStr">
        <is>
          <t>K</t>
        </is>
      </c>
      <c r="C5375" s="12" t="inlineStr">
        <is>
          <t>Fuel supply (adjacent market)</t>
        </is>
      </c>
      <c r="D5375" s="12" t="inlineStr">
        <is>
          <t>Motor 1 of 1: control / local station</t>
        </is>
      </c>
      <c r="E5375" s="12" t="inlineStr"/>
      <c r="F5375" s="12" t="inlineStr">
        <is>
          <t>LNG 17: LNG e-house (13.8 kV / 480 V)</t>
        </is>
      </c>
      <c r="G5375" s="12" t="inlineStr"/>
      <c r="H5375" s="12" t="inlineStr">
        <is>
          <t>LNG 18: vent stack</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7" t="n">
        <v>25</v>
      </c>
      <c r="U5375" s="17" t="n">
        <v>117</v>
      </c>
      <c r="V5375" s="17">
        <f>ROUNDUP((T5375+U5375+2*'Read Me'!$B$13)*(1+'Read Me'!$B$12),-1)</f>
        <v/>
      </c>
      <c r="W5375" s="17">
        <f>V5375*N5375*O5375</f>
        <v/>
      </c>
      <c r="X5375" s="12">
        <f>IF(LEFT(I5375,2)="MV",2*N5375*IF(L5375="1/C",O5375,1),0)</f>
        <v/>
      </c>
      <c r="Y5375" s="12">
        <f>IF(OR(LEFT(K5375,4)="LVAX",LEFT(K5375,6)="MV15AX",LEFT(K5375,4)="CTAX",LEFT(K5375,2)="W|"),2*N5375*O5375,0)</f>
        <v/>
      </c>
      <c r="Z5375" s="12" t="inlineStr"/>
      <c r="AA5375" s="12">
        <f>N5375*O5375</f>
        <v/>
      </c>
    </row>
    <row r="5376">
      <c r="A5376" s="12" t="inlineStr">
        <is>
          <t>K-C-0112</t>
        </is>
      </c>
      <c r="B5376" s="12" t="inlineStr">
        <is>
          <t>K</t>
        </is>
      </c>
      <c r="C5376" s="12" t="inlineStr">
        <is>
          <t>Fuel supply (adjacent market)</t>
        </is>
      </c>
      <c r="D5376" s="12" t="inlineStr">
        <is>
          <t>Solenoid to JB JB-LNG 18: vent stack-SOL01: 2 x 2/C (field cables)</t>
        </is>
      </c>
      <c r="E5376" s="12" t="inlineStr"/>
      <c r="F5376" s="12" t="inlineStr">
        <is>
          <t>LNG 18: vent stack</t>
        </is>
      </c>
      <c r="G5376" s="12" t="inlineStr">
        <is>
          <t>JB-LNG 18: vent stack-SOL01</t>
        </is>
      </c>
      <c r="H5376" s="12" t="inlineStr">
        <is>
          <t>LNG 18: vent stack</t>
        </is>
      </c>
      <c r="I5376" s="12" t="inlineStr">
        <is>
          <t>Control</t>
        </is>
      </c>
      <c r="J5376" s="12" t="inlineStr">
        <is>
          <t>ARMOR-X MC-HL 600 V control, Cu #14 AWG (Class I Div 2)</t>
        </is>
      </c>
      <c r="K5376" s="12" t="inlineStr">
        <is>
          <t>CTAX|2/C|14</t>
        </is>
      </c>
      <c r="L5376" s="12" t="inlineStr">
        <is>
          <t>2/C</t>
        </is>
      </c>
      <c r="M5376" s="12" t="inlineStr">
        <is>
          <t>14</t>
        </is>
      </c>
      <c r="N5376" s="12" t="n">
        <v>2</v>
      </c>
      <c r="O5376" s="12" t="n">
        <v>1</v>
      </c>
      <c r="P5376" s="12" t="n"/>
      <c r="Q5376" s="12" t="n"/>
      <c r="R5376" s="12" t="n"/>
      <c r="S5376" s="12" t="inlineStr">
        <is>
          <t>Tray / conduit</t>
        </is>
      </c>
      <c r="T5376" s="17" t="n">
        <v>55</v>
      </c>
      <c r="U5376" s="17" t="n">
        <v>10</v>
      </c>
      <c r="V5376" s="17">
        <f>ROUNDUP((T5376+U5376+2*'Read Me'!$B$13)*(1+'Read Me'!$B$12),-1)</f>
        <v/>
      </c>
      <c r="W5376" s="17">
        <f>V5376*N5376*O5376</f>
        <v/>
      </c>
      <c r="X5376" s="12">
        <f>IF(LEFT(I5376,2)="MV",2*N5376*IF(L5376="1/C",O5376,1),0)</f>
        <v/>
      </c>
      <c r="Y5376" s="12">
        <f>IF(OR(LEFT(K5376,4)="LVAX",LEFT(K5376,6)="MV15AX",LEFT(K5376,4)="CTAX",LEFT(K5376,2)="W|"),2*N5376*O5376,0)</f>
        <v/>
      </c>
      <c r="Z5376" s="12" t="inlineStr">
        <is>
          <t>device-to-JB field wiring, one cable per device</t>
        </is>
      </c>
      <c r="AA5376" s="12">
        <f>N5376*O5376</f>
        <v/>
      </c>
    </row>
    <row r="5377">
      <c r="A5377" s="12" t="inlineStr">
        <is>
          <t>K-C-0113</t>
        </is>
      </c>
      <c r="B5377" s="12" t="inlineStr">
        <is>
          <t>K</t>
        </is>
      </c>
      <c r="C5377" s="12" t="inlineStr">
        <is>
          <t>Fuel supply (adjacent market)</t>
        </is>
      </c>
      <c r="D5377" s="12" t="inlineStr">
        <is>
          <t>Home run JB-LNG 18: vent stack-SOL01 to the control / marshalling room</t>
        </is>
      </c>
      <c r="E5377" s="12" t="inlineStr"/>
      <c r="F5377" s="12" t="inlineStr">
        <is>
          <t>LNG 17: LNG e-house (13.8 kV / 480 V)</t>
        </is>
      </c>
      <c r="G5377" s="12" t="inlineStr">
        <is>
          <t>JB-LNG 18: vent stack-SOL01</t>
        </is>
      </c>
      <c r="H5377" s="12" t="inlineStr">
        <is>
          <t>LNG 18: vent stack</t>
        </is>
      </c>
      <c r="I5377" s="12" t="inlineStr">
        <is>
          <t>Control</t>
        </is>
      </c>
      <c r="J5377" s="12" t="inlineStr">
        <is>
          <t>ARMOR-X MC-HL 600 V control, Cu #14 AWG (Class I Div 2)</t>
        </is>
      </c>
      <c r="K5377" s="12" t="inlineStr">
        <is>
          <t>CTAX|25/C|14</t>
        </is>
      </c>
      <c r="L5377" s="12" t="inlineStr">
        <is>
          <t>25/C</t>
        </is>
      </c>
      <c r="M5377" s="12" t="inlineStr">
        <is>
          <t>14</t>
        </is>
      </c>
      <c r="N5377" s="12" t="n">
        <v>1</v>
      </c>
      <c r="O5377" s="12" t="n">
        <v>1</v>
      </c>
      <c r="P5377" s="12" t="n"/>
      <c r="Q5377" s="12" t="n"/>
      <c r="R5377" s="12" t="n"/>
      <c r="S5377" s="12" t="inlineStr">
        <is>
          <t>Duct bank</t>
        </is>
      </c>
      <c r="T5377" s="17" t="n">
        <v>25</v>
      </c>
      <c r="U5377" s="17" t="n">
        <v>117</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K-C-0114</t>
        </is>
      </c>
      <c r="B5378" s="12" t="inlineStr">
        <is>
          <t>K</t>
        </is>
      </c>
      <c r="C5378" s="12" t="inlineStr">
        <is>
          <t>Fuel supply (adjacent market)</t>
        </is>
      </c>
      <c r="D5378" s="12" t="inlineStr">
        <is>
          <t>Solenoid to JB JB-M&amp;R 2: insulating -SOL01: 4 x 2/C (field cables)</t>
        </is>
      </c>
      <c r="E5378" s="12" t="inlineStr"/>
      <c r="F5378" s="12" t="inlineStr">
        <is>
          <t>M&amp;R 2: insulating joint + ESD valve</t>
        </is>
      </c>
      <c r="G5378" s="12" t="inlineStr">
        <is>
          <t>JB-M&amp;R 2: insulating -SOL01</t>
        </is>
      </c>
      <c r="H5378" s="12" t="inlineStr">
        <is>
          <t>M&amp;R 2: insulating joint + ESD valve</t>
        </is>
      </c>
      <c r="I5378" s="12" t="inlineStr">
        <is>
          <t>Control</t>
        </is>
      </c>
      <c r="J5378" s="12" t="inlineStr">
        <is>
          <t>ARMOR-X MC-HL 600 V control, Cu #14 AWG (Class I Div 2)</t>
        </is>
      </c>
      <c r="K5378" s="12" t="inlineStr">
        <is>
          <t>CTAX|2/C|14</t>
        </is>
      </c>
      <c r="L5378" s="12" t="inlineStr">
        <is>
          <t>2/C</t>
        </is>
      </c>
      <c r="M5378" s="12" t="inlineStr">
        <is>
          <t>14</t>
        </is>
      </c>
      <c r="N5378" s="12" t="n">
        <v>4</v>
      </c>
      <c r="O5378" s="12" t="n">
        <v>1</v>
      </c>
      <c r="P5378" s="12" t="n"/>
      <c r="Q5378" s="12" t="n"/>
      <c r="R5378" s="12" t="n"/>
      <c r="S5378" s="12" t="inlineStr">
        <is>
          <t>Tray / conduit</t>
        </is>
      </c>
      <c r="T5378" s="17" t="n">
        <v>40</v>
      </c>
      <c r="U5378" s="17" t="n">
        <v>10</v>
      </c>
      <c r="V5378" s="17">
        <f>ROUNDUP((T5378+U5378+2*'Read Me'!$B$13)*(1+'Read Me'!$B$12),-1)</f>
        <v/>
      </c>
      <c r="W5378" s="17">
        <f>V5378*N5378*O5378</f>
        <v/>
      </c>
      <c r="X5378" s="12">
        <f>IF(LEFT(I5378,2)="MV",2*N5378*IF(L5378="1/C",O5378,1),0)</f>
        <v/>
      </c>
      <c r="Y5378" s="12">
        <f>IF(OR(LEFT(K5378,4)="LVAX",LEFT(K5378,6)="MV15AX",LEFT(K5378,4)="CTAX",LEFT(K5378,2)="W|"),2*N5378*O5378,0)</f>
        <v/>
      </c>
      <c r="Z5378" s="12" t="inlineStr">
        <is>
          <t>device-to-JB field wiring, one cable per device</t>
        </is>
      </c>
      <c r="AA5378" s="12">
        <f>N5378*O5378</f>
        <v/>
      </c>
    </row>
    <row r="5379">
      <c r="A5379" s="12" t="inlineStr">
        <is>
          <t>K-C-0115</t>
        </is>
      </c>
      <c r="B5379" s="12" t="inlineStr">
        <is>
          <t>K</t>
        </is>
      </c>
      <c r="C5379" s="12" t="inlineStr">
        <is>
          <t>Fuel supply (adjacent market)</t>
        </is>
      </c>
      <c r="D5379" s="12" t="inlineStr">
        <is>
          <t>Home run JB-M&amp;R 2: insulating -SOL01 to the control / marshalling room</t>
        </is>
      </c>
      <c r="E5379" s="12" t="inlineStr"/>
      <c r="F5379" s="12" t="inlineStr">
        <is>
          <t>LNG 17: LNG e-house (13.8 kV / 480 V)</t>
        </is>
      </c>
      <c r="G5379" s="12" t="inlineStr">
        <is>
          <t>JB-M&amp;R 2: insulating -SOL01</t>
        </is>
      </c>
      <c r="H5379" s="12" t="inlineStr">
        <is>
          <t>M&amp;R 2: insulating joint + ESD valve</t>
        </is>
      </c>
      <c r="I5379" s="12" t="inlineStr">
        <is>
          <t>Control</t>
        </is>
      </c>
      <c r="J5379" s="12" t="inlineStr">
        <is>
          <t>ARMOR-X MC-HL 600 V control, Cu #14 AWG (Class I Div 2)</t>
        </is>
      </c>
      <c r="K5379" s="12" t="inlineStr">
        <is>
          <t>CTAX|25/C|14</t>
        </is>
      </c>
      <c r="L5379" s="12" t="inlineStr">
        <is>
          <t>25/C</t>
        </is>
      </c>
      <c r="M5379" s="12" t="inlineStr">
        <is>
          <t>14</t>
        </is>
      </c>
      <c r="N5379" s="12" t="n">
        <v>1</v>
      </c>
      <c r="O5379" s="12" t="n">
        <v>1</v>
      </c>
      <c r="P5379" s="12" t="n"/>
      <c r="Q5379" s="12" t="n"/>
      <c r="R5379" s="12" t="n"/>
      <c r="S5379" s="12" t="inlineStr">
        <is>
          <t>Duct bank</t>
        </is>
      </c>
      <c r="T5379" s="17" t="n">
        <v>758</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K-C-0116</t>
        </is>
      </c>
      <c r="B5380" s="12" t="inlineStr">
        <is>
          <t>K</t>
        </is>
      </c>
      <c r="C5380" s="12" t="inlineStr">
        <is>
          <t>Fuel supply (adjacent market)</t>
        </is>
      </c>
      <c r="D5380" s="12" t="inlineStr">
        <is>
          <t>Solenoid to JB JB-M&amp;R 3: horizontal -SOL01: 4 x 2/C (field cables)</t>
        </is>
      </c>
      <c r="E5380" s="12" t="inlineStr"/>
      <c r="F5380" s="12" t="inlineStr">
        <is>
          <t>M&amp;R 3: horizontal filter-separator</t>
        </is>
      </c>
      <c r="G5380" s="12" t="inlineStr">
        <is>
          <t>JB-M&amp;R 3: horizontal -SOL01</t>
        </is>
      </c>
      <c r="H5380" s="12" t="inlineStr">
        <is>
          <t>M&amp;R 3: horizontal filter-separator</t>
        </is>
      </c>
      <c r="I5380" s="12" t="inlineStr">
        <is>
          <t>Control</t>
        </is>
      </c>
      <c r="J5380" s="12" t="inlineStr">
        <is>
          <t>ARMOR-X MC-HL 600 V control, Cu #14 AWG (Class I Div 2)</t>
        </is>
      </c>
      <c r="K5380" s="12" t="inlineStr">
        <is>
          <t>CTAX|2/C|14</t>
        </is>
      </c>
      <c r="L5380" s="12" t="inlineStr">
        <is>
          <t>2/C</t>
        </is>
      </c>
      <c r="M5380" s="12" t="inlineStr">
        <is>
          <t>14</t>
        </is>
      </c>
      <c r="N5380" s="12" t="n">
        <v>4</v>
      </c>
      <c r="O5380" s="12" t="n">
        <v>1</v>
      </c>
      <c r="P5380" s="12" t="n"/>
      <c r="Q5380" s="12" t="n"/>
      <c r="R5380" s="12" t="n"/>
      <c r="S5380" s="12" t="inlineStr">
        <is>
          <t>Tray / conduit</t>
        </is>
      </c>
      <c r="T5380" s="17" t="n">
        <v>53</v>
      </c>
      <c r="U5380" s="17" t="n">
        <v>10</v>
      </c>
      <c r="V5380" s="17">
        <f>ROUNDUP((T5380+U5380+2*'Read Me'!$B$13)*(1+'Read Me'!$B$12),-1)</f>
        <v/>
      </c>
      <c r="W5380" s="17">
        <f>V5380*N5380*O5380</f>
        <v/>
      </c>
      <c r="X5380" s="12">
        <f>IF(LEFT(I5380,2)="MV",2*N5380*IF(L5380="1/C",O5380,1),0)</f>
        <v/>
      </c>
      <c r="Y5380" s="12">
        <f>IF(OR(LEFT(K5380,4)="LVAX",LEFT(K5380,6)="MV15AX",LEFT(K5380,4)="CTAX",LEFT(K5380,2)="W|"),2*N5380*O5380,0)</f>
        <v/>
      </c>
      <c r="Z5380" s="12" t="inlineStr">
        <is>
          <t>device-to-JB field wiring, one cable per device</t>
        </is>
      </c>
      <c r="AA5380" s="12">
        <f>N5380*O5380</f>
        <v/>
      </c>
    </row>
    <row r="5381">
      <c r="A5381" s="12" t="inlineStr">
        <is>
          <t>K-C-0117</t>
        </is>
      </c>
      <c r="B5381" s="12" t="inlineStr">
        <is>
          <t>K</t>
        </is>
      </c>
      <c r="C5381" s="12" t="inlineStr">
        <is>
          <t>Fuel supply (adjacent market)</t>
        </is>
      </c>
      <c r="D5381" s="12" t="inlineStr">
        <is>
          <t>Home run JB-M&amp;R 3: horizontal -SOL01 to the control / marshalling room</t>
        </is>
      </c>
      <c r="E5381" s="12" t="inlineStr"/>
      <c r="F5381" s="12" t="inlineStr">
        <is>
          <t>LNG 17: LNG e-house (13.8 kV / 480 V)</t>
        </is>
      </c>
      <c r="G5381" s="12" t="inlineStr">
        <is>
          <t>JB-M&amp;R 3: horizontal -SOL01</t>
        </is>
      </c>
      <c r="H5381" s="12" t="inlineStr">
        <is>
          <t>M&amp;R 3: horizontal filter-separator</t>
        </is>
      </c>
      <c r="I5381" s="12" t="inlineStr">
        <is>
          <t>Control</t>
        </is>
      </c>
      <c r="J5381" s="12" t="inlineStr">
        <is>
          <t>ARMOR-X MC-HL 600 V control, Cu #14 AWG (Class I Div 2)</t>
        </is>
      </c>
      <c r="K5381" s="12" t="inlineStr">
        <is>
          <t>CTAX|25/C|14</t>
        </is>
      </c>
      <c r="L5381" s="12" t="inlineStr">
        <is>
          <t>25/C</t>
        </is>
      </c>
      <c r="M5381" s="12" t="inlineStr">
        <is>
          <t>14</t>
        </is>
      </c>
      <c r="N5381" s="12" t="n">
        <v>1</v>
      </c>
      <c r="O5381" s="12" t="n">
        <v>1</v>
      </c>
      <c r="P5381" s="12" t="n"/>
      <c r="Q5381" s="12" t="n"/>
      <c r="R5381" s="12" t="n"/>
      <c r="S5381" s="12" t="inlineStr">
        <is>
          <t>Duct bank</t>
        </is>
      </c>
      <c r="T5381" s="17" t="n">
        <v>797</v>
      </c>
      <c r="U5381" s="17" t="n">
        <v>32</v>
      </c>
      <c r="V5381" s="17">
        <f>ROUNDUP((T5381+U5381+2*'Read Me'!$B$13)*(1+'Read Me'!$B$12),-1)</f>
        <v/>
      </c>
      <c r="W5381" s="17">
        <f>V5381*N5381*O5381</f>
        <v/>
      </c>
      <c r="X5381" s="12">
        <f>IF(LEFT(I5381,2)="MV",2*N5381*IF(L5381="1/C",O5381,1),0)</f>
        <v/>
      </c>
      <c r="Y5381" s="12">
        <f>IF(OR(LEFT(K5381,4)="LVAX",LEFT(K5381,6)="MV15AX",LEFT(K5381,4)="CTAX",LEFT(K5381,2)="W|"),2*N5381*O5381,0)</f>
        <v/>
      </c>
      <c r="Z5381" s="12" t="inlineStr"/>
      <c r="AA5381" s="12">
        <f>N5381*O5381</f>
        <v/>
      </c>
    </row>
    <row r="5382">
      <c r="A5382" s="12" t="inlineStr">
        <is>
          <t>K-C-0118</t>
        </is>
      </c>
      <c r="B5382" s="12" t="inlineStr">
        <is>
          <t>K</t>
        </is>
      </c>
      <c r="C5382" s="12" t="inlineStr">
        <is>
          <t>Fuel supply (adjacent market)</t>
        </is>
      </c>
      <c r="D5382" s="12" t="inlineStr">
        <is>
          <t>Control</t>
        </is>
      </c>
      <c r="E5382" s="12" t="inlineStr"/>
      <c r="F5382" s="12" t="inlineStr">
        <is>
          <t>LNG 17: LNG e-house (13.8 kV / 480 V)</t>
        </is>
      </c>
      <c r="G5382" s="12" t="inlineStr"/>
      <c r="H5382" s="12" t="inlineStr">
        <is>
          <t>M&amp;R 4: line heater 1 (water bath)</t>
        </is>
      </c>
      <c r="I5382" s="12" t="inlineStr">
        <is>
          <t>Control</t>
        </is>
      </c>
      <c r="J5382" s="12" t="inlineStr">
        <is>
          <t>ARMOR-X MC-HL 600 V control, Cu #14 AWG (Class I Div 2)</t>
        </is>
      </c>
      <c r="K5382" s="12" t="inlineStr">
        <is>
          <t>CTAX|7/C|14</t>
        </is>
      </c>
      <c r="L5382" s="12" t="inlineStr">
        <is>
          <t>7/C</t>
        </is>
      </c>
      <c r="M5382" s="12" t="inlineStr">
        <is>
          <t>14</t>
        </is>
      </c>
      <c r="N5382" s="12" t="n">
        <v>1</v>
      </c>
      <c r="O5382" s="12" t="n">
        <v>1</v>
      </c>
      <c r="P5382" s="12" t="n"/>
      <c r="Q5382" s="12" t="n"/>
      <c r="R5382" s="12" t="n"/>
      <c r="S5382" s="12" t="inlineStr">
        <is>
          <t>Duct bank</t>
        </is>
      </c>
      <c r="T5382" s="17" t="n">
        <v>593</v>
      </c>
      <c r="U5382" s="17" t="n">
        <v>32</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K-C-0119</t>
        </is>
      </c>
      <c r="B5383" s="12" t="inlineStr">
        <is>
          <t>K</t>
        </is>
      </c>
      <c r="C5383" s="12" t="inlineStr">
        <is>
          <t>Fuel supply (adjacent market)</t>
        </is>
      </c>
      <c r="D5383" s="12" t="inlineStr">
        <is>
          <t>Control</t>
        </is>
      </c>
      <c r="E5383" s="12" t="inlineStr"/>
      <c r="F5383" s="12" t="inlineStr">
        <is>
          <t>LNG 17: LNG e-house (13.8 kV / 480 V)</t>
        </is>
      </c>
      <c r="G5383" s="12" t="inlineStr"/>
      <c r="H5383" s="12" t="inlineStr">
        <is>
          <t>M&amp;R 4: line heater 2 (water bath)</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Duct bank</t>
        </is>
      </c>
      <c r="T5383" s="17" t="n">
        <v>593</v>
      </c>
      <c r="U5383" s="17" t="n">
        <v>50</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K-C-0120</t>
        </is>
      </c>
      <c r="B5384" s="12" t="inlineStr">
        <is>
          <t>K</t>
        </is>
      </c>
      <c r="C5384" s="12" t="inlineStr">
        <is>
          <t>Fuel supply (adjacent market)</t>
        </is>
      </c>
      <c r="D5384" s="12" t="inlineStr">
        <is>
          <t>Control</t>
        </is>
      </c>
      <c r="E5384" s="12" t="inlineStr"/>
      <c r="F5384" s="12" t="inlineStr">
        <is>
          <t>LNG 17: LNG e-house (13.8 kV / 480 V)</t>
        </is>
      </c>
      <c r="G5384" s="12" t="inlineStr"/>
      <c r="H5384" s="12" t="inlineStr">
        <is>
          <t>M&amp;R 4: line heater 3 (water bath)</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7" t="n">
        <v>593</v>
      </c>
      <c r="U5384" s="17" t="n">
        <v>68</v>
      </c>
      <c r="V5384" s="17">
        <f>ROUNDUP((T5384+U5384+2*'Read Me'!$B$13)*(1+'Read Me'!$B$12),-1)</f>
        <v/>
      </c>
      <c r="W5384" s="17">
        <f>V5384*N5384*O5384</f>
        <v/>
      </c>
      <c r="X5384" s="12">
        <f>IF(LEFT(I5384,2)="MV",2*N5384*IF(L5384="1/C",O5384,1),0)</f>
        <v/>
      </c>
      <c r="Y5384" s="12">
        <f>IF(OR(LEFT(K5384,4)="LVAX",LEFT(K5384,6)="MV15AX",LEFT(K5384,4)="CTAX",LEFT(K5384,2)="W|"),2*N5384*O5384,0)</f>
        <v/>
      </c>
      <c r="Z5384" s="12" t="inlineStr"/>
      <c r="AA5384" s="12">
        <f>N5384*O5384</f>
        <v/>
      </c>
    </row>
    <row r="5385">
      <c r="A5385" s="12" t="inlineStr">
        <is>
          <t>K-C-0121</t>
        </is>
      </c>
      <c r="B5385" s="12" t="inlineStr">
        <is>
          <t>K</t>
        </is>
      </c>
      <c r="C5385" s="12" t="inlineStr">
        <is>
          <t>Fuel supply (adjacent market)</t>
        </is>
      </c>
      <c r="D5385" s="12" t="inlineStr">
        <is>
          <t>Solenoid to JB JB-M&amp;R 6: regulation -SOL01: 6 x 2/C (field cables)</t>
        </is>
      </c>
      <c r="E5385" s="12" t="inlineStr"/>
      <c r="F5385" s="12" t="inlineStr">
        <is>
          <t>M&amp;R 6: regulation / flow control building</t>
        </is>
      </c>
      <c r="G5385" s="12" t="inlineStr">
        <is>
          <t>JB-M&amp;R 6: regulation -SOL01</t>
        </is>
      </c>
      <c r="H5385" s="12" t="inlineStr">
        <is>
          <t>M&amp;R 6: regulation / flow control building</t>
        </is>
      </c>
      <c r="I5385" s="12" t="inlineStr">
        <is>
          <t>Control</t>
        </is>
      </c>
      <c r="J5385" s="12" t="inlineStr">
        <is>
          <t>ARMOR-X MC-HL 600 V control, Cu #14 AWG (Class I Div 2)</t>
        </is>
      </c>
      <c r="K5385" s="12" t="inlineStr">
        <is>
          <t>CTAX|2/C|14</t>
        </is>
      </c>
      <c r="L5385" s="12" t="inlineStr">
        <is>
          <t>2/C</t>
        </is>
      </c>
      <c r="M5385" s="12" t="inlineStr">
        <is>
          <t>14</t>
        </is>
      </c>
      <c r="N5385" s="12" t="n">
        <v>6</v>
      </c>
      <c r="O5385" s="12" t="n">
        <v>1</v>
      </c>
      <c r="P5385" s="12" t="n"/>
      <c r="Q5385" s="12" t="n"/>
      <c r="R5385" s="12" t="n"/>
      <c r="S5385" s="12" t="inlineStr">
        <is>
          <t>Tray / conduit</t>
        </is>
      </c>
      <c r="T5385" s="17" t="n">
        <v>61</v>
      </c>
      <c r="U5385" s="17" t="n">
        <v>10</v>
      </c>
      <c r="V5385" s="17">
        <f>ROUNDUP((T5385+U5385+2*'Read Me'!$B$13)*(1+'Read Me'!$B$12),-1)</f>
        <v/>
      </c>
      <c r="W5385" s="17">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K-C-0122</t>
        </is>
      </c>
      <c r="B5386" s="12" t="inlineStr">
        <is>
          <t>K</t>
        </is>
      </c>
      <c r="C5386" s="12" t="inlineStr">
        <is>
          <t>Fuel supply (adjacent market)</t>
        </is>
      </c>
      <c r="D5386" s="12" t="inlineStr">
        <is>
          <t>Home run JB-M&amp;R 6: regulation -SOL01 to the control / marshalling room</t>
        </is>
      </c>
      <c r="E5386" s="12" t="inlineStr"/>
      <c r="F5386" s="12" t="inlineStr">
        <is>
          <t>LNG 17: LNG e-house (13.8 kV / 480 V)</t>
        </is>
      </c>
      <c r="G5386" s="12" t="inlineStr">
        <is>
          <t>JB-M&amp;R 6: regulation -SOL01</t>
        </is>
      </c>
      <c r="H5386" s="12" t="inlineStr">
        <is>
          <t>M&amp;R 6: regulation / flow control building</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7" t="n">
        <v>470</v>
      </c>
      <c r="U5386" s="17" t="n">
        <v>70</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K-C-0123</t>
        </is>
      </c>
      <c r="B5387" s="12" t="inlineStr">
        <is>
          <t>K</t>
        </is>
      </c>
      <c r="C5387" s="12" t="inlineStr">
        <is>
          <t>Fuel supply (adjacent market)</t>
        </is>
      </c>
      <c r="D5387" s="12" t="inlineStr">
        <is>
          <t>Control</t>
        </is>
      </c>
      <c r="E5387" s="12" t="inlineStr"/>
      <c r="F5387" s="12" t="inlineStr">
        <is>
          <t>LNG 17: LNG e-house (13.8 kV / 480 V)</t>
        </is>
      </c>
      <c r="G5387" s="12" t="inlineStr"/>
      <c r="H5387" s="12" t="inlineStr">
        <is>
          <t>M&amp;R 9: service panel + UPS, SCADA RTU, CP</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7" t="n">
        <v>466</v>
      </c>
      <c r="U5387" s="17" t="n">
        <v>32</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K-C-0124</t>
        </is>
      </c>
      <c r="B5388" s="12" t="inlineStr">
        <is>
          <t>K</t>
        </is>
      </c>
      <c r="C5388" s="12" t="inlineStr">
        <is>
          <t>Fuel supply (adjacent market)</t>
        </is>
      </c>
      <c r="D5388" s="12" t="inlineStr">
        <is>
          <t>Control</t>
        </is>
      </c>
      <c r="E5388" s="12" t="inlineStr"/>
      <c r="F5388" s="12" t="inlineStr">
        <is>
          <t>LNG 17: LNG e-house (13.8 kV / 480 V)</t>
        </is>
      </c>
      <c r="G5388" s="12" t="inlineStr"/>
      <c r="H5388" s="12" t="inlineStr">
        <is>
          <t>M&amp;R CP test station (as drawn)</t>
        </is>
      </c>
      <c r="I5388" s="12" t="inlineStr">
        <is>
          <t>Control</t>
        </is>
      </c>
      <c r="J5388" s="12" t="inlineStr">
        <is>
          <t>ARMOR-X MC-HL 600 V control, Cu #14 AWG (Class I Div 2)</t>
        </is>
      </c>
      <c r="K5388" s="12" t="inlineStr">
        <is>
          <t>CTAX|7/C|14</t>
        </is>
      </c>
      <c r="L5388" s="12" t="inlineStr">
        <is>
          <t>7/C</t>
        </is>
      </c>
      <c r="M5388" s="12" t="inlineStr">
        <is>
          <t>14</t>
        </is>
      </c>
      <c r="N5388" s="12" t="n">
        <v>1</v>
      </c>
      <c r="O5388" s="12" t="n">
        <v>1</v>
      </c>
      <c r="P5388" s="12" t="n"/>
      <c r="Q5388" s="12" t="n"/>
      <c r="R5388" s="12" t="n"/>
      <c r="S5388" s="12" t="inlineStr">
        <is>
          <t>Duct bank</t>
        </is>
      </c>
      <c r="T5388" s="17" t="n">
        <v>441</v>
      </c>
      <c r="U5388" s="17" t="n">
        <v>42</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K-C-0125</t>
        </is>
      </c>
      <c r="B5389" s="12" t="inlineStr">
        <is>
          <t>K</t>
        </is>
      </c>
      <c r="C5389" s="12" t="inlineStr">
        <is>
          <t>Fuel supply (adjacent market)</t>
        </is>
      </c>
      <c r="D5389" s="12" t="inlineStr">
        <is>
          <t>Control</t>
        </is>
      </c>
      <c r="E5389" s="12" t="inlineStr"/>
      <c r="F5389" s="12" t="inlineStr">
        <is>
          <t>LNG 17: LNG e-house (13.8 kV / 480 V)</t>
        </is>
      </c>
      <c r="G5389" s="12" t="inlineStr"/>
      <c r="H5389" s="12" t="inlineStr">
        <is>
          <t>M&amp;R SCADA antenna mast base (as drawn)</t>
        </is>
      </c>
      <c r="I5389" s="12" t="inlineStr">
        <is>
          <t>Control</t>
        </is>
      </c>
      <c r="J5389" s="12" t="inlineStr">
        <is>
          <t>ARMOR-X MC-HL 600 V control, Cu #14 AWG (Class I Div 2)</t>
        </is>
      </c>
      <c r="K5389" s="12" t="inlineStr">
        <is>
          <t>CTAX|7/C|14</t>
        </is>
      </c>
      <c r="L5389" s="12" t="inlineStr">
        <is>
          <t>7/C</t>
        </is>
      </c>
      <c r="M5389" s="12" t="inlineStr">
        <is>
          <t>14</t>
        </is>
      </c>
      <c r="N5389" s="12" t="n">
        <v>1</v>
      </c>
      <c r="O5389" s="12" t="n">
        <v>1</v>
      </c>
      <c r="P5389" s="12" t="n"/>
      <c r="Q5389" s="12" t="n"/>
      <c r="R5389" s="12" t="n"/>
      <c r="S5389" s="12" t="inlineStr">
        <is>
          <t>Duct bank</t>
        </is>
      </c>
      <c r="T5389" s="17" t="n">
        <v>433</v>
      </c>
      <c r="U5389" s="17" t="n">
        <v>32</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K-C-0126</t>
        </is>
      </c>
      <c r="B5390" s="12" t="inlineStr">
        <is>
          <t>K</t>
        </is>
      </c>
      <c r="C5390" s="12" t="inlineStr">
        <is>
          <t>Fuel supply (adjacent market)</t>
        </is>
      </c>
      <c r="D5390" s="12" t="inlineStr">
        <is>
          <t>Control</t>
        </is>
      </c>
      <c r="E5390" s="12" t="inlineStr"/>
      <c r="F5390" s="12" t="inlineStr">
        <is>
          <t>H2 20: 13.8 kV e-house</t>
        </is>
      </c>
      <c r="G5390" s="12" t="inlineStr"/>
      <c r="H5390" s="12" t="inlineStr">
        <is>
          <t>PEM electrolyzer 1 (HyLYZER-1000)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7" t="n">
        <v>358</v>
      </c>
      <c r="U5390" s="17" t="n">
        <v>32</v>
      </c>
      <c r="V5390" s="17">
        <f>ROUNDUP((T5390+U5390+2*'Read Me'!$B$13)*(1+'Read Me'!$B$12),-1)</f>
        <v/>
      </c>
      <c r="W5390" s="17">
        <f>V5390*N5390*O5390</f>
        <v/>
      </c>
      <c r="X5390" s="12">
        <f>IF(LEFT(I5390,2)="MV",2*N5390*IF(L5390="1/C",O5390,1),0)</f>
        <v/>
      </c>
      <c r="Y5390" s="12">
        <f>IF(OR(LEFT(K5390,4)="LVAX",LEFT(K5390,6)="MV15AX",LEFT(K5390,4)="CTAX",LEFT(K5390,2)="W|"),2*N5390*O5390,0)</f>
        <v/>
      </c>
      <c r="Z5390" s="12" t="inlineStr"/>
      <c r="AA5390" s="12">
        <f>N5390*O5390</f>
        <v/>
      </c>
    </row>
    <row r="5391">
      <c r="A5391" s="12" t="inlineStr">
        <is>
          <t>K-C-0127</t>
        </is>
      </c>
      <c r="B5391" s="12" t="inlineStr">
        <is>
          <t>K</t>
        </is>
      </c>
      <c r="C5391" s="12" t="inlineStr">
        <is>
          <t>Fuel supply (adjacent market)</t>
        </is>
      </c>
      <c r="D5391" s="12" t="inlineStr">
        <is>
          <t>Control</t>
        </is>
      </c>
      <c r="E5391" s="12" t="inlineStr"/>
      <c r="F5391" s="12" t="inlineStr">
        <is>
          <t>H2 20: 13.8 kV e-house</t>
        </is>
      </c>
      <c r="G5391" s="12" t="inlineStr"/>
      <c r="H5391" s="12" t="inlineStr">
        <is>
          <t>PEM electrolyzer 2 (HyLYZER-1000)</t>
        </is>
      </c>
      <c r="I5391" s="12" t="inlineStr">
        <is>
          <t>Control</t>
        </is>
      </c>
      <c r="J5391" s="12" t="inlineStr">
        <is>
          <t>ARMOR-X MC-HL 600 V control, Cu #14 AWG (Class I Div 2)</t>
        </is>
      </c>
      <c r="K5391" s="12" t="inlineStr">
        <is>
          <t>CTAX|7/C|14</t>
        </is>
      </c>
      <c r="L5391" s="12" t="inlineStr">
        <is>
          <t>7/C</t>
        </is>
      </c>
      <c r="M5391" s="12" t="inlineStr">
        <is>
          <t>14</t>
        </is>
      </c>
      <c r="N5391" s="12" t="n">
        <v>1</v>
      </c>
      <c r="O5391" s="12" t="n">
        <v>1</v>
      </c>
      <c r="P5391" s="12" t="n"/>
      <c r="Q5391" s="12" t="n"/>
      <c r="R5391" s="12" t="n"/>
      <c r="S5391" s="12" t="inlineStr">
        <is>
          <t>Duct bank</t>
        </is>
      </c>
      <c r="T5391" s="17" t="n">
        <v>358</v>
      </c>
      <c r="U5391" s="17" t="n">
        <v>48</v>
      </c>
      <c r="V5391" s="17">
        <f>ROUNDUP((T5391+U5391+2*'Read Me'!$B$13)*(1+'Read Me'!$B$12),-1)</f>
        <v/>
      </c>
      <c r="W5391" s="17">
        <f>V5391*N5391*O5391</f>
        <v/>
      </c>
      <c r="X5391" s="12">
        <f>IF(LEFT(I5391,2)="MV",2*N5391*IF(L5391="1/C",O5391,1),0)</f>
        <v/>
      </c>
      <c r="Y5391" s="12">
        <f>IF(OR(LEFT(K5391,4)="LVAX",LEFT(K5391,6)="MV15AX",LEFT(K5391,4)="CTAX",LEFT(K5391,2)="W|"),2*N5391*O5391,0)</f>
        <v/>
      </c>
      <c r="Z5391" s="12" t="inlineStr"/>
      <c r="AA5391" s="12">
        <f>N5391*O5391</f>
        <v/>
      </c>
    </row>
    <row r="5392">
      <c r="A5392" s="12" t="inlineStr">
        <is>
          <t>K-C-0128</t>
        </is>
      </c>
      <c r="B5392" s="12" t="inlineStr">
        <is>
          <t>K</t>
        </is>
      </c>
      <c r="C5392" s="12" t="inlineStr">
        <is>
          <t>Fuel supply (adjacent market)</t>
        </is>
      </c>
      <c r="D5392" s="12" t="inlineStr">
        <is>
          <t>Control</t>
        </is>
      </c>
      <c r="E5392" s="12" t="inlineStr"/>
      <c r="F5392" s="12" t="inlineStr">
        <is>
          <t>H2 20: 13.8 kV e-house</t>
        </is>
      </c>
      <c r="G5392" s="12" t="inlineStr"/>
      <c r="H5392" s="12" t="inlineStr">
        <is>
          <t>PEM electrolyzer 3 (HyLYZER-1000)</t>
        </is>
      </c>
      <c r="I5392" s="12" t="inlineStr">
        <is>
          <t>Control</t>
        </is>
      </c>
      <c r="J5392" s="12" t="inlineStr">
        <is>
          <t>ARMOR-X MC-HL 600 V control, Cu #14 AWG (Class I Div 2)</t>
        </is>
      </c>
      <c r="K5392" s="12" t="inlineStr">
        <is>
          <t>CTAX|7/C|14</t>
        </is>
      </c>
      <c r="L5392" s="12" t="inlineStr">
        <is>
          <t>7/C</t>
        </is>
      </c>
      <c r="M5392" s="12" t="inlineStr">
        <is>
          <t>14</t>
        </is>
      </c>
      <c r="N5392" s="12" t="n">
        <v>1</v>
      </c>
      <c r="O5392" s="12" t="n">
        <v>1</v>
      </c>
      <c r="P5392" s="12" t="n"/>
      <c r="Q5392" s="12" t="n"/>
      <c r="R5392" s="12" t="n"/>
      <c r="S5392" s="12" t="inlineStr">
        <is>
          <t>Duct bank</t>
        </is>
      </c>
      <c r="T5392" s="17" t="n">
        <v>348</v>
      </c>
      <c r="U5392" s="17" t="n">
        <v>49</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K-C-0129</t>
        </is>
      </c>
      <c r="B5393" s="12" t="inlineStr">
        <is>
          <t>K</t>
        </is>
      </c>
      <c r="C5393" s="12" t="inlineStr">
        <is>
          <t>Fuel supply (adjacent market)</t>
        </is>
      </c>
      <c r="D5393" s="12" t="inlineStr">
        <is>
          <t>Control</t>
        </is>
      </c>
      <c r="E5393" s="12" t="inlineStr"/>
      <c r="F5393" s="12" t="inlineStr">
        <is>
          <t>H2 20: 13.8 kV e-house</t>
        </is>
      </c>
      <c r="G5393" s="12" t="inlineStr"/>
      <c r="H5393" s="12" t="inlineStr">
        <is>
          <t>PEM electrolyzer 4 (HyLYZER-1000)</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7" t="n">
        <v>328</v>
      </c>
      <c r="U5393" s="17" t="n">
        <v>49</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K-C-0130</t>
        </is>
      </c>
      <c r="B5394" s="12" t="inlineStr">
        <is>
          <t>K</t>
        </is>
      </c>
      <c r="C5394" s="12" t="inlineStr">
        <is>
          <t>Fuel supply (adjacent market)</t>
        </is>
      </c>
      <c r="D5394" s="12" t="inlineStr">
        <is>
          <t>Control</t>
        </is>
      </c>
      <c r="E5394" s="12" t="inlineStr"/>
      <c r="F5394" s="12" t="inlineStr">
        <is>
          <t>H2 20: 13.8 kV e-house</t>
        </is>
      </c>
      <c r="G5394" s="12" t="inlineStr"/>
      <c r="H5394" s="12" t="inlineStr">
        <is>
          <t>PEM electrolyzer 5 (HyLYZER-1000)</t>
        </is>
      </c>
      <c r="I5394" s="12" t="inlineStr">
        <is>
          <t>Control</t>
        </is>
      </c>
      <c r="J5394" s="12" t="inlineStr">
        <is>
          <t>ARMOR-X MC-HL 600 V control, Cu #14 AWG (Class I Div 2)</t>
        </is>
      </c>
      <c r="K5394" s="12" t="inlineStr">
        <is>
          <t>CTAX|7/C|14</t>
        </is>
      </c>
      <c r="L5394" s="12" t="inlineStr">
        <is>
          <t>7/C</t>
        </is>
      </c>
      <c r="M5394" s="12" t="inlineStr">
        <is>
          <t>14</t>
        </is>
      </c>
      <c r="N5394" s="12" t="n">
        <v>1</v>
      </c>
      <c r="O5394" s="12" t="n">
        <v>1</v>
      </c>
      <c r="P5394" s="12" t="n"/>
      <c r="Q5394" s="12" t="n"/>
      <c r="R5394" s="12" t="n"/>
      <c r="S5394" s="12" t="inlineStr">
        <is>
          <t>Duct bank</t>
        </is>
      </c>
      <c r="T5394" s="17" t="n">
        <v>328</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K-C-0131</t>
        </is>
      </c>
      <c r="B5395" s="12" t="inlineStr">
        <is>
          <t>K</t>
        </is>
      </c>
      <c r="C5395" s="12" t="inlineStr">
        <is>
          <t>Fuel supply (adjacent market)</t>
        </is>
      </c>
      <c r="D5395" s="12" t="inlineStr">
        <is>
          <t>Control</t>
        </is>
      </c>
      <c r="E5395" s="12" t="inlineStr"/>
      <c r="F5395" s="12" t="inlineStr">
        <is>
          <t>H2 20: 13.8 kV e-house</t>
        </is>
      </c>
      <c r="G5395" s="12" t="inlineStr"/>
      <c r="H5395" s="12" t="inlineStr">
        <is>
          <t>Rectifier 1 (7 MVA)</t>
        </is>
      </c>
      <c r="I5395" s="12" t="inlineStr">
        <is>
          <t>Control</t>
        </is>
      </c>
      <c r="J5395" s="12" t="inlineStr">
        <is>
          <t>Control cable 600 V Type TC-ER, Cu #14 AWG, PVC jacket</t>
        </is>
      </c>
      <c r="K5395" s="12" t="inlineStr">
        <is>
          <t>CT|7/C|14</t>
        </is>
      </c>
      <c r="L5395" s="12" t="inlineStr">
        <is>
          <t>7/C</t>
        </is>
      </c>
      <c r="M5395" s="12" t="inlineStr">
        <is>
          <t>14</t>
        </is>
      </c>
      <c r="N5395" s="12" t="n">
        <v>1</v>
      </c>
      <c r="O5395" s="12" t="n">
        <v>1</v>
      </c>
      <c r="P5395" s="12" t="n"/>
      <c r="Q5395" s="12" t="n"/>
      <c r="R5395" s="12" t="n"/>
      <c r="S5395" s="12" t="inlineStr">
        <is>
          <t>Duct bank</t>
        </is>
      </c>
      <c r="T5395" s="17" t="n">
        <v>346</v>
      </c>
      <c r="U5395" s="17" t="n">
        <v>32</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K-C-0132</t>
        </is>
      </c>
      <c r="B5396" s="12" t="inlineStr">
        <is>
          <t>K</t>
        </is>
      </c>
      <c r="C5396" s="12" t="inlineStr">
        <is>
          <t>Fuel supply (adjacent market)</t>
        </is>
      </c>
      <c r="D5396" s="12" t="inlineStr">
        <is>
          <t>Control</t>
        </is>
      </c>
      <c r="E5396" s="12" t="inlineStr"/>
      <c r="F5396" s="12" t="inlineStr">
        <is>
          <t>H2 20: 13.8 kV e-house</t>
        </is>
      </c>
      <c r="G5396" s="12" t="inlineStr"/>
      <c r="H5396" s="12" t="inlineStr">
        <is>
          <t>Rectifier 2 (7 MVA)</t>
        </is>
      </c>
      <c r="I5396" s="12" t="inlineStr">
        <is>
          <t>Control</t>
        </is>
      </c>
      <c r="J5396" s="12" t="inlineStr">
        <is>
          <t>Control cable 600 V Type TC-ER, Cu #14 AWG, PVC jacket</t>
        </is>
      </c>
      <c r="K5396" s="12" t="inlineStr">
        <is>
          <t>CT|7/C|14</t>
        </is>
      </c>
      <c r="L5396" s="12" t="inlineStr">
        <is>
          <t>7/C</t>
        </is>
      </c>
      <c r="M5396" s="12" t="inlineStr">
        <is>
          <t>14</t>
        </is>
      </c>
      <c r="N5396" s="12" t="n">
        <v>1</v>
      </c>
      <c r="O5396" s="12" t="n">
        <v>1</v>
      </c>
      <c r="P5396" s="12" t="n"/>
      <c r="Q5396" s="12" t="n"/>
      <c r="R5396" s="12" t="n"/>
      <c r="S5396" s="12" t="inlineStr">
        <is>
          <t>Duct bank</t>
        </is>
      </c>
      <c r="T5396" s="17" t="n">
        <v>361</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K-C-0133</t>
        </is>
      </c>
      <c r="B5397" s="12" t="inlineStr">
        <is>
          <t>K</t>
        </is>
      </c>
      <c r="C5397" s="12" t="inlineStr">
        <is>
          <t>Fuel supply (adjacent market)</t>
        </is>
      </c>
      <c r="D5397" s="12" t="inlineStr">
        <is>
          <t>Control</t>
        </is>
      </c>
      <c r="E5397" s="12" t="inlineStr"/>
      <c r="F5397" s="12" t="inlineStr">
        <is>
          <t>H2 20: 13.8 kV e-house</t>
        </is>
      </c>
      <c r="G5397" s="12" t="inlineStr"/>
      <c r="H5397" s="12" t="inlineStr">
        <is>
          <t>Rectifier 3 (7 MVA)</t>
        </is>
      </c>
      <c r="I5397" s="12" t="inlineStr">
        <is>
          <t>Control</t>
        </is>
      </c>
      <c r="J5397" s="12" t="inlineStr">
        <is>
          <t>Control cable 600 V Type TC-ER, Cu #14 AWG, PVC jacket</t>
        </is>
      </c>
      <c r="K5397" s="12" t="inlineStr">
        <is>
          <t>CT|7/C|14</t>
        </is>
      </c>
      <c r="L5397" s="12" t="inlineStr">
        <is>
          <t>7/C</t>
        </is>
      </c>
      <c r="M5397" s="12" t="inlineStr">
        <is>
          <t>14</t>
        </is>
      </c>
      <c r="N5397" s="12" t="n">
        <v>1</v>
      </c>
      <c r="O5397" s="12" t="n">
        <v>1</v>
      </c>
      <c r="P5397" s="12" t="n"/>
      <c r="Q5397" s="12" t="n"/>
      <c r="R5397" s="12" t="n"/>
      <c r="S5397" s="12" t="inlineStr">
        <is>
          <t>Duct bank</t>
        </is>
      </c>
      <c r="T5397" s="17" t="n">
        <v>341</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K-C-0134</t>
        </is>
      </c>
      <c r="B5398" s="12" t="inlineStr">
        <is>
          <t>K</t>
        </is>
      </c>
      <c r="C5398" s="12" t="inlineStr">
        <is>
          <t>Fuel supply (adjacent market)</t>
        </is>
      </c>
      <c r="D5398" s="12" t="inlineStr">
        <is>
          <t>Control</t>
        </is>
      </c>
      <c r="E5398" s="12" t="inlineStr"/>
      <c r="F5398" s="12" t="inlineStr">
        <is>
          <t>H2 20: 13.8 kV e-house</t>
        </is>
      </c>
      <c r="G5398" s="12" t="inlineStr"/>
      <c r="H5398" s="12" t="inlineStr">
        <is>
          <t>Rectifier 4 (7 MVA)</t>
        </is>
      </c>
      <c r="I5398" s="12" t="inlineStr">
        <is>
          <t>Control</t>
        </is>
      </c>
      <c r="J5398" s="12" t="inlineStr">
        <is>
          <t>Control cable 600 V Type TC-ER, Cu #14 AWG, PVC jacket</t>
        </is>
      </c>
      <c r="K5398" s="12" t="inlineStr">
        <is>
          <t>CT|7/C|14</t>
        </is>
      </c>
      <c r="L5398" s="12" t="inlineStr">
        <is>
          <t>7/C</t>
        </is>
      </c>
      <c r="M5398" s="12" t="inlineStr">
        <is>
          <t>14</t>
        </is>
      </c>
      <c r="N5398" s="12" t="n">
        <v>1</v>
      </c>
      <c r="O5398" s="12" t="n">
        <v>1</v>
      </c>
      <c r="P5398" s="12" t="n"/>
      <c r="Q5398" s="12" t="n"/>
      <c r="R5398" s="12" t="n"/>
      <c r="S5398" s="12" t="inlineStr">
        <is>
          <t>Duct bank</t>
        </is>
      </c>
      <c r="T5398" s="17" t="n">
        <v>321</v>
      </c>
      <c r="U5398" s="17" t="n">
        <v>32</v>
      </c>
      <c r="V5398" s="17">
        <f>ROUNDUP((T5398+U5398+2*'Read Me'!$B$13)*(1+'Read Me'!$B$12),-1)</f>
        <v/>
      </c>
      <c r="W5398" s="17">
        <f>V5398*N5398*O5398</f>
        <v/>
      </c>
      <c r="X5398" s="12">
        <f>IF(LEFT(I5398,2)="MV",2*N5398*IF(L5398="1/C",O5398,1),0)</f>
        <v/>
      </c>
      <c r="Y5398" s="12">
        <f>IF(OR(LEFT(K5398,4)="LVAX",LEFT(K5398,6)="MV15AX",LEFT(K5398,4)="CTAX",LEFT(K5398,2)="W|"),2*N5398*O5398,0)</f>
        <v/>
      </c>
      <c r="Z5398" s="12" t="inlineStr"/>
      <c r="AA5398" s="12">
        <f>N5398*O5398</f>
        <v/>
      </c>
    </row>
    <row r="5399">
      <c r="A5399" s="12" t="inlineStr">
        <is>
          <t>K-C-0135</t>
        </is>
      </c>
      <c r="B5399" s="12" t="inlineStr">
        <is>
          <t>K</t>
        </is>
      </c>
      <c r="C5399" s="12" t="inlineStr">
        <is>
          <t>Fuel supply (adjacent market)</t>
        </is>
      </c>
      <c r="D5399" s="12" t="inlineStr">
        <is>
          <t>Control</t>
        </is>
      </c>
      <c r="E5399" s="12" t="inlineStr"/>
      <c r="F5399" s="12" t="inlineStr">
        <is>
          <t>H2 20: 13.8 kV e-house</t>
        </is>
      </c>
      <c r="G5399" s="12" t="inlineStr"/>
      <c r="H5399" s="12" t="inlineStr">
        <is>
          <t>Rectifier 5 (7 MVA)</t>
        </is>
      </c>
      <c r="I5399" s="12" t="inlineStr">
        <is>
          <t>Control</t>
        </is>
      </c>
      <c r="J5399" s="12" t="inlineStr">
        <is>
          <t>Control cable 600 V Type TC-ER, Cu #14 AWG, PVC jacket</t>
        </is>
      </c>
      <c r="K5399" s="12" t="inlineStr">
        <is>
          <t>CT|7/C|14</t>
        </is>
      </c>
      <c r="L5399" s="12" t="inlineStr">
        <is>
          <t>7/C</t>
        </is>
      </c>
      <c r="M5399" s="12" t="inlineStr">
        <is>
          <t>14</t>
        </is>
      </c>
      <c r="N5399" s="12" t="n">
        <v>1</v>
      </c>
      <c r="O5399" s="12" t="n">
        <v>1</v>
      </c>
      <c r="P5399" s="12" t="n"/>
      <c r="Q5399" s="12" t="n"/>
      <c r="R5399" s="12" t="n"/>
      <c r="S5399" s="12" t="inlineStr">
        <is>
          <t>Duct bank</t>
        </is>
      </c>
      <c r="T5399" s="17" t="n">
        <v>301</v>
      </c>
      <c r="U5399" s="17" t="n">
        <v>32</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K-F-0001</t>
        </is>
      </c>
      <c r="B5400" s="12" t="inlineStr">
        <is>
          <t>K</t>
        </is>
      </c>
      <c r="C5400" s="12" t="inlineStr">
        <is>
          <t>Fuel supply (adjacent market)</t>
        </is>
      </c>
      <c r="D5400" s="12" t="inlineStr">
        <is>
          <t>Plant network / DCS fibre</t>
        </is>
      </c>
      <c r="E5400" s="12" t="inlineStr">
        <is>
          <t>CR</t>
        </is>
      </c>
      <c r="F5400" s="12" t="inlineStr">
        <is>
          <t>Control / admin building (main control room)</t>
        </is>
      </c>
      <c r="G5400" s="12" t="inlineStr"/>
      <c r="H5400" s="12" t="inlineStr">
        <is>
          <t>H2 20: 13.8 kV e-house</t>
        </is>
      </c>
      <c r="I5400" s="12" t="inlineStr">
        <is>
          <t>Fibre / data</t>
        </is>
      </c>
      <c r="J5400" s="12" t="inlineStr">
        <is>
          <t>Fibre optic, single-mode, 12-fibre, armored, orange jacket</t>
        </is>
      </c>
      <c r="K5400" s="12" t="inlineStr">
        <is>
          <t>FO|12 SM|-</t>
        </is>
      </c>
      <c r="L5400" s="12" t="inlineStr">
        <is>
          <t>12 SM</t>
        </is>
      </c>
      <c r="M5400" s="12" t="inlineStr">
        <is>
          <t>-</t>
        </is>
      </c>
      <c r="N5400" s="12" t="n">
        <v>1</v>
      </c>
      <c r="O5400" s="12" t="n">
        <v>1</v>
      </c>
      <c r="P5400" s="12" t="n"/>
      <c r="Q5400" s="12" t="n"/>
      <c r="R5400" s="12" t="n"/>
      <c r="S5400" s="12" t="inlineStr">
        <is>
          <t>Trench</t>
        </is>
      </c>
      <c r="T5400" s="17" t="n">
        <v>4293</v>
      </c>
      <c r="U5400" s="17" t="n">
        <v>36</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K-F-0002</t>
        </is>
      </c>
      <c r="B5401" s="12" t="inlineStr">
        <is>
          <t>K</t>
        </is>
      </c>
      <c r="C5401" s="12" t="inlineStr">
        <is>
          <t>Fuel supply (adjacent market)</t>
        </is>
      </c>
      <c r="D5401" s="12" t="inlineStr">
        <is>
          <t>Plant network / DCS fibre</t>
        </is>
      </c>
      <c r="E5401" s="12" t="inlineStr">
        <is>
          <t>CR</t>
        </is>
      </c>
      <c r="F5401" s="12" t="inlineStr">
        <is>
          <t>Control / admin building (main control room)</t>
        </is>
      </c>
      <c r="G5401" s="12" t="inlineStr"/>
      <c r="H5401" s="12" t="inlineStr">
        <is>
          <t>LNG 17: LNG e-house (13.8 kV / 480 V)</t>
        </is>
      </c>
      <c r="I5401" s="12" t="inlineStr">
        <is>
          <t>Fibre / data</t>
        </is>
      </c>
      <c r="J5401" s="12" t="inlineStr">
        <is>
          <t>Fibre optic, single-mode, 12-fibre, armored, orange jacket</t>
        </is>
      </c>
      <c r="K5401" s="12" t="inlineStr">
        <is>
          <t>FO|12 SM|-</t>
        </is>
      </c>
      <c r="L5401" s="12" t="inlineStr">
        <is>
          <t>12 SM</t>
        </is>
      </c>
      <c r="M5401" s="12" t="inlineStr">
        <is>
          <t>-</t>
        </is>
      </c>
      <c r="N5401" s="12" t="n">
        <v>1</v>
      </c>
      <c r="O5401" s="12" t="n">
        <v>1</v>
      </c>
      <c r="P5401" s="12" t="n"/>
      <c r="Q5401" s="12" t="n"/>
      <c r="R5401" s="12" t="n"/>
      <c r="S5401" s="12" t="inlineStr">
        <is>
          <t>Duct bank</t>
        </is>
      </c>
      <c r="T5401" s="17" t="n">
        <v>3499</v>
      </c>
      <c r="U5401" s="17" t="n">
        <v>359</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K-F-0003</t>
        </is>
      </c>
      <c r="B5402" s="12" t="inlineStr">
        <is>
          <t>K</t>
        </is>
      </c>
      <c r="C5402" s="12" t="inlineStr">
        <is>
          <t>Fuel supply (adjacent market)</t>
        </is>
      </c>
      <c r="D5402" s="12" t="inlineStr">
        <is>
          <t>Plant network / DCS fibre</t>
        </is>
      </c>
      <c r="E5402" s="12" t="inlineStr">
        <is>
          <t>CR</t>
        </is>
      </c>
      <c r="F5402" s="12" t="inlineStr">
        <is>
          <t>Control / admin building (main control room)</t>
        </is>
      </c>
      <c r="G5402" s="12" t="inlineStr"/>
      <c r="H5402" s="12" t="inlineStr">
        <is>
          <t>M&amp;R 6: regulation / flow control building</t>
        </is>
      </c>
      <c r="I5402" s="12" t="inlineStr">
        <is>
          <t>Fibre / data</t>
        </is>
      </c>
      <c r="J5402" s="12" t="inlineStr">
        <is>
          <t>Fibre optic, single-mode, 12-fibre, armored, orange jacket</t>
        </is>
      </c>
      <c r="K5402" s="12" t="inlineStr">
        <is>
          <t>FO|12 SM|-</t>
        </is>
      </c>
      <c r="L5402" s="12" t="inlineStr">
        <is>
          <t>12 SM</t>
        </is>
      </c>
      <c r="M5402" s="12" t="inlineStr">
        <is>
          <t>-</t>
        </is>
      </c>
      <c r="N5402" s="12" t="n">
        <v>1</v>
      </c>
      <c r="O5402" s="12" t="n">
        <v>1</v>
      </c>
      <c r="P5402" s="12" t="n"/>
      <c r="Q5402" s="12" t="n"/>
      <c r="R5402" s="12" t="n"/>
      <c r="S5402" s="12" t="inlineStr">
        <is>
          <t>Duct bank</t>
        </is>
      </c>
      <c r="T5402" s="17" t="n">
        <v>3128</v>
      </c>
      <c r="U5402" s="17" t="n">
        <v>302</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K-F-0004</t>
        </is>
      </c>
      <c r="B5403" s="12" t="inlineStr">
        <is>
          <t>K</t>
        </is>
      </c>
      <c r="C5403" s="12" t="inlineStr">
        <is>
          <t>Fuel supply (adjacent market)</t>
        </is>
      </c>
      <c r="D5403" s="12" t="inlineStr">
        <is>
          <t>Plant network / DCS fibre</t>
        </is>
      </c>
      <c r="E5403" s="12" t="inlineStr">
        <is>
          <t>CR</t>
        </is>
      </c>
      <c r="F5403" s="12" t="inlineStr">
        <is>
          <t>Control / admin building (main control room)</t>
        </is>
      </c>
      <c r="G5403" s="12" t="inlineStr"/>
      <c r="H5403" s="12" t="inlineStr">
        <is>
          <t>M&amp;R 7: gas quality + measurement building</t>
        </is>
      </c>
      <c r="I5403" s="12" t="inlineStr">
        <is>
          <t>Fibre / data</t>
        </is>
      </c>
      <c r="J5403" s="12" t="inlineStr">
        <is>
          <t>Fibre optic, single-mode, 12-fibre, armored, orange jacket</t>
        </is>
      </c>
      <c r="K5403" s="12" t="inlineStr">
        <is>
          <t>FO|12 SM|-</t>
        </is>
      </c>
      <c r="L5403" s="12" t="inlineStr">
        <is>
          <t>12 SM</t>
        </is>
      </c>
      <c r="M5403" s="12" t="inlineStr">
        <is>
          <t>-</t>
        </is>
      </c>
      <c r="N5403" s="12" t="n">
        <v>1</v>
      </c>
      <c r="O5403" s="12" t="n">
        <v>1</v>
      </c>
      <c r="P5403" s="12" t="n"/>
      <c r="Q5403" s="12" t="n"/>
      <c r="R5403" s="12" t="n"/>
      <c r="S5403" s="12" t="inlineStr">
        <is>
          <t>Duct bank</t>
        </is>
      </c>
      <c r="T5403" s="17" t="n">
        <v>2978</v>
      </c>
      <c r="U5403" s="17" t="n">
        <v>284</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K-FA-0001</t>
        </is>
      </c>
      <c r="B5404" s="12" t="inlineStr">
        <is>
          <t>K</t>
        </is>
      </c>
      <c r="C5404" s="12" t="inlineStr">
        <is>
          <t>Fuel supply (adjacent market)</t>
        </is>
      </c>
      <c r="D5404" s="12" t="inlineStr">
        <is>
          <t>Fire alarm / F&amp;G loop (to the local FACP / F&amp;G node)</t>
        </is>
      </c>
      <c r="E5404" s="12" t="inlineStr"/>
      <c r="F5404" s="12" t="inlineStr">
        <is>
          <t>H2 20: 13.8 kV e-house</t>
        </is>
      </c>
      <c r="G5404" s="12" t="inlineStr"/>
      <c r="H5404" s="12" t="inlineStr">
        <is>
          <t>H2 20: 13.8 kV e-house</t>
        </is>
      </c>
      <c r="I5404" s="12" t="inlineStr">
        <is>
          <t>Fire alarm</t>
        </is>
      </c>
      <c r="J5404" s="12" t="inlineStr">
        <is>
          <t>Fire alarm FPLR 2/C #14 shielded, red jacket (NEC 760)</t>
        </is>
      </c>
      <c r="K5404" s="12" t="inlineStr">
        <is>
          <t>FA|2/C|14</t>
        </is>
      </c>
      <c r="L5404" s="12" t="inlineStr">
        <is>
          <t>2/C</t>
        </is>
      </c>
      <c r="M5404" s="12" t="inlineStr">
        <is>
          <t>14</t>
        </is>
      </c>
      <c r="N5404" s="12" t="n">
        <v>1</v>
      </c>
      <c r="O5404" s="12" t="n">
        <v>1</v>
      </c>
      <c r="P5404" s="12" t="n"/>
      <c r="Q5404" s="12" t="n"/>
      <c r="R5404" s="12" t="n"/>
      <c r="S5404" s="12" t="inlineStr">
        <is>
          <t>Tray</t>
        </is>
      </c>
      <c r="T5404" s="17" t="n">
        <v>0</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K-FA-0002</t>
        </is>
      </c>
      <c r="B5405" s="12" t="inlineStr">
        <is>
          <t>K</t>
        </is>
      </c>
      <c r="C5405" s="12" t="inlineStr">
        <is>
          <t>Fuel supply (adjacent market)</t>
        </is>
      </c>
      <c r="D5405" s="12" t="inlineStr">
        <is>
          <t>Fire alarm / F&amp;G loop (to the local FACP / F&amp;G node)</t>
        </is>
      </c>
      <c r="E5405" s="12" t="inlineStr"/>
      <c r="F5405" s="12" t="inlineStr">
        <is>
          <t>LNG 17: LNG e-house (13.8 kV / 480 V)</t>
        </is>
      </c>
      <c r="G5405" s="12" t="inlineStr"/>
      <c r="H5405" s="12" t="inlineStr">
        <is>
          <t>LNG 17: LNG e-house (13.8 kV / 480 V)</t>
        </is>
      </c>
      <c r="I5405" s="12" t="inlineStr">
        <is>
          <t>Fire alarm</t>
        </is>
      </c>
      <c r="J5405" s="12" t="inlineStr">
        <is>
          <t>Fire alarm FPLR 2/C #14 shielded, red jacket (NEC 760)</t>
        </is>
      </c>
      <c r="K5405" s="12" t="inlineStr">
        <is>
          <t>FA|2/C|14</t>
        </is>
      </c>
      <c r="L5405" s="12" t="inlineStr">
        <is>
          <t>2/C</t>
        </is>
      </c>
      <c r="M5405" s="12" t="inlineStr">
        <is>
          <t>14</t>
        </is>
      </c>
      <c r="N5405" s="12" t="n">
        <v>1</v>
      </c>
      <c r="O5405" s="12" t="n">
        <v>1</v>
      </c>
      <c r="P5405" s="12" t="n"/>
      <c r="Q5405" s="12" t="n"/>
      <c r="R5405" s="12" t="n"/>
      <c r="S5405" s="12" t="inlineStr">
        <is>
          <t>Tray</t>
        </is>
      </c>
      <c r="T5405" s="17" t="n">
        <v>0</v>
      </c>
      <c r="U5405" s="17" t="n">
        <v>32</v>
      </c>
      <c r="V5405" s="17">
        <f>ROUNDUP((T5405+U5405+2*'Read Me'!$B$13)*(1+'Read Me'!$B$12),-1)</f>
        <v/>
      </c>
      <c r="W5405" s="17">
        <f>V5405*N5405*O5405</f>
        <v/>
      </c>
      <c r="X5405" s="12">
        <f>IF(LEFT(I5405,2)="MV",2*N5405*IF(L5405="1/C",O5405,1),0)</f>
        <v/>
      </c>
      <c r="Y5405" s="12">
        <f>IF(OR(LEFT(K5405,4)="LVAX",LEFT(K5405,6)="MV15AX",LEFT(K5405,4)="CTAX",LEFT(K5405,2)="W|"),2*N5405*O5405,0)</f>
        <v/>
      </c>
      <c r="Z5405" s="12" t="inlineStr"/>
      <c r="AA5405" s="12">
        <f>N5405*O5405</f>
        <v/>
      </c>
    </row>
    <row r="5406">
      <c r="A5406" s="12" t="inlineStr">
        <is>
          <t>K-FA-0003</t>
        </is>
      </c>
      <c r="B5406" s="12" t="inlineStr">
        <is>
          <t>K</t>
        </is>
      </c>
      <c r="C5406" s="12" t="inlineStr">
        <is>
          <t>Fuel supply (adjacent market)</t>
        </is>
      </c>
      <c r="D5406" s="12" t="inlineStr">
        <is>
          <t>Fire alarm / F&amp;G loop (to the local FACP / F&amp;G node)</t>
        </is>
      </c>
      <c r="E5406" s="12" t="inlineStr"/>
      <c r="F5406" s="12" t="inlineStr">
        <is>
          <t>LNG 17: LNG e-house (13.8 kV / 480 V)</t>
        </is>
      </c>
      <c r="G5406" s="12" t="inlineStr"/>
      <c r="H5406" s="12" t="inlineStr">
        <is>
          <t>M&amp;R 6: regulation / flow control building</t>
        </is>
      </c>
      <c r="I5406" s="12" t="inlineStr">
        <is>
          <t>Fire alarm</t>
        </is>
      </c>
      <c r="J5406" s="12" t="inlineStr">
        <is>
          <t>Fire alarm FPLR 2/C #14 shielded, red jacket (NEC 760)</t>
        </is>
      </c>
      <c r="K5406" s="12" t="inlineStr">
        <is>
          <t>FA|2/C|14</t>
        </is>
      </c>
      <c r="L5406" s="12" t="inlineStr">
        <is>
          <t>2/C</t>
        </is>
      </c>
      <c r="M5406" s="12" t="inlineStr">
        <is>
          <t>14</t>
        </is>
      </c>
      <c r="N5406" s="12" t="n">
        <v>1</v>
      </c>
      <c r="O5406" s="12" t="n">
        <v>1</v>
      </c>
      <c r="P5406" s="12" t="n"/>
      <c r="Q5406" s="12" t="n"/>
      <c r="R5406" s="12" t="n"/>
      <c r="S5406" s="12" t="inlineStr">
        <is>
          <t>Duct bank</t>
        </is>
      </c>
      <c r="T5406" s="17" t="n">
        <v>470</v>
      </c>
      <c r="U5406" s="17" t="n">
        <v>70</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K-FA-0004</t>
        </is>
      </c>
      <c r="B5407" s="12" t="inlineStr">
        <is>
          <t>K</t>
        </is>
      </c>
      <c r="C5407" s="12" t="inlineStr">
        <is>
          <t>Fuel supply (adjacent market)</t>
        </is>
      </c>
      <c r="D5407" s="12" t="inlineStr">
        <is>
          <t>Fire alarm / F&amp;G loop (to the local FACP / F&amp;G node)</t>
        </is>
      </c>
      <c r="E5407" s="12" t="inlineStr"/>
      <c r="F5407" s="12" t="inlineStr">
        <is>
          <t>LNG 17: LNG e-house (13.8 kV / 480 V)</t>
        </is>
      </c>
      <c r="G5407" s="12" t="inlineStr"/>
      <c r="H5407" s="12" t="inlineStr">
        <is>
          <t>M&amp;R 9: service panel + UPS, SCADA RTU, CP</t>
        </is>
      </c>
      <c r="I5407" s="12" t="inlineStr">
        <is>
          <t>Fire alarm</t>
        </is>
      </c>
      <c r="J5407" s="12" t="inlineStr">
        <is>
          <t>Fire alarm FPLR 2/C #14 shielded, red jacket (NEC 760)</t>
        </is>
      </c>
      <c r="K5407" s="12" t="inlineStr">
        <is>
          <t>FA|2/C|14</t>
        </is>
      </c>
      <c r="L5407" s="12" t="inlineStr">
        <is>
          <t>2/C</t>
        </is>
      </c>
      <c r="M5407" s="12" t="inlineStr">
        <is>
          <t>14</t>
        </is>
      </c>
      <c r="N5407" s="12" t="n">
        <v>1</v>
      </c>
      <c r="O5407" s="12" t="n">
        <v>1</v>
      </c>
      <c r="P5407" s="12" t="n"/>
      <c r="Q5407" s="12" t="n"/>
      <c r="R5407" s="12" t="n"/>
      <c r="S5407" s="12" t="inlineStr">
        <is>
          <t>Duct bank</t>
        </is>
      </c>
      <c r="T5407" s="17" t="n">
        <v>466</v>
      </c>
      <c r="U5407" s="17" t="n">
        <v>32</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K-FA-0005</t>
        </is>
      </c>
      <c r="B5408" s="12" t="inlineStr">
        <is>
          <t>K</t>
        </is>
      </c>
      <c r="C5408" s="12" t="inlineStr">
        <is>
          <t>Fuel supply (adjacent market)</t>
        </is>
      </c>
      <c r="D5408" s="12" t="inlineStr">
        <is>
          <t>Fire alarm / F&amp;G loop (to the local FACP / F&amp;G node)</t>
        </is>
      </c>
      <c r="E5408" s="12" t="inlineStr"/>
      <c r="F5408" s="12" t="inlineStr">
        <is>
          <t>LNG 17: LNG e-house (13.8 kV / 480 V)</t>
        </is>
      </c>
      <c r="G5408" s="12" t="inlineStr"/>
      <c r="H5408" s="12" t="inlineStr">
        <is>
          <t>M&amp;R SCADA antenna mast base (as drawn)</t>
        </is>
      </c>
      <c r="I5408" s="12" t="inlineStr">
        <is>
          <t>Fire alarm</t>
        </is>
      </c>
      <c r="J5408" s="12" t="inlineStr">
        <is>
          <t>Fire alarm FPLR 2/C #14 shielded, red jacket (NEC 760)</t>
        </is>
      </c>
      <c r="K5408" s="12" t="inlineStr">
        <is>
          <t>FA|2/C|14</t>
        </is>
      </c>
      <c r="L5408" s="12" t="inlineStr">
        <is>
          <t>2/C</t>
        </is>
      </c>
      <c r="M5408" s="12" t="inlineStr">
        <is>
          <t>14</t>
        </is>
      </c>
      <c r="N5408" s="12" t="n">
        <v>1</v>
      </c>
      <c r="O5408" s="12" t="n">
        <v>1</v>
      </c>
      <c r="P5408" s="12" t="n"/>
      <c r="Q5408" s="12" t="n"/>
      <c r="R5408" s="12" t="n"/>
      <c r="S5408" s="12" t="inlineStr">
        <is>
          <t>Duct bank</t>
        </is>
      </c>
      <c r="T5408" s="17" t="n">
        <v>433</v>
      </c>
      <c r="U5408" s="17" t="n">
        <v>32</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K-I-0001</t>
        </is>
      </c>
      <c r="B5409" s="12" t="inlineStr">
        <is>
          <t>K</t>
        </is>
      </c>
      <c r="C5409" s="12" t="inlineStr">
        <is>
          <t>Fuel supply (adjacent market)</t>
        </is>
      </c>
      <c r="D5409" s="12" t="inlineStr">
        <is>
          <t>Analog instrument to JB JB-T-H2-AI01: 12 x 1 pr (field cables)</t>
        </is>
      </c>
      <c r="E5409" s="12" t="inlineStr">
        <is>
          <t>T-H2</t>
        </is>
      </c>
      <c r="F5409" s="12" t="inlineStr">
        <is>
          <t>H2 19: T-H2 230/13.8 kV (about 40 MVA)</t>
        </is>
      </c>
      <c r="G5409" s="12" t="inlineStr">
        <is>
          <t>JB-T-H2-AI01</t>
        </is>
      </c>
      <c r="H5409" s="12" t="inlineStr">
        <is>
          <t>H2 19: T-H2 230/13.8 kV (about 40 MVA)</t>
        </is>
      </c>
      <c r="I5409" s="12" t="inlineStr">
        <is>
          <t>Instrumentation</t>
        </is>
      </c>
      <c r="J5409" s="12" t="inlineStr">
        <is>
          <t>Instrumentation ITC / PLTC, IS, #18 shielded pairs, blue jacket</t>
        </is>
      </c>
      <c r="K5409" s="12" t="inlineStr">
        <is>
          <t>ITC|1 pr|16</t>
        </is>
      </c>
      <c r="L5409" s="12" t="inlineStr">
        <is>
          <t>1 pr</t>
        </is>
      </c>
      <c r="M5409" s="12" t="inlineStr">
        <is>
          <t>16</t>
        </is>
      </c>
      <c r="N5409" s="12" t="n">
        <v>12</v>
      </c>
      <c r="O5409" s="12" t="n">
        <v>1</v>
      </c>
      <c r="P5409" s="12" t="n"/>
      <c r="Q5409" s="12" t="n"/>
      <c r="R5409" s="12" t="n"/>
      <c r="S5409" s="12" t="inlineStr">
        <is>
          <t>Tray / conduit</t>
        </is>
      </c>
      <c r="T5409" s="17" t="n">
        <v>80</v>
      </c>
      <c r="U5409" s="17" t="n">
        <v>10</v>
      </c>
      <c r="V5409" s="17">
        <f>ROUNDUP((T5409+U5409+2*'Read Me'!$B$13)*(1+'Read Me'!$B$12),-1)</f>
        <v/>
      </c>
      <c r="W5409" s="17">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K-I-0002</t>
        </is>
      </c>
      <c r="B5410" s="12" t="inlineStr">
        <is>
          <t>K</t>
        </is>
      </c>
      <c r="C5410" s="12" t="inlineStr">
        <is>
          <t>Fuel supply (adjacent market)</t>
        </is>
      </c>
      <c r="D5410" s="12" t="inlineStr">
        <is>
          <t>Home run JB-T-H2-AI01 to the control / marshalling room</t>
        </is>
      </c>
      <c r="E5410" s="12" t="inlineStr"/>
      <c r="F5410" s="12" t="inlineStr">
        <is>
          <t>H2 20: 13.8 kV e-house</t>
        </is>
      </c>
      <c r="G5410" s="12" t="inlineStr">
        <is>
          <t>JB-T-H2-AI01</t>
        </is>
      </c>
      <c r="H5410" s="12" t="inlineStr">
        <is>
          <t>H2 19: T-H2 230/13.8 kV (about 40 MVA)</t>
        </is>
      </c>
      <c r="I5410" s="12" t="inlineStr">
        <is>
          <t>Instrumentation</t>
        </is>
      </c>
      <c r="J5410" s="12" t="inlineStr">
        <is>
          <t>Instrumentation ITC / PLTC, IS, #18 shielded pairs, blue jacket</t>
        </is>
      </c>
      <c r="K5410" s="12" t="inlineStr">
        <is>
          <t>ITC|24 pr|18</t>
        </is>
      </c>
      <c r="L5410" s="12" t="inlineStr">
        <is>
          <t>24 pr</t>
        </is>
      </c>
      <c r="M5410" s="12" t="inlineStr">
        <is>
          <t>18</t>
        </is>
      </c>
      <c r="N5410" s="12" t="n">
        <v>1</v>
      </c>
      <c r="O5410" s="12" t="n">
        <v>1</v>
      </c>
      <c r="P5410" s="12" t="n"/>
      <c r="Q5410" s="12" t="n"/>
      <c r="R5410" s="12" t="n"/>
      <c r="S5410" s="12" t="inlineStr">
        <is>
          <t>Duct bank</t>
        </is>
      </c>
      <c r="T5410" s="17" t="n">
        <v>35</v>
      </c>
      <c r="U5410" s="17" t="n">
        <v>32</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K-I-0003</t>
        </is>
      </c>
      <c r="B5411" s="12" t="inlineStr">
        <is>
          <t>K</t>
        </is>
      </c>
      <c r="C5411" s="12" t="inlineStr">
        <is>
          <t>Fuel supply (adjacent market)</t>
        </is>
      </c>
      <c r="D5411" s="12" t="inlineStr">
        <is>
          <t>Discrete device to JB JB-T-H2-DI01: 12 x 1 pr (field cables)</t>
        </is>
      </c>
      <c r="E5411" s="12" t="inlineStr">
        <is>
          <t>T-H2</t>
        </is>
      </c>
      <c r="F5411" s="12" t="inlineStr">
        <is>
          <t>H2 19: T-H2 230/13.8 kV (about 40 MVA)</t>
        </is>
      </c>
      <c r="G5411" s="12" t="inlineStr">
        <is>
          <t>JB-T-H2-DI01</t>
        </is>
      </c>
      <c r="H5411" s="12" t="inlineStr">
        <is>
          <t>H2 19: T-H2 230/13.8 kV (about 40 MVA)</t>
        </is>
      </c>
      <c r="I5411" s="12" t="inlineStr">
        <is>
          <t>Instrumentation</t>
        </is>
      </c>
      <c r="J5411" s="12" t="inlineStr">
        <is>
          <t>Instrumentation ITC / PLTC, IS, #18 shielded pairs, blue jacket</t>
        </is>
      </c>
      <c r="K5411" s="12" t="inlineStr">
        <is>
          <t>ITC|1 pr|16</t>
        </is>
      </c>
      <c r="L5411" s="12" t="inlineStr">
        <is>
          <t>1 pr</t>
        </is>
      </c>
      <c r="M5411" s="12" t="inlineStr">
        <is>
          <t>16</t>
        </is>
      </c>
      <c r="N5411" s="12" t="n">
        <v>12</v>
      </c>
      <c r="O5411" s="12" t="n">
        <v>1</v>
      </c>
      <c r="P5411" s="12" t="n"/>
      <c r="Q5411" s="12" t="n"/>
      <c r="R5411" s="12" t="n"/>
      <c r="S5411" s="12" t="inlineStr">
        <is>
          <t>Tray / conduit</t>
        </is>
      </c>
      <c r="T5411" s="17" t="n">
        <v>80</v>
      </c>
      <c r="U5411" s="17" t="n">
        <v>10</v>
      </c>
      <c r="V5411" s="17">
        <f>ROUNDUP((T5411+U5411+2*'Read Me'!$B$13)*(1+'Read Me'!$B$12),-1)</f>
        <v/>
      </c>
      <c r="W5411" s="17">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K-I-0004</t>
        </is>
      </c>
      <c r="B5412" s="12" t="inlineStr">
        <is>
          <t>K</t>
        </is>
      </c>
      <c r="C5412" s="12" t="inlineStr">
        <is>
          <t>Fuel supply (adjacent market)</t>
        </is>
      </c>
      <c r="D5412" s="12" t="inlineStr">
        <is>
          <t>Home run JB-T-H2-DI01 to the control / marshalling room</t>
        </is>
      </c>
      <c r="E5412" s="12" t="inlineStr"/>
      <c r="F5412" s="12" t="inlineStr">
        <is>
          <t>H2 20: 13.8 kV e-house</t>
        </is>
      </c>
      <c r="G5412" s="12" t="inlineStr">
        <is>
          <t>JB-T-H2-DI01</t>
        </is>
      </c>
      <c r="H5412" s="12" t="inlineStr">
        <is>
          <t>H2 19: T-H2 230/13.8 kV (about 40 MVA)</t>
        </is>
      </c>
      <c r="I5412" s="12" t="inlineStr">
        <is>
          <t>Instrumentation</t>
        </is>
      </c>
      <c r="J5412" s="12" t="inlineStr">
        <is>
          <t>Instrumentation ITC / PLTC, IS, #18 shielded pairs, blue jacket</t>
        </is>
      </c>
      <c r="K5412" s="12" t="inlineStr">
        <is>
          <t>ITC|24 pr|18</t>
        </is>
      </c>
      <c r="L5412" s="12" t="inlineStr">
        <is>
          <t>24 pr</t>
        </is>
      </c>
      <c r="M5412" s="12" t="inlineStr">
        <is>
          <t>18</t>
        </is>
      </c>
      <c r="N5412" s="12" t="n">
        <v>1</v>
      </c>
      <c r="O5412" s="12" t="n">
        <v>1</v>
      </c>
      <c r="P5412" s="12" t="n"/>
      <c r="Q5412" s="12" t="n"/>
      <c r="R5412" s="12" t="n"/>
      <c r="S5412" s="12" t="inlineStr">
        <is>
          <t>Duct bank</t>
        </is>
      </c>
      <c r="T5412" s="17" t="n">
        <v>35</v>
      </c>
      <c r="U5412" s="17" t="n">
        <v>32</v>
      </c>
      <c r="V5412" s="17">
        <f>ROUNDUP((T5412+U5412+2*'Read Me'!$B$13)*(1+'Read Me'!$B$12),-1)</f>
        <v/>
      </c>
      <c r="W5412" s="17">
        <f>V5412*N5412*O5412</f>
        <v/>
      </c>
      <c r="X5412" s="12">
        <f>IF(LEFT(I5412,2)="MV",2*N5412*IF(L5412="1/C",O5412,1),0)</f>
        <v/>
      </c>
      <c r="Y5412" s="12">
        <f>IF(OR(LEFT(K5412,4)="LVAX",LEFT(K5412,6)="MV15AX",LEFT(K5412,4)="CTAX",LEFT(K5412,2)="W|"),2*N5412*O5412,0)</f>
        <v/>
      </c>
      <c r="Z5412" s="12" t="inlineStr"/>
      <c r="AA5412" s="12">
        <f>N5412*O5412</f>
        <v/>
      </c>
    </row>
    <row r="5413">
      <c r="A5413" s="12" t="inlineStr">
        <is>
          <t>K-I-0005</t>
        </is>
      </c>
      <c r="B5413" s="12" t="inlineStr">
        <is>
          <t>K</t>
        </is>
      </c>
      <c r="C5413" s="12" t="inlineStr">
        <is>
          <t>Fuel supply (adjacent market)</t>
        </is>
      </c>
      <c r="D5413" s="12" t="inlineStr">
        <is>
          <t>Analog instrument to JB JB-H2 20: 13.8 kV e-h-AI01: 12 x 1 pr (field cables)</t>
        </is>
      </c>
      <c r="E5413" s="12" t="inlineStr"/>
      <c r="F5413" s="12" t="inlineStr">
        <is>
          <t>H2 20: 13.8 kV e-house</t>
        </is>
      </c>
      <c r="G5413" s="12" t="inlineStr">
        <is>
          <t>JB-H2 20: 13.8 kV e-h-AI01</t>
        </is>
      </c>
      <c r="H5413" s="12" t="inlineStr">
        <is>
          <t>H2 20: 13.8 kV e-house</t>
        </is>
      </c>
      <c r="I5413" s="12" t="inlineStr">
        <is>
          <t>Instrumentation</t>
        </is>
      </c>
      <c r="J5413" s="12" t="inlineStr">
        <is>
          <t>Instrumentation ITC / PLTC, IS, #18 shielded pairs, blue jacket</t>
        </is>
      </c>
      <c r="K5413" s="12" t="inlineStr">
        <is>
          <t>ITC|1 pr|16</t>
        </is>
      </c>
      <c r="L5413" s="12" t="inlineStr">
        <is>
          <t>1 pr</t>
        </is>
      </c>
      <c r="M5413" s="12" t="inlineStr">
        <is>
          <t>16</t>
        </is>
      </c>
      <c r="N5413" s="12" t="n">
        <v>12</v>
      </c>
      <c r="O5413" s="12" t="n">
        <v>1</v>
      </c>
      <c r="P5413" s="12" t="n"/>
      <c r="Q5413" s="12" t="n"/>
      <c r="R5413" s="12" t="n"/>
      <c r="S5413" s="12" t="inlineStr">
        <is>
          <t>Tray / conduit</t>
        </is>
      </c>
      <c r="T5413" s="17" t="n">
        <v>69</v>
      </c>
      <c r="U5413" s="17" t="n">
        <v>10</v>
      </c>
      <c r="V5413" s="17">
        <f>ROUNDUP((T5413+U5413+2*'Read Me'!$B$13)*(1+'Read Me'!$B$12),-1)</f>
        <v/>
      </c>
      <c r="W5413" s="17">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K-I-0006</t>
        </is>
      </c>
      <c r="B5414" s="12" t="inlineStr">
        <is>
          <t>K</t>
        </is>
      </c>
      <c r="C5414" s="12" t="inlineStr">
        <is>
          <t>Fuel supply (adjacent market)</t>
        </is>
      </c>
      <c r="D5414" s="12" t="inlineStr">
        <is>
          <t>Home run JB-H2 20: 13.8 kV e-h-AI01 to the control / marshalling room</t>
        </is>
      </c>
      <c r="E5414" s="12" t="inlineStr"/>
      <c r="F5414" s="12" t="inlineStr">
        <is>
          <t>H2 20: 13.8 kV e-house</t>
        </is>
      </c>
      <c r="G5414" s="12" t="inlineStr">
        <is>
          <t>JB-H2 20: 13.8 kV e-h-AI01</t>
        </is>
      </c>
      <c r="H5414" s="12" t="inlineStr">
        <is>
          <t>H2 20: 13.8 kV e-house</t>
        </is>
      </c>
      <c r="I5414" s="12" t="inlineStr">
        <is>
          <t>Instrumentation</t>
        </is>
      </c>
      <c r="J5414" s="12" t="inlineStr">
        <is>
          <t>Instrumentation ITC / PLTC, IS, #18 shielded pairs, blue jacket</t>
        </is>
      </c>
      <c r="K5414" s="12" t="inlineStr">
        <is>
          <t>ITC|24 pr|18</t>
        </is>
      </c>
      <c r="L5414" s="12" t="inlineStr">
        <is>
          <t>24 pr</t>
        </is>
      </c>
      <c r="M5414" s="12" t="inlineStr">
        <is>
          <t>18</t>
        </is>
      </c>
      <c r="N5414" s="12" t="n">
        <v>1</v>
      </c>
      <c r="O5414" s="12" t="n">
        <v>1</v>
      </c>
      <c r="P5414" s="12" t="n"/>
      <c r="Q5414" s="12" t="n"/>
      <c r="R5414" s="12" t="n"/>
      <c r="S5414" s="12" t="inlineStr">
        <is>
          <t>Tray</t>
        </is>
      </c>
      <c r="T5414" s="17" t="n">
        <v>0</v>
      </c>
      <c r="U5414" s="17" t="n">
        <v>32</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K-I-0007</t>
        </is>
      </c>
      <c r="B5415" s="12" t="inlineStr">
        <is>
          <t>K</t>
        </is>
      </c>
      <c r="C5415" s="12" t="inlineStr">
        <is>
          <t>Fuel supply (adjacent market)</t>
        </is>
      </c>
      <c r="D5415" s="12" t="inlineStr">
        <is>
          <t>Discrete device to JB JB-H2 20: 13.8 kV e-h-DI01: 12 x 1 pr (field cables)</t>
        </is>
      </c>
      <c r="E5415" s="12" t="inlineStr"/>
      <c r="F5415" s="12" t="inlineStr">
        <is>
          <t>H2 20: 13.8 kV e-house</t>
        </is>
      </c>
      <c r="G5415" s="12" t="inlineStr">
        <is>
          <t>JB-H2 20: 13.8 kV e-h-DI01</t>
        </is>
      </c>
      <c r="H5415" s="12" t="inlineStr">
        <is>
          <t>H2 20: 13.8 kV e-house</t>
        </is>
      </c>
      <c r="I5415" s="12" t="inlineStr">
        <is>
          <t>Instrumentation</t>
        </is>
      </c>
      <c r="J5415" s="12" t="inlineStr">
        <is>
          <t>Instrumentation ITC / PLTC, IS, #18 shielded pairs, blue jacket</t>
        </is>
      </c>
      <c r="K5415" s="12" t="inlineStr">
        <is>
          <t>ITC|1 pr|16</t>
        </is>
      </c>
      <c r="L5415" s="12" t="inlineStr">
        <is>
          <t>1 pr</t>
        </is>
      </c>
      <c r="M5415" s="12" t="inlineStr">
        <is>
          <t>16</t>
        </is>
      </c>
      <c r="N5415" s="12" t="n">
        <v>12</v>
      </c>
      <c r="O5415" s="12" t="n">
        <v>1</v>
      </c>
      <c r="P5415" s="12" t="n"/>
      <c r="Q5415" s="12" t="n"/>
      <c r="R5415" s="12" t="n"/>
      <c r="S5415" s="12" t="inlineStr">
        <is>
          <t>Tray / conduit</t>
        </is>
      </c>
      <c r="T5415" s="17" t="n">
        <v>69</v>
      </c>
      <c r="U5415" s="17" t="n">
        <v>10</v>
      </c>
      <c r="V5415" s="17">
        <f>ROUNDUP((T5415+U5415+2*'Read Me'!$B$13)*(1+'Read Me'!$B$12),-1)</f>
        <v/>
      </c>
      <c r="W5415" s="17">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K-I-0008</t>
        </is>
      </c>
      <c r="B5416" s="12" t="inlineStr">
        <is>
          <t>K</t>
        </is>
      </c>
      <c r="C5416" s="12" t="inlineStr">
        <is>
          <t>Fuel supply (adjacent market)</t>
        </is>
      </c>
      <c r="D5416" s="12" t="inlineStr">
        <is>
          <t>Home run JB-H2 20: 13.8 kV e-h-DI01 to the control / marshalling room</t>
        </is>
      </c>
      <c r="E5416" s="12" t="inlineStr"/>
      <c r="F5416" s="12" t="inlineStr">
        <is>
          <t>H2 20: 13.8 kV e-house</t>
        </is>
      </c>
      <c r="G5416" s="12" t="inlineStr">
        <is>
          <t>JB-H2 20: 13.8 kV e-h-DI01</t>
        </is>
      </c>
      <c r="H5416" s="12" t="inlineStr">
        <is>
          <t>H2 20: 13.8 kV e-house</t>
        </is>
      </c>
      <c r="I5416" s="12" t="inlineStr">
        <is>
          <t>Instrumentation</t>
        </is>
      </c>
      <c r="J5416" s="12" t="inlineStr">
        <is>
          <t>Instrumentation ITC / PLTC, IS, #18 shielded pairs, blue jacket</t>
        </is>
      </c>
      <c r="K5416" s="12" t="inlineStr">
        <is>
          <t>ITC|24 pr|18</t>
        </is>
      </c>
      <c r="L5416" s="12" t="inlineStr">
        <is>
          <t>24 pr</t>
        </is>
      </c>
      <c r="M5416" s="12" t="inlineStr">
        <is>
          <t>18</t>
        </is>
      </c>
      <c r="N5416" s="12" t="n">
        <v>1</v>
      </c>
      <c r="O5416" s="12" t="n">
        <v>1</v>
      </c>
      <c r="P5416" s="12" t="n"/>
      <c r="Q5416" s="12" t="n"/>
      <c r="R5416" s="12" t="n"/>
      <c r="S5416" s="12" t="inlineStr">
        <is>
          <t>Tray</t>
        </is>
      </c>
      <c r="T5416" s="17" t="n">
        <v>0</v>
      </c>
      <c r="U5416" s="17" t="n">
        <v>32</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K-I-0009</t>
        </is>
      </c>
      <c r="B5417" s="12" t="inlineStr">
        <is>
          <t>K</t>
        </is>
      </c>
      <c r="C5417" s="12" t="inlineStr">
        <is>
          <t>Fuel supply (adjacent market)</t>
        </is>
      </c>
      <c r="D5417" s="12" t="inlineStr">
        <is>
          <t>Analog instrument to JB JB-H2 21: rectifier t-AI01: 12 x 1 pr (field cables)</t>
        </is>
      </c>
      <c r="E5417" s="12" t="inlineStr"/>
      <c r="F5417" s="12" t="inlineStr">
        <is>
          <t>H2 21: rectifier transformer 1 (7 MVA)</t>
        </is>
      </c>
      <c r="G5417" s="12" t="inlineStr">
        <is>
          <t>JB-H2 21: rectifier t-AI01</t>
        </is>
      </c>
      <c r="H5417" s="12" t="inlineStr">
        <is>
          <t>H2 21: rectifier transformer 1 (7 MVA)</t>
        </is>
      </c>
      <c r="I5417" s="12" t="inlineStr">
        <is>
          <t>Instrumentation</t>
        </is>
      </c>
      <c r="J5417" s="12" t="inlineStr">
        <is>
          <t>Instrumentation ITC / PLTC, IS, #18 shielded pairs, blue jacket</t>
        </is>
      </c>
      <c r="K5417" s="12" t="inlineStr">
        <is>
          <t>ITC|1 pr|16</t>
        </is>
      </c>
      <c r="L5417" s="12" t="inlineStr">
        <is>
          <t>1 pr</t>
        </is>
      </c>
      <c r="M5417" s="12" t="inlineStr">
        <is>
          <t>16</t>
        </is>
      </c>
      <c r="N5417" s="12" t="n">
        <v>12</v>
      </c>
      <c r="O5417" s="12" t="n">
        <v>1</v>
      </c>
      <c r="P5417" s="12" t="n"/>
      <c r="Q5417" s="12" t="n"/>
      <c r="R5417" s="12" t="n"/>
      <c r="S5417" s="12" t="inlineStr">
        <is>
          <t>Tray / conduit</t>
        </is>
      </c>
      <c r="T5417" s="17" t="n">
        <v>41</v>
      </c>
      <c r="U5417" s="17" t="n">
        <v>10</v>
      </c>
      <c r="V5417" s="17">
        <f>ROUNDUP((T5417+U5417+2*'Read Me'!$B$13)*(1+'Read Me'!$B$12),-1)</f>
        <v/>
      </c>
      <c r="W5417" s="17">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K-I-0010</t>
        </is>
      </c>
      <c r="B5418" s="12" t="inlineStr">
        <is>
          <t>K</t>
        </is>
      </c>
      <c r="C5418" s="12" t="inlineStr">
        <is>
          <t>Fuel supply (adjacent market)</t>
        </is>
      </c>
      <c r="D5418" s="12" t="inlineStr">
        <is>
          <t>Home run JB-H2 21: rectifier t-AI01 to the control / marshalling room</t>
        </is>
      </c>
      <c r="E5418" s="12" t="inlineStr"/>
      <c r="F5418" s="12" t="inlineStr">
        <is>
          <t>H2 20: 13.8 kV e-house</t>
        </is>
      </c>
      <c r="G5418" s="12" t="inlineStr">
        <is>
          <t>JB-H2 21: rectifier t-AI01</t>
        </is>
      </c>
      <c r="H5418" s="12" t="inlineStr">
        <is>
          <t>H2 21: rectifier transformer 1 (7 MVA)</t>
        </is>
      </c>
      <c r="I5418" s="12" t="inlineStr">
        <is>
          <t>Instrumentation</t>
        </is>
      </c>
      <c r="J5418" s="12" t="inlineStr">
        <is>
          <t>Instrumentation ITC / PLTC, IS, #18 shielded pairs, blue jacket</t>
        </is>
      </c>
      <c r="K5418" s="12" t="inlineStr">
        <is>
          <t>ITC|24 pr|18</t>
        </is>
      </c>
      <c r="L5418" s="12" t="inlineStr">
        <is>
          <t>24 pr</t>
        </is>
      </c>
      <c r="M5418" s="12" t="inlineStr">
        <is>
          <t>18</t>
        </is>
      </c>
      <c r="N5418" s="12" t="n">
        <v>1</v>
      </c>
      <c r="O5418" s="12" t="n">
        <v>1</v>
      </c>
      <c r="P5418" s="12" t="n"/>
      <c r="Q5418" s="12" t="n"/>
      <c r="R5418" s="12" t="n"/>
      <c r="S5418" s="12" t="inlineStr">
        <is>
          <t>Duct bank</t>
        </is>
      </c>
      <c r="T5418" s="17" t="n">
        <v>356</v>
      </c>
      <c r="U5418" s="17" t="n">
        <v>48</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K-I-0011</t>
        </is>
      </c>
      <c r="B5419" s="12" t="inlineStr">
        <is>
          <t>K</t>
        </is>
      </c>
      <c r="C5419" s="12" t="inlineStr">
        <is>
          <t>Fuel supply (adjacent market)</t>
        </is>
      </c>
      <c r="D5419" s="12" t="inlineStr">
        <is>
          <t>Discrete device to JB JB-H2 21: rectifier t-DI01: 12 x 1 pr (field cables)</t>
        </is>
      </c>
      <c r="E5419" s="12" t="inlineStr"/>
      <c r="F5419" s="12" t="inlineStr">
        <is>
          <t>H2 21: rectifier transformer 1 (7 MVA)</t>
        </is>
      </c>
      <c r="G5419" s="12" t="inlineStr">
        <is>
          <t>JB-H2 21: rectifier t-DI01</t>
        </is>
      </c>
      <c r="H5419" s="12" t="inlineStr">
        <is>
          <t>H2 21: rectifier transformer 1 (7 MVA)</t>
        </is>
      </c>
      <c r="I5419" s="12" t="inlineStr">
        <is>
          <t>Instrumentation</t>
        </is>
      </c>
      <c r="J5419" s="12" t="inlineStr">
        <is>
          <t>Instrumentation ITC / PLTC, IS, #18 shielded pairs, blue jacket</t>
        </is>
      </c>
      <c r="K5419" s="12" t="inlineStr">
        <is>
          <t>ITC|1 pr|16</t>
        </is>
      </c>
      <c r="L5419" s="12" t="inlineStr">
        <is>
          <t>1 pr</t>
        </is>
      </c>
      <c r="M5419" s="12" t="inlineStr">
        <is>
          <t>16</t>
        </is>
      </c>
      <c r="N5419" s="12" t="n">
        <v>12</v>
      </c>
      <c r="O5419" s="12" t="n">
        <v>1</v>
      </c>
      <c r="P5419" s="12" t="n"/>
      <c r="Q5419" s="12" t="n"/>
      <c r="R5419" s="12" t="n"/>
      <c r="S5419" s="12" t="inlineStr">
        <is>
          <t>Tray / conduit</t>
        </is>
      </c>
      <c r="T5419" s="17" t="n">
        <v>41</v>
      </c>
      <c r="U5419" s="17" t="n">
        <v>10</v>
      </c>
      <c r="V5419" s="17">
        <f>ROUNDUP((T5419+U5419+2*'Read Me'!$B$13)*(1+'Read Me'!$B$12),-1)</f>
        <v/>
      </c>
      <c r="W5419" s="17">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K-I-0012</t>
        </is>
      </c>
      <c r="B5420" s="12" t="inlineStr">
        <is>
          <t>K</t>
        </is>
      </c>
      <c r="C5420" s="12" t="inlineStr">
        <is>
          <t>Fuel supply (adjacent market)</t>
        </is>
      </c>
      <c r="D5420" s="12" t="inlineStr">
        <is>
          <t>Home run JB-H2 21: rectifier t-DI01 to the control / marshalling room</t>
        </is>
      </c>
      <c r="E5420" s="12" t="inlineStr"/>
      <c r="F5420" s="12" t="inlineStr">
        <is>
          <t>H2 20: 13.8 kV e-house</t>
        </is>
      </c>
      <c r="G5420" s="12" t="inlineStr">
        <is>
          <t>JB-H2 21: rectifier t-DI01</t>
        </is>
      </c>
      <c r="H5420" s="12" t="inlineStr">
        <is>
          <t>H2 21: rectifier transformer 1 (7 MVA)</t>
        </is>
      </c>
      <c r="I5420" s="12" t="inlineStr">
        <is>
          <t>Instrumentation</t>
        </is>
      </c>
      <c r="J5420" s="12" t="inlineStr">
        <is>
          <t>Instrumentation ITC / PLTC, IS, #18 shielded pairs, blue jacket</t>
        </is>
      </c>
      <c r="K5420" s="12" t="inlineStr">
        <is>
          <t>ITC|24 pr|18</t>
        </is>
      </c>
      <c r="L5420" s="12" t="inlineStr">
        <is>
          <t>24 pr</t>
        </is>
      </c>
      <c r="M5420" s="12" t="inlineStr">
        <is>
          <t>18</t>
        </is>
      </c>
      <c r="N5420" s="12" t="n">
        <v>1</v>
      </c>
      <c r="O5420" s="12" t="n">
        <v>1</v>
      </c>
      <c r="P5420" s="12" t="n"/>
      <c r="Q5420" s="12" t="n"/>
      <c r="R5420" s="12" t="n"/>
      <c r="S5420" s="12" t="inlineStr">
        <is>
          <t>Duct bank</t>
        </is>
      </c>
      <c r="T5420" s="17" t="n">
        <v>356</v>
      </c>
      <c r="U5420" s="17" t="n">
        <v>48</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K-I-0013</t>
        </is>
      </c>
      <c r="B5421" s="12" t="inlineStr">
        <is>
          <t>K</t>
        </is>
      </c>
      <c r="C5421" s="12" t="inlineStr">
        <is>
          <t>Fuel supply (adjacent market)</t>
        </is>
      </c>
      <c r="D5421" s="12" t="inlineStr">
        <is>
          <t>Analog instrument to JB JB-H2 21: rectifier t-AI01: 12 x 1 pr (field cables)</t>
        </is>
      </c>
      <c r="E5421" s="12" t="inlineStr"/>
      <c r="F5421" s="12" t="inlineStr">
        <is>
          <t>H2 21: rectifier transformer 2 (7 MVA)</t>
        </is>
      </c>
      <c r="G5421" s="12" t="inlineStr">
        <is>
          <t>JB-H2 21: rectifier t-AI01</t>
        </is>
      </c>
      <c r="H5421" s="12" t="inlineStr">
        <is>
          <t>H2 21: rectifier transformer 2 (7 MVA)</t>
        </is>
      </c>
      <c r="I5421" s="12" t="inlineStr">
        <is>
          <t>Instrumentation</t>
        </is>
      </c>
      <c r="J5421" s="12" t="inlineStr">
        <is>
          <t>Instrumentation ITC / PLTC, IS, #18 shielded pairs, blue jacket</t>
        </is>
      </c>
      <c r="K5421" s="12" t="inlineStr">
        <is>
          <t>ITC|1 pr|16</t>
        </is>
      </c>
      <c r="L5421" s="12" t="inlineStr">
        <is>
          <t>1 pr</t>
        </is>
      </c>
      <c r="M5421" s="12" t="inlineStr">
        <is>
          <t>16</t>
        </is>
      </c>
      <c r="N5421" s="12" t="n">
        <v>12</v>
      </c>
      <c r="O5421" s="12" t="n">
        <v>1</v>
      </c>
      <c r="P5421" s="12" t="n"/>
      <c r="Q5421" s="12" t="n"/>
      <c r="R5421" s="12" t="n"/>
      <c r="S5421" s="12" t="inlineStr">
        <is>
          <t>Tray / conduit</t>
        </is>
      </c>
      <c r="T5421" s="17" t="n">
        <v>41</v>
      </c>
      <c r="U5421" s="17" t="n">
        <v>10</v>
      </c>
      <c r="V5421" s="17">
        <f>ROUNDUP((T5421+U5421+2*'Read Me'!$B$13)*(1+'Read Me'!$B$12),-1)</f>
        <v/>
      </c>
      <c r="W5421" s="17">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K-I-0014</t>
        </is>
      </c>
      <c r="B5422" s="12" t="inlineStr">
        <is>
          <t>K</t>
        </is>
      </c>
      <c r="C5422" s="12" t="inlineStr">
        <is>
          <t>Fuel supply (adjacent market)</t>
        </is>
      </c>
      <c r="D5422" s="12" t="inlineStr">
        <is>
          <t>Home run JB-H2 21: rectifier t-AI01 to the control / marshalling room</t>
        </is>
      </c>
      <c r="E5422" s="12" t="inlineStr"/>
      <c r="F5422" s="12" t="inlineStr">
        <is>
          <t>H2 20: 13.8 kV e-house</t>
        </is>
      </c>
      <c r="G5422" s="12" t="inlineStr">
        <is>
          <t>JB-H2 21: rectifier t-AI01</t>
        </is>
      </c>
      <c r="H5422" s="12" t="inlineStr">
        <is>
          <t>H2 21: rectifier transformer 2 (7 MVA)</t>
        </is>
      </c>
      <c r="I5422" s="12" t="inlineStr">
        <is>
          <t>Instrumentation</t>
        </is>
      </c>
      <c r="J5422" s="12" t="inlineStr">
        <is>
          <t>Instrumentation ITC / PLTC, IS, #18 shielded pairs, blue jacket</t>
        </is>
      </c>
      <c r="K5422" s="12" t="inlineStr">
        <is>
          <t>ITC|24 pr|18</t>
        </is>
      </c>
      <c r="L5422" s="12" t="inlineStr">
        <is>
          <t>24 pr</t>
        </is>
      </c>
      <c r="M5422" s="12" t="inlineStr">
        <is>
          <t>18</t>
        </is>
      </c>
      <c r="N5422" s="12" t="n">
        <v>1</v>
      </c>
      <c r="O5422" s="12" t="n">
        <v>1</v>
      </c>
      <c r="P5422" s="12" t="n"/>
      <c r="Q5422" s="12" t="n"/>
      <c r="R5422" s="12" t="n"/>
      <c r="S5422" s="12" t="inlineStr">
        <is>
          <t>Duct bank</t>
        </is>
      </c>
      <c r="T5422" s="17" t="n">
        <v>356</v>
      </c>
      <c r="U5422" s="17" t="n">
        <v>32</v>
      </c>
      <c r="V5422" s="17">
        <f>ROUNDUP((T5422+U5422+2*'Read Me'!$B$13)*(1+'Read Me'!$B$12),-1)</f>
        <v/>
      </c>
      <c r="W5422" s="17">
        <f>V5422*N5422*O5422</f>
        <v/>
      </c>
      <c r="X5422" s="12">
        <f>IF(LEFT(I5422,2)="MV",2*N5422*IF(L5422="1/C",O5422,1),0)</f>
        <v/>
      </c>
      <c r="Y5422" s="12">
        <f>IF(OR(LEFT(K5422,4)="LVAX",LEFT(K5422,6)="MV15AX",LEFT(K5422,4)="CTAX",LEFT(K5422,2)="W|"),2*N5422*O5422,0)</f>
        <v/>
      </c>
      <c r="Z5422" s="12" t="inlineStr"/>
      <c r="AA5422" s="12">
        <f>N5422*O5422</f>
        <v/>
      </c>
    </row>
    <row r="5423">
      <c r="A5423" s="12" t="inlineStr">
        <is>
          <t>K-I-0015</t>
        </is>
      </c>
      <c r="B5423" s="12" t="inlineStr">
        <is>
          <t>K</t>
        </is>
      </c>
      <c r="C5423" s="12" t="inlineStr">
        <is>
          <t>Fuel supply (adjacent market)</t>
        </is>
      </c>
      <c r="D5423" s="12" t="inlineStr">
        <is>
          <t>Discrete device to JB JB-H2 21: rectifier t-DI01: 12 x 1 pr (field cables)</t>
        </is>
      </c>
      <c r="E5423" s="12" t="inlineStr"/>
      <c r="F5423" s="12" t="inlineStr">
        <is>
          <t>H2 21: rectifier transformer 2 (7 MVA)</t>
        </is>
      </c>
      <c r="G5423" s="12" t="inlineStr">
        <is>
          <t>JB-H2 21: rectifier t-DI01</t>
        </is>
      </c>
      <c r="H5423" s="12" t="inlineStr">
        <is>
          <t>H2 21: rectifier transformer 2 (7 MVA)</t>
        </is>
      </c>
      <c r="I5423" s="12" t="inlineStr">
        <is>
          <t>Instrumentation</t>
        </is>
      </c>
      <c r="J5423" s="12" t="inlineStr">
        <is>
          <t>Instrumentation ITC / PLTC, IS, #18 shielded pairs, blue jacket</t>
        </is>
      </c>
      <c r="K5423" s="12" t="inlineStr">
        <is>
          <t>ITC|1 pr|16</t>
        </is>
      </c>
      <c r="L5423" s="12" t="inlineStr">
        <is>
          <t>1 pr</t>
        </is>
      </c>
      <c r="M5423" s="12" t="inlineStr">
        <is>
          <t>16</t>
        </is>
      </c>
      <c r="N5423" s="12" t="n">
        <v>12</v>
      </c>
      <c r="O5423" s="12" t="n">
        <v>1</v>
      </c>
      <c r="P5423" s="12" t="n"/>
      <c r="Q5423" s="12" t="n"/>
      <c r="R5423" s="12" t="n"/>
      <c r="S5423" s="12" t="inlineStr">
        <is>
          <t>Tray / conduit</t>
        </is>
      </c>
      <c r="T5423" s="17" t="n">
        <v>41</v>
      </c>
      <c r="U5423" s="17" t="n">
        <v>10</v>
      </c>
      <c r="V5423" s="17">
        <f>ROUNDUP((T5423+U5423+2*'Read Me'!$B$13)*(1+'Read Me'!$B$12),-1)</f>
        <v/>
      </c>
      <c r="W5423" s="17">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K-I-0016</t>
        </is>
      </c>
      <c r="B5424" s="12" t="inlineStr">
        <is>
          <t>K</t>
        </is>
      </c>
      <c r="C5424" s="12" t="inlineStr">
        <is>
          <t>Fuel supply (adjacent market)</t>
        </is>
      </c>
      <c r="D5424" s="12" t="inlineStr">
        <is>
          <t>Home run JB-H2 21: rectifier t-DI01 to the control / marshalling room</t>
        </is>
      </c>
      <c r="E5424" s="12" t="inlineStr"/>
      <c r="F5424" s="12" t="inlineStr">
        <is>
          <t>H2 20: 13.8 kV e-house</t>
        </is>
      </c>
      <c r="G5424" s="12" t="inlineStr">
        <is>
          <t>JB-H2 21: rectifier t-DI01</t>
        </is>
      </c>
      <c r="H5424" s="12" t="inlineStr">
        <is>
          <t>H2 21: rectifier transformer 2 (7 MVA)</t>
        </is>
      </c>
      <c r="I5424" s="12" t="inlineStr">
        <is>
          <t>Instrumentation</t>
        </is>
      </c>
      <c r="J5424" s="12" t="inlineStr">
        <is>
          <t>Instrumentation ITC / PLTC, IS, #18 shielded pairs, blue jacket</t>
        </is>
      </c>
      <c r="K5424" s="12" t="inlineStr">
        <is>
          <t>ITC|24 pr|18</t>
        </is>
      </c>
      <c r="L5424" s="12" t="inlineStr">
        <is>
          <t>24 pr</t>
        </is>
      </c>
      <c r="M5424" s="12" t="inlineStr">
        <is>
          <t>18</t>
        </is>
      </c>
      <c r="N5424" s="12" t="n">
        <v>1</v>
      </c>
      <c r="O5424" s="12" t="n">
        <v>1</v>
      </c>
      <c r="P5424" s="12" t="n"/>
      <c r="Q5424" s="12" t="n"/>
      <c r="R5424" s="12" t="n"/>
      <c r="S5424" s="12" t="inlineStr">
        <is>
          <t>Duct bank</t>
        </is>
      </c>
      <c r="T5424" s="17" t="n">
        <v>356</v>
      </c>
      <c r="U5424" s="17" t="n">
        <v>32</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K-I-0017</t>
        </is>
      </c>
      <c r="B5425" s="12" t="inlineStr">
        <is>
          <t>K</t>
        </is>
      </c>
      <c r="C5425" s="12" t="inlineStr">
        <is>
          <t>Fuel supply (adjacent market)</t>
        </is>
      </c>
      <c r="D5425" s="12" t="inlineStr">
        <is>
          <t>Analog instrument to JB JB-H2 21: rectifier t-AI01: 12 x 1 pr (field cables)</t>
        </is>
      </c>
      <c r="E5425" s="12" t="inlineStr"/>
      <c r="F5425" s="12" t="inlineStr">
        <is>
          <t>H2 21: rectifier transformer 3 (7 MVA)</t>
        </is>
      </c>
      <c r="G5425" s="12" t="inlineStr">
        <is>
          <t>JB-H2 21: rectifier t-AI01</t>
        </is>
      </c>
      <c r="H5425" s="12" t="inlineStr">
        <is>
          <t>H2 21: rectifier transformer 3 (7 MVA)</t>
        </is>
      </c>
      <c r="I5425" s="12" t="inlineStr">
        <is>
          <t>Instrumentation</t>
        </is>
      </c>
      <c r="J5425" s="12" t="inlineStr">
        <is>
          <t>Instrumentation ITC / PLTC, IS, #18 shielded pairs, blue jacket</t>
        </is>
      </c>
      <c r="K5425" s="12" t="inlineStr">
        <is>
          <t>ITC|1 pr|16</t>
        </is>
      </c>
      <c r="L5425" s="12" t="inlineStr">
        <is>
          <t>1 pr</t>
        </is>
      </c>
      <c r="M5425" s="12" t="inlineStr">
        <is>
          <t>16</t>
        </is>
      </c>
      <c r="N5425" s="12" t="n">
        <v>12</v>
      </c>
      <c r="O5425" s="12" t="n">
        <v>1</v>
      </c>
      <c r="P5425" s="12" t="n"/>
      <c r="Q5425" s="12" t="n"/>
      <c r="R5425" s="12" t="n"/>
      <c r="S5425" s="12" t="inlineStr">
        <is>
          <t>Tray / conduit</t>
        </is>
      </c>
      <c r="T5425" s="17" t="n">
        <v>41</v>
      </c>
      <c r="U5425" s="17" t="n">
        <v>10</v>
      </c>
      <c r="V5425" s="17">
        <f>ROUNDUP((T5425+U5425+2*'Read Me'!$B$13)*(1+'Read Me'!$B$12),-1)</f>
        <v/>
      </c>
      <c r="W5425" s="17">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K-I-0018</t>
        </is>
      </c>
      <c r="B5426" s="12" t="inlineStr">
        <is>
          <t>K</t>
        </is>
      </c>
      <c r="C5426" s="12" t="inlineStr">
        <is>
          <t>Fuel supply (adjacent market)</t>
        </is>
      </c>
      <c r="D5426" s="12" t="inlineStr">
        <is>
          <t>Home run JB-H2 21: rectifier t-AI01 to the control / marshalling room</t>
        </is>
      </c>
      <c r="E5426" s="12" t="inlineStr"/>
      <c r="F5426" s="12" t="inlineStr">
        <is>
          <t>H2 20: 13.8 kV e-house</t>
        </is>
      </c>
      <c r="G5426" s="12" t="inlineStr">
        <is>
          <t>JB-H2 21: rectifier t-AI01</t>
        </is>
      </c>
      <c r="H5426" s="12" t="inlineStr">
        <is>
          <t>H2 21: rectifier transformer 3 (7 MVA)</t>
        </is>
      </c>
      <c r="I5426" s="12" t="inlineStr">
        <is>
          <t>Instrumentation</t>
        </is>
      </c>
      <c r="J5426" s="12" t="inlineStr">
        <is>
          <t>Instrumentation ITC / PLTC, IS, #18 shielded pairs, blue jacket</t>
        </is>
      </c>
      <c r="K5426" s="12" t="inlineStr">
        <is>
          <t>ITC|24 pr|18</t>
        </is>
      </c>
      <c r="L5426" s="12" t="inlineStr">
        <is>
          <t>24 pr</t>
        </is>
      </c>
      <c r="M5426" s="12" t="inlineStr">
        <is>
          <t>18</t>
        </is>
      </c>
      <c r="N5426" s="12" t="n">
        <v>1</v>
      </c>
      <c r="O5426" s="12" t="n">
        <v>1</v>
      </c>
      <c r="P5426" s="12" t="n"/>
      <c r="Q5426" s="12" t="n"/>
      <c r="R5426" s="12" t="n"/>
      <c r="S5426" s="12" t="inlineStr">
        <is>
          <t>Duct bank</t>
        </is>
      </c>
      <c r="T5426" s="17" t="n">
        <v>334</v>
      </c>
      <c r="U5426" s="17" t="n">
        <v>32</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K-I-0019</t>
        </is>
      </c>
      <c r="B5427" s="12" t="inlineStr">
        <is>
          <t>K</t>
        </is>
      </c>
      <c r="C5427" s="12" t="inlineStr">
        <is>
          <t>Fuel supply (adjacent market)</t>
        </is>
      </c>
      <c r="D5427" s="12" t="inlineStr">
        <is>
          <t>Discrete device to JB JB-H2 21: rectifier t-DI01: 12 x 1 pr (field cables)</t>
        </is>
      </c>
      <c r="E5427" s="12" t="inlineStr"/>
      <c r="F5427" s="12" t="inlineStr">
        <is>
          <t>H2 21: rectifier transformer 3 (7 MVA)</t>
        </is>
      </c>
      <c r="G5427" s="12" t="inlineStr">
        <is>
          <t>JB-H2 21: rectifier t-DI01</t>
        </is>
      </c>
      <c r="H5427" s="12" t="inlineStr">
        <is>
          <t>H2 21: rectifier transformer 3 (7 MVA)</t>
        </is>
      </c>
      <c r="I5427" s="12" t="inlineStr">
        <is>
          <t>Instrumentation</t>
        </is>
      </c>
      <c r="J5427" s="12" t="inlineStr">
        <is>
          <t>Instrumentation ITC / PLTC, IS, #18 shielded pairs, blue jacket</t>
        </is>
      </c>
      <c r="K5427" s="12" t="inlineStr">
        <is>
          <t>ITC|1 pr|16</t>
        </is>
      </c>
      <c r="L5427" s="12" t="inlineStr">
        <is>
          <t>1 pr</t>
        </is>
      </c>
      <c r="M5427" s="12" t="inlineStr">
        <is>
          <t>16</t>
        </is>
      </c>
      <c r="N5427" s="12" t="n">
        <v>12</v>
      </c>
      <c r="O5427" s="12" t="n">
        <v>1</v>
      </c>
      <c r="P5427" s="12" t="n"/>
      <c r="Q5427" s="12" t="n"/>
      <c r="R5427" s="12" t="n"/>
      <c r="S5427" s="12" t="inlineStr">
        <is>
          <t>Tray / conduit</t>
        </is>
      </c>
      <c r="T5427" s="17" t="n">
        <v>41</v>
      </c>
      <c r="U5427" s="17" t="n">
        <v>10</v>
      </c>
      <c r="V5427" s="17">
        <f>ROUNDUP((T5427+U5427+2*'Read Me'!$B$13)*(1+'Read Me'!$B$12),-1)</f>
        <v/>
      </c>
      <c r="W5427" s="17">
        <f>V5427*N5427*O5427</f>
        <v/>
      </c>
      <c r="X5427" s="12">
        <f>IF(LEFT(I5427,2)="MV",2*N5427*IF(L5427="1/C",O5427,1),0)</f>
        <v/>
      </c>
      <c r="Y5427" s="12">
        <f>IF(OR(LEFT(K5427,4)="LVAX",LEFT(K5427,6)="MV15AX",LEFT(K5427,4)="CTAX",LEFT(K5427,2)="W|"),2*N5427*O5427,0)</f>
        <v/>
      </c>
      <c r="Z5427" s="12" t="inlineStr">
        <is>
          <t>device-to-JB field wiring, one cable per device</t>
        </is>
      </c>
      <c r="AA5427" s="12">
        <f>N5427*O5427</f>
        <v/>
      </c>
    </row>
    <row r="5428">
      <c r="A5428" s="12" t="inlineStr">
        <is>
          <t>K-I-0020</t>
        </is>
      </c>
      <c r="B5428" s="12" t="inlineStr">
        <is>
          <t>K</t>
        </is>
      </c>
      <c r="C5428" s="12" t="inlineStr">
        <is>
          <t>Fuel supply (adjacent market)</t>
        </is>
      </c>
      <c r="D5428" s="12" t="inlineStr">
        <is>
          <t>Home run JB-H2 21: rectifier t-DI01 to the control / marshalling room</t>
        </is>
      </c>
      <c r="E5428" s="12" t="inlineStr"/>
      <c r="F5428" s="12" t="inlineStr">
        <is>
          <t>H2 20: 13.8 kV e-house</t>
        </is>
      </c>
      <c r="G5428" s="12" t="inlineStr">
        <is>
          <t>JB-H2 21: rectifier t-DI01</t>
        </is>
      </c>
      <c r="H5428" s="12" t="inlineStr">
        <is>
          <t>H2 21: rectifier transformer 3 (7 MVA)</t>
        </is>
      </c>
      <c r="I5428" s="12" t="inlineStr">
        <is>
          <t>Instrumentation</t>
        </is>
      </c>
      <c r="J5428" s="12" t="inlineStr">
        <is>
          <t>Instrumentation ITC / PLTC, IS, #18 shielded pairs, blue jacket</t>
        </is>
      </c>
      <c r="K5428" s="12" t="inlineStr">
        <is>
          <t>ITC|24 pr|18</t>
        </is>
      </c>
      <c r="L5428" s="12" t="inlineStr">
        <is>
          <t>24 pr</t>
        </is>
      </c>
      <c r="M5428" s="12" t="inlineStr">
        <is>
          <t>18</t>
        </is>
      </c>
      <c r="N5428" s="12" t="n">
        <v>1</v>
      </c>
      <c r="O5428" s="12" t="n">
        <v>1</v>
      </c>
      <c r="P5428" s="12" t="n"/>
      <c r="Q5428" s="12" t="n"/>
      <c r="R5428" s="12" t="n"/>
      <c r="S5428" s="12" t="inlineStr">
        <is>
          <t>Duct bank</t>
        </is>
      </c>
      <c r="T5428" s="17" t="n">
        <v>334</v>
      </c>
      <c r="U5428" s="17" t="n">
        <v>32</v>
      </c>
      <c r="V5428" s="17">
        <f>ROUNDUP((T5428+U5428+2*'Read Me'!$B$13)*(1+'Read Me'!$B$12),-1)</f>
        <v/>
      </c>
      <c r="W5428" s="17">
        <f>V5428*N5428*O5428</f>
        <v/>
      </c>
      <c r="X5428" s="12">
        <f>IF(LEFT(I5428,2)="MV",2*N5428*IF(L5428="1/C",O5428,1),0)</f>
        <v/>
      </c>
      <c r="Y5428" s="12">
        <f>IF(OR(LEFT(K5428,4)="LVAX",LEFT(K5428,6)="MV15AX",LEFT(K5428,4)="CTAX",LEFT(K5428,2)="W|"),2*N5428*O5428,0)</f>
        <v/>
      </c>
      <c r="Z5428" s="12" t="inlineStr"/>
      <c r="AA5428" s="12">
        <f>N5428*O5428</f>
        <v/>
      </c>
    </row>
    <row r="5429">
      <c r="A5429" s="12" t="inlineStr">
        <is>
          <t>K-I-0021</t>
        </is>
      </c>
      <c r="B5429" s="12" t="inlineStr">
        <is>
          <t>K</t>
        </is>
      </c>
      <c r="C5429" s="12" t="inlineStr">
        <is>
          <t>Fuel supply (adjacent market)</t>
        </is>
      </c>
      <c r="D5429" s="12" t="inlineStr">
        <is>
          <t>Analog instrument to JB JB-H2 21: rectifier t-AI01: 12 x 1 pr (field cables)</t>
        </is>
      </c>
      <c r="E5429" s="12" t="inlineStr"/>
      <c r="F5429" s="12" t="inlineStr">
        <is>
          <t>H2 21: rectifier transformer 4 (7 MVA)</t>
        </is>
      </c>
      <c r="G5429" s="12" t="inlineStr">
        <is>
          <t>JB-H2 21: rectifier t-AI01</t>
        </is>
      </c>
      <c r="H5429" s="12" t="inlineStr">
        <is>
          <t>H2 21: rectifier transformer 4 (7 MVA)</t>
        </is>
      </c>
      <c r="I5429" s="12" t="inlineStr">
        <is>
          <t>Instrumentation</t>
        </is>
      </c>
      <c r="J5429" s="12" t="inlineStr">
        <is>
          <t>Instrumentation ITC / PLTC, IS, #18 shielded pairs, blue jacket</t>
        </is>
      </c>
      <c r="K5429" s="12" t="inlineStr">
        <is>
          <t>ITC|1 pr|16</t>
        </is>
      </c>
      <c r="L5429" s="12" t="inlineStr">
        <is>
          <t>1 pr</t>
        </is>
      </c>
      <c r="M5429" s="12" t="inlineStr">
        <is>
          <t>16</t>
        </is>
      </c>
      <c r="N5429" s="12" t="n">
        <v>12</v>
      </c>
      <c r="O5429" s="12" t="n">
        <v>1</v>
      </c>
      <c r="P5429" s="12" t="n"/>
      <c r="Q5429" s="12" t="n"/>
      <c r="R5429" s="12" t="n"/>
      <c r="S5429" s="12" t="inlineStr">
        <is>
          <t>Tray / conduit</t>
        </is>
      </c>
      <c r="T5429" s="17" t="n">
        <v>41</v>
      </c>
      <c r="U5429" s="17" t="n">
        <v>10</v>
      </c>
      <c r="V5429" s="17">
        <f>ROUNDUP((T5429+U5429+2*'Read Me'!$B$13)*(1+'Read Me'!$B$12),-1)</f>
        <v/>
      </c>
      <c r="W5429" s="17">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K-I-0022</t>
        </is>
      </c>
      <c r="B5430" s="12" t="inlineStr">
        <is>
          <t>K</t>
        </is>
      </c>
      <c r="C5430" s="12" t="inlineStr">
        <is>
          <t>Fuel supply (adjacent market)</t>
        </is>
      </c>
      <c r="D5430" s="12" t="inlineStr">
        <is>
          <t>Home run JB-H2 21: rectifier t-AI01 to the control / marshalling room</t>
        </is>
      </c>
      <c r="E5430" s="12" t="inlineStr"/>
      <c r="F5430" s="12" t="inlineStr">
        <is>
          <t>H2 20: 13.8 kV e-house</t>
        </is>
      </c>
      <c r="G5430" s="12" t="inlineStr">
        <is>
          <t>JB-H2 21: rectifier t-AI01</t>
        </is>
      </c>
      <c r="H5430" s="12" t="inlineStr">
        <is>
          <t>H2 21: rectifier transformer 4 (7 MVA)</t>
        </is>
      </c>
      <c r="I5430" s="12" t="inlineStr">
        <is>
          <t>Instrumentation</t>
        </is>
      </c>
      <c r="J5430" s="12" t="inlineStr">
        <is>
          <t>Instrumentation ITC / PLTC, IS, #18 shielded pairs, blue jacket</t>
        </is>
      </c>
      <c r="K5430" s="12" t="inlineStr">
        <is>
          <t>ITC|24 pr|18</t>
        </is>
      </c>
      <c r="L5430" s="12" t="inlineStr">
        <is>
          <t>24 pr</t>
        </is>
      </c>
      <c r="M5430" s="12" t="inlineStr">
        <is>
          <t>18</t>
        </is>
      </c>
      <c r="N5430" s="12" t="n">
        <v>1</v>
      </c>
      <c r="O5430" s="12" t="n">
        <v>1</v>
      </c>
      <c r="P5430" s="12" t="n"/>
      <c r="Q5430" s="12" t="n"/>
      <c r="R5430" s="12" t="n"/>
      <c r="S5430" s="12" t="inlineStr">
        <is>
          <t>Duct bank</t>
        </is>
      </c>
      <c r="T5430" s="17" t="n">
        <v>312</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K-I-0023</t>
        </is>
      </c>
      <c r="B5431" s="12" t="inlineStr">
        <is>
          <t>K</t>
        </is>
      </c>
      <c r="C5431" s="12" t="inlineStr">
        <is>
          <t>Fuel supply (adjacent market)</t>
        </is>
      </c>
      <c r="D5431" s="12" t="inlineStr">
        <is>
          <t>Discrete device to JB JB-H2 21: rectifier t-DI01: 12 x 1 pr (field cables)</t>
        </is>
      </c>
      <c r="E5431" s="12" t="inlineStr"/>
      <c r="F5431" s="12" t="inlineStr">
        <is>
          <t>H2 21: rectifier transformer 4 (7 MVA)</t>
        </is>
      </c>
      <c r="G5431" s="12" t="inlineStr">
        <is>
          <t>JB-H2 21: rectifier t-DI01</t>
        </is>
      </c>
      <c r="H5431" s="12" t="inlineStr">
        <is>
          <t>H2 21: rectifier transformer 4 (7 MVA)</t>
        </is>
      </c>
      <c r="I5431" s="12" t="inlineStr">
        <is>
          <t>Instrumentation</t>
        </is>
      </c>
      <c r="J5431" s="12" t="inlineStr">
        <is>
          <t>Instrumentation ITC / PLTC, IS, #18 shielded pairs, blue jacket</t>
        </is>
      </c>
      <c r="K5431" s="12" t="inlineStr">
        <is>
          <t>ITC|1 pr|16</t>
        </is>
      </c>
      <c r="L5431" s="12" t="inlineStr">
        <is>
          <t>1 pr</t>
        </is>
      </c>
      <c r="M5431" s="12" t="inlineStr">
        <is>
          <t>16</t>
        </is>
      </c>
      <c r="N5431" s="12" t="n">
        <v>12</v>
      </c>
      <c r="O5431" s="12" t="n">
        <v>1</v>
      </c>
      <c r="P5431" s="12" t="n"/>
      <c r="Q5431" s="12" t="n"/>
      <c r="R5431" s="12" t="n"/>
      <c r="S5431" s="12" t="inlineStr">
        <is>
          <t>Tray / conduit</t>
        </is>
      </c>
      <c r="T5431" s="17" t="n">
        <v>41</v>
      </c>
      <c r="U5431" s="17" t="n">
        <v>10</v>
      </c>
      <c r="V5431" s="17">
        <f>ROUNDUP((T5431+U5431+2*'Read Me'!$B$13)*(1+'Read Me'!$B$12),-1)</f>
        <v/>
      </c>
      <c r="W5431" s="17">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K-I-0024</t>
        </is>
      </c>
      <c r="B5432" s="12" t="inlineStr">
        <is>
          <t>K</t>
        </is>
      </c>
      <c r="C5432" s="12" t="inlineStr">
        <is>
          <t>Fuel supply (adjacent market)</t>
        </is>
      </c>
      <c r="D5432" s="12" t="inlineStr">
        <is>
          <t>Home run JB-H2 21: rectifier t-DI01 to the control / marshalling room</t>
        </is>
      </c>
      <c r="E5432" s="12" t="inlineStr"/>
      <c r="F5432" s="12" t="inlineStr">
        <is>
          <t>H2 20: 13.8 kV e-house</t>
        </is>
      </c>
      <c r="G5432" s="12" t="inlineStr">
        <is>
          <t>JB-H2 21: rectifier t-DI01</t>
        </is>
      </c>
      <c r="H5432" s="12" t="inlineStr">
        <is>
          <t>H2 21: rectifier transformer 4 (7 MVA)</t>
        </is>
      </c>
      <c r="I5432" s="12" t="inlineStr">
        <is>
          <t>Instrumentation</t>
        </is>
      </c>
      <c r="J5432" s="12" t="inlineStr">
        <is>
          <t>Instrumentation ITC / PLTC, IS, #18 shielded pairs, blue jacket</t>
        </is>
      </c>
      <c r="K5432" s="12" t="inlineStr">
        <is>
          <t>ITC|24 pr|18</t>
        </is>
      </c>
      <c r="L5432" s="12" t="inlineStr">
        <is>
          <t>24 pr</t>
        </is>
      </c>
      <c r="M5432" s="12" t="inlineStr">
        <is>
          <t>18</t>
        </is>
      </c>
      <c r="N5432" s="12" t="n">
        <v>1</v>
      </c>
      <c r="O5432" s="12" t="n">
        <v>1</v>
      </c>
      <c r="P5432" s="12" t="n"/>
      <c r="Q5432" s="12" t="n"/>
      <c r="R5432" s="12" t="n"/>
      <c r="S5432" s="12" t="inlineStr">
        <is>
          <t>Duct bank</t>
        </is>
      </c>
      <c r="T5432" s="17" t="n">
        <v>312</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c r="AA5432" s="12">
        <f>N5432*O5432</f>
        <v/>
      </c>
    </row>
    <row r="5433">
      <c r="A5433" s="12" t="inlineStr">
        <is>
          <t>K-I-0025</t>
        </is>
      </c>
      <c r="B5433" s="12" t="inlineStr">
        <is>
          <t>K</t>
        </is>
      </c>
      <c r="C5433" s="12" t="inlineStr">
        <is>
          <t>Fuel supply (adjacent market)</t>
        </is>
      </c>
      <c r="D5433" s="12" t="inlineStr">
        <is>
          <t>Analog instrument to JB JB-H2 21: rectifier t-AI01: 12 x 1 pr (field cables)</t>
        </is>
      </c>
      <c r="E5433" s="12" t="inlineStr"/>
      <c r="F5433" s="12" t="inlineStr">
        <is>
          <t>H2 21: rectifier transformer 5 (7 MVA)</t>
        </is>
      </c>
      <c r="G5433" s="12" t="inlineStr">
        <is>
          <t>JB-H2 21: rectifier t-AI01</t>
        </is>
      </c>
      <c r="H5433" s="12" t="inlineStr">
        <is>
          <t>H2 21: rectifier transformer 5 (7 MVA)</t>
        </is>
      </c>
      <c r="I5433" s="12" t="inlineStr">
        <is>
          <t>Instrumentation</t>
        </is>
      </c>
      <c r="J5433" s="12" t="inlineStr">
        <is>
          <t>Instrumentation ITC / PLTC, IS, #18 shielded pairs, blue jacket</t>
        </is>
      </c>
      <c r="K5433" s="12" t="inlineStr">
        <is>
          <t>ITC|1 pr|16</t>
        </is>
      </c>
      <c r="L5433" s="12" t="inlineStr">
        <is>
          <t>1 pr</t>
        </is>
      </c>
      <c r="M5433" s="12" t="inlineStr">
        <is>
          <t>16</t>
        </is>
      </c>
      <c r="N5433" s="12" t="n">
        <v>12</v>
      </c>
      <c r="O5433" s="12" t="n">
        <v>1</v>
      </c>
      <c r="P5433" s="12" t="n"/>
      <c r="Q5433" s="12" t="n"/>
      <c r="R5433" s="12" t="n"/>
      <c r="S5433" s="12" t="inlineStr">
        <is>
          <t>Tray / conduit</t>
        </is>
      </c>
      <c r="T5433" s="17" t="n">
        <v>41</v>
      </c>
      <c r="U5433" s="17" t="n">
        <v>10</v>
      </c>
      <c r="V5433" s="17">
        <f>ROUNDUP((T5433+U5433+2*'Read Me'!$B$13)*(1+'Read Me'!$B$12),-1)</f>
        <v/>
      </c>
      <c r="W5433" s="17">
        <f>V5433*N5433*O5433</f>
        <v/>
      </c>
      <c r="X5433" s="12">
        <f>IF(LEFT(I5433,2)="MV",2*N5433*IF(L5433="1/C",O5433,1),0)</f>
        <v/>
      </c>
      <c r="Y5433" s="12">
        <f>IF(OR(LEFT(K5433,4)="LVAX",LEFT(K5433,6)="MV15AX",LEFT(K5433,4)="CTAX",LEFT(K5433,2)="W|"),2*N5433*O5433,0)</f>
        <v/>
      </c>
      <c r="Z5433" s="12" t="inlineStr">
        <is>
          <t>device-to-JB field wiring, one cable per device</t>
        </is>
      </c>
      <c r="AA5433" s="12">
        <f>N5433*O5433</f>
        <v/>
      </c>
    </row>
    <row r="5434">
      <c r="A5434" s="12" t="inlineStr">
        <is>
          <t>K-I-0026</t>
        </is>
      </c>
      <c r="B5434" s="12" t="inlineStr">
        <is>
          <t>K</t>
        </is>
      </c>
      <c r="C5434" s="12" t="inlineStr">
        <is>
          <t>Fuel supply (adjacent market)</t>
        </is>
      </c>
      <c r="D5434" s="12" t="inlineStr">
        <is>
          <t>Home run JB-H2 21: rectifier t-AI01 to the control / marshalling room</t>
        </is>
      </c>
      <c r="E5434" s="12" t="inlineStr"/>
      <c r="F5434" s="12" t="inlineStr">
        <is>
          <t>H2 20: 13.8 kV e-house</t>
        </is>
      </c>
      <c r="G5434" s="12" t="inlineStr">
        <is>
          <t>JB-H2 21: rectifier t-AI01</t>
        </is>
      </c>
      <c r="H5434" s="12" t="inlineStr">
        <is>
          <t>H2 21: rectifier transformer 5 (7 MVA)</t>
        </is>
      </c>
      <c r="I5434" s="12" t="inlineStr">
        <is>
          <t>Instrumentation</t>
        </is>
      </c>
      <c r="J5434" s="12" t="inlineStr">
        <is>
          <t>Instrumentation ITC / PLTC, IS, #18 shielded pairs, blue jacket</t>
        </is>
      </c>
      <c r="K5434" s="12" t="inlineStr">
        <is>
          <t>ITC|24 pr|18</t>
        </is>
      </c>
      <c r="L5434" s="12" t="inlineStr">
        <is>
          <t>24 pr</t>
        </is>
      </c>
      <c r="M5434" s="12" t="inlineStr">
        <is>
          <t>18</t>
        </is>
      </c>
      <c r="N5434" s="12" t="n">
        <v>1</v>
      </c>
      <c r="O5434" s="12" t="n">
        <v>1</v>
      </c>
      <c r="P5434" s="12" t="n"/>
      <c r="Q5434" s="12" t="n"/>
      <c r="R5434" s="12" t="n"/>
      <c r="S5434" s="12" t="inlineStr">
        <is>
          <t>Duct bank</t>
        </is>
      </c>
      <c r="T5434" s="17" t="n">
        <v>254</v>
      </c>
      <c r="U5434" s="17" t="n">
        <v>32</v>
      </c>
      <c r="V5434" s="17">
        <f>ROUNDUP((T5434+U5434+2*'Read Me'!$B$13)*(1+'Read Me'!$B$12),-1)</f>
        <v/>
      </c>
      <c r="W5434" s="17">
        <f>V5434*N5434*O5434</f>
        <v/>
      </c>
      <c r="X5434" s="12">
        <f>IF(LEFT(I5434,2)="MV",2*N5434*IF(L5434="1/C",O5434,1),0)</f>
        <v/>
      </c>
      <c r="Y5434" s="12">
        <f>IF(OR(LEFT(K5434,4)="LVAX",LEFT(K5434,6)="MV15AX",LEFT(K5434,4)="CTAX",LEFT(K5434,2)="W|"),2*N5434*O5434,0)</f>
        <v/>
      </c>
      <c r="Z5434" s="12" t="inlineStr"/>
      <c r="AA5434" s="12">
        <f>N5434*O5434</f>
        <v/>
      </c>
    </row>
    <row r="5435">
      <c r="A5435" s="12" t="inlineStr">
        <is>
          <t>K-I-0027</t>
        </is>
      </c>
      <c r="B5435" s="12" t="inlineStr">
        <is>
          <t>K</t>
        </is>
      </c>
      <c r="C5435" s="12" t="inlineStr">
        <is>
          <t>Fuel supply (adjacent market)</t>
        </is>
      </c>
      <c r="D5435" s="12" t="inlineStr">
        <is>
          <t>Discrete device to JB JB-H2 21: rectifier t-DI01: 12 x 1 pr (field cables)</t>
        </is>
      </c>
      <c r="E5435" s="12" t="inlineStr"/>
      <c r="F5435" s="12" t="inlineStr">
        <is>
          <t>H2 21: rectifier transformer 5 (7 MVA)</t>
        </is>
      </c>
      <c r="G5435" s="12" t="inlineStr">
        <is>
          <t>JB-H2 21: rectifier t-DI01</t>
        </is>
      </c>
      <c r="H5435" s="12" t="inlineStr">
        <is>
          <t>H2 21: rectifier transformer 5 (7 MVA)</t>
        </is>
      </c>
      <c r="I5435" s="12" t="inlineStr">
        <is>
          <t>Instrumentation</t>
        </is>
      </c>
      <c r="J5435" s="12" t="inlineStr">
        <is>
          <t>Instrumentation ITC / PLTC, IS, #18 shielded pairs, blue jacket</t>
        </is>
      </c>
      <c r="K5435" s="12" t="inlineStr">
        <is>
          <t>ITC|1 pr|16</t>
        </is>
      </c>
      <c r="L5435" s="12" t="inlineStr">
        <is>
          <t>1 pr</t>
        </is>
      </c>
      <c r="M5435" s="12" t="inlineStr">
        <is>
          <t>16</t>
        </is>
      </c>
      <c r="N5435" s="12" t="n">
        <v>12</v>
      </c>
      <c r="O5435" s="12" t="n">
        <v>1</v>
      </c>
      <c r="P5435" s="12" t="n"/>
      <c r="Q5435" s="12" t="n"/>
      <c r="R5435" s="12" t="n"/>
      <c r="S5435" s="12" t="inlineStr">
        <is>
          <t>Tray / conduit</t>
        </is>
      </c>
      <c r="T5435" s="17" t="n">
        <v>41</v>
      </c>
      <c r="U5435" s="17" t="n">
        <v>10</v>
      </c>
      <c r="V5435" s="17">
        <f>ROUNDUP((T5435+U5435+2*'Read Me'!$B$13)*(1+'Read Me'!$B$12),-1)</f>
        <v/>
      </c>
      <c r="W5435" s="17">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K-I-0028</t>
        </is>
      </c>
      <c r="B5436" s="12" t="inlineStr">
        <is>
          <t>K</t>
        </is>
      </c>
      <c r="C5436" s="12" t="inlineStr">
        <is>
          <t>Fuel supply (adjacent market)</t>
        </is>
      </c>
      <c r="D5436" s="12" t="inlineStr">
        <is>
          <t>Home run JB-H2 21: rectifier t-DI01 to the control / marshalling room</t>
        </is>
      </c>
      <c r="E5436" s="12" t="inlineStr"/>
      <c r="F5436" s="12" t="inlineStr">
        <is>
          <t>H2 20: 13.8 kV e-house</t>
        </is>
      </c>
      <c r="G5436" s="12" t="inlineStr">
        <is>
          <t>JB-H2 21: rectifier t-DI01</t>
        </is>
      </c>
      <c r="H5436" s="12" t="inlineStr">
        <is>
          <t>H2 21: rectifier transformer 5 (7 MVA)</t>
        </is>
      </c>
      <c r="I5436" s="12" t="inlineStr">
        <is>
          <t>Instrumentation</t>
        </is>
      </c>
      <c r="J5436" s="12" t="inlineStr">
        <is>
          <t>Instrumentation ITC / PLTC, IS, #18 shielded pairs, blue jacket</t>
        </is>
      </c>
      <c r="K5436" s="12" t="inlineStr">
        <is>
          <t>ITC|24 pr|18</t>
        </is>
      </c>
      <c r="L5436" s="12" t="inlineStr">
        <is>
          <t>24 pr</t>
        </is>
      </c>
      <c r="M5436" s="12" t="inlineStr">
        <is>
          <t>18</t>
        </is>
      </c>
      <c r="N5436" s="12" t="n">
        <v>1</v>
      </c>
      <c r="O5436" s="12" t="n">
        <v>1</v>
      </c>
      <c r="P5436" s="12" t="n"/>
      <c r="Q5436" s="12" t="n"/>
      <c r="R5436" s="12" t="n"/>
      <c r="S5436" s="12" t="inlineStr">
        <is>
          <t>Duct bank</t>
        </is>
      </c>
      <c r="T5436" s="17" t="n">
        <v>254</v>
      </c>
      <c r="U5436" s="17" t="n">
        <v>32</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K-I-0029</t>
        </is>
      </c>
      <c r="B5437" s="12" t="inlineStr">
        <is>
          <t>K</t>
        </is>
      </c>
      <c r="C5437" s="12" t="inlineStr">
        <is>
          <t>Fuel supply (adjacent market)</t>
        </is>
      </c>
      <c r="D5437" s="12" t="inlineStr">
        <is>
          <t>Analog instrument to JB JB-H2-EL-AI01: 12 x 1 pr (field cables)</t>
        </is>
      </c>
      <c r="E5437" s="12" t="inlineStr">
        <is>
          <t>H2-EL</t>
        </is>
      </c>
      <c r="F5437" s="12" t="inlineStr">
        <is>
          <t>H2 22: electrolyzer building (5 x HyLYZER-1000 + 5 rectifiers)</t>
        </is>
      </c>
      <c r="G5437" s="12" t="inlineStr">
        <is>
          <t>JB-H2-EL-AI01</t>
        </is>
      </c>
      <c r="H5437" s="12" t="inlineStr">
        <is>
          <t>H2 22: electrolyzer building (5 x HyLYZER-1000 + 5 rectifiers)</t>
        </is>
      </c>
      <c r="I5437" s="12" t="inlineStr">
        <is>
          <t>Instrumentation</t>
        </is>
      </c>
      <c r="J5437" s="12" t="inlineStr">
        <is>
          <t>Instrumentation ITC / PLTC, IS, #18 shielded pairs, blue jacket</t>
        </is>
      </c>
      <c r="K5437" s="12" t="inlineStr">
        <is>
          <t>ITC|1 pr|16</t>
        </is>
      </c>
      <c r="L5437" s="12" t="inlineStr">
        <is>
          <t>1 pr</t>
        </is>
      </c>
      <c r="M5437" s="12" t="inlineStr">
        <is>
          <t>16</t>
        </is>
      </c>
      <c r="N5437" s="12" t="n">
        <v>12</v>
      </c>
      <c r="O5437" s="12" t="n">
        <v>1</v>
      </c>
      <c r="P5437" s="12" t="n"/>
      <c r="Q5437" s="12" t="n"/>
      <c r="R5437" s="12" t="n"/>
      <c r="S5437" s="12" t="inlineStr">
        <is>
          <t>Tray / conduit</t>
        </is>
      </c>
      <c r="T5437" s="17" t="n">
        <v>157</v>
      </c>
      <c r="U5437" s="17" t="n">
        <v>10</v>
      </c>
      <c r="V5437" s="17">
        <f>ROUNDUP((T5437+U5437+2*'Read Me'!$B$13)*(1+'Read Me'!$B$12),-1)</f>
        <v/>
      </c>
      <c r="W5437" s="17">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K-I-0030</t>
        </is>
      </c>
      <c r="B5438" s="12" t="inlineStr">
        <is>
          <t>K</t>
        </is>
      </c>
      <c r="C5438" s="12" t="inlineStr">
        <is>
          <t>Fuel supply (adjacent market)</t>
        </is>
      </c>
      <c r="D5438" s="12" t="inlineStr">
        <is>
          <t>Home run JB-H2-EL-AI01 to the control / marshalling room</t>
        </is>
      </c>
      <c r="E5438" s="12" t="inlineStr"/>
      <c r="F5438" s="12" t="inlineStr">
        <is>
          <t>H2 20: 13.8 kV e-house</t>
        </is>
      </c>
      <c r="G5438" s="12" t="inlineStr">
        <is>
          <t>JB-H2-EL-AI01</t>
        </is>
      </c>
      <c r="H5438" s="12" t="inlineStr">
        <is>
          <t>H2 22: electrolyzer building (5 x HyLYZER-1000 + 5 rectifiers)</t>
        </is>
      </c>
      <c r="I5438" s="12" t="inlineStr">
        <is>
          <t>Instrumentation</t>
        </is>
      </c>
      <c r="J5438" s="12" t="inlineStr">
        <is>
          <t>Instrumentation ITC / PLTC, IS, #18 shielded pairs, blue jacket</t>
        </is>
      </c>
      <c r="K5438" s="12" t="inlineStr">
        <is>
          <t>ITC|24 pr|18</t>
        </is>
      </c>
      <c r="L5438" s="12" t="inlineStr">
        <is>
          <t>24 pr</t>
        </is>
      </c>
      <c r="M5438" s="12" t="inlineStr">
        <is>
          <t>18</t>
        </is>
      </c>
      <c r="N5438" s="12" t="n">
        <v>1</v>
      </c>
      <c r="O5438" s="12" t="n">
        <v>1</v>
      </c>
      <c r="P5438" s="12" t="n"/>
      <c r="Q5438" s="12" t="n"/>
      <c r="R5438" s="12" t="n"/>
      <c r="S5438" s="12" t="inlineStr">
        <is>
          <t>Duct bank</t>
        </is>
      </c>
      <c r="T5438" s="17" t="n">
        <v>346</v>
      </c>
      <c r="U5438" s="17" t="n">
        <v>32</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K-I-0031</t>
        </is>
      </c>
      <c r="B5439" s="12" t="inlineStr">
        <is>
          <t>K</t>
        </is>
      </c>
      <c r="C5439" s="12" t="inlineStr">
        <is>
          <t>Fuel supply (adjacent market)</t>
        </is>
      </c>
      <c r="D5439" s="12" t="inlineStr">
        <is>
          <t>Discrete device to JB JB-H2-EL-DI01: 12 x 1 pr (field cables)</t>
        </is>
      </c>
      <c r="E5439" s="12" t="inlineStr">
        <is>
          <t>H2-EL</t>
        </is>
      </c>
      <c r="F5439" s="12" t="inlineStr">
        <is>
          <t>H2 22: electrolyzer building (5 x HyLYZER-1000 + 5 rectifiers)</t>
        </is>
      </c>
      <c r="G5439" s="12" t="inlineStr">
        <is>
          <t>JB-H2-EL-DI01</t>
        </is>
      </c>
      <c r="H5439" s="12" t="inlineStr">
        <is>
          <t>H2 22: electrolyzer building (5 x HyLYZER-1000 + 5 rectifiers)</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7" t="n">
        <v>157</v>
      </c>
      <c r="U5439" s="17" t="n">
        <v>10</v>
      </c>
      <c r="V5439" s="17">
        <f>ROUNDUP((T5439+U5439+2*'Read Me'!$B$13)*(1+'Read Me'!$B$12),-1)</f>
        <v/>
      </c>
      <c r="W5439" s="17">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K-I-0032</t>
        </is>
      </c>
      <c r="B5440" s="12" t="inlineStr">
        <is>
          <t>K</t>
        </is>
      </c>
      <c r="C5440" s="12" t="inlineStr">
        <is>
          <t>Fuel supply (adjacent market)</t>
        </is>
      </c>
      <c r="D5440" s="12" t="inlineStr">
        <is>
          <t>Home run JB-H2-EL-DI01 to the control / marshalling room</t>
        </is>
      </c>
      <c r="E5440" s="12" t="inlineStr"/>
      <c r="F5440" s="12" t="inlineStr">
        <is>
          <t>H2 20: 13.8 kV e-house</t>
        </is>
      </c>
      <c r="G5440" s="12" t="inlineStr">
        <is>
          <t>JB-H2-EL-DI01</t>
        </is>
      </c>
      <c r="H5440" s="12" t="inlineStr">
        <is>
          <t>H2 22: electrolyzer building (5 x HyLYZER-1000 + 5 rectifiers)</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7" t="n">
        <v>346</v>
      </c>
      <c r="U5440" s="17" t="n">
        <v>32</v>
      </c>
      <c r="V5440" s="17">
        <f>ROUNDUP((T5440+U5440+2*'Read Me'!$B$13)*(1+'Read Me'!$B$12),-1)</f>
        <v/>
      </c>
      <c r="W5440" s="17">
        <f>V5440*N5440*O5440</f>
        <v/>
      </c>
      <c r="X5440" s="12">
        <f>IF(LEFT(I5440,2)="MV",2*N5440*IF(L5440="1/C",O5440,1),0)</f>
        <v/>
      </c>
      <c r="Y5440" s="12">
        <f>IF(OR(LEFT(K5440,4)="LVAX",LEFT(K5440,6)="MV15AX",LEFT(K5440,4)="CTAX",LEFT(K5440,2)="W|"),2*N5440*O5440,0)</f>
        <v/>
      </c>
      <c r="Z5440" s="12" t="inlineStr"/>
      <c r="AA5440" s="12">
        <f>N5440*O5440</f>
        <v/>
      </c>
    </row>
    <row r="5441">
      <c r="A5441" s="12" t="inlineStr">
        <is>
          <t>K-I-0033</t>
        </is>
      </c>
      <c r="B5441" s="12" t="inlineStr">
        <is>
          <t>K</t>
        </is>
      </c>
      <c r="C5441" s="12" t="inlineStr">
        <is>
          <t>Fuel supply (adjacent market)</t>
        </is>
      </c>
      <c r="D5441" s="12" t="inlineStr">
        <is>
          <t>Analog instrument to JB JB-H2 23: dry coolers-AI01: 12 x 1 pr (field cables)</t>
        </is>
      </c>
      <c r="E5441" s="12" t="inlineStr"/>
      <c r="F5441" s="12" t="inlineStr">
        <is>
          <t>H2 23: dry coolers</t>
        </is>
      </c>
      <c r="G5441" s="12" t="inlineStr">
        <is>
          <t>JB-H2 23: dry coolers-AI01</t>
        </is>
      </c>
      <c r="H5441" s="12" t="inlineStr">
        <is>
          <t>H2 23: dry coolers</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7" t="n">
        <v>111</v>
      </c>
      <c r="U5441" s="17" t="n">
        <v>10</v>
      </c>
      <c r="V5441" s="17">
        <f>ROUNDUP((T5441+U5441+2*'Read Me'!$B$13)*(1+'Read Me'!$B$12),-1)</f>
        <v/>
      </c>
      <c r="W5441" s="17">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K-I-0034</t>
        </is>
      </c>
      <c r="B5442" s="12" t="inlineStr">
        <is>
          <t>K</t>
        </is>
      </c>
      <c r="C5442" s="12" t="inlineStr">
        <is>
          <t>Fuel supply (adjacent market)</t>
        </is>
      </c>
      <c r="D5442" s="12" t="inlineStr">
        <is>
          <t>Home run JB-H2 23: dry coolers-AI01 to the control / marshalling room</t>
        </is>
      </c>
      <c r="E5442" s="12" t="inlineStr"/>
      <c r="F5442" s="12" t="inlineStr">
        <is>
          <t>H2 20: 13.8 kV e-house</t>
        </is>
      </c>
      <c r="G5442" s="12" t="inlineStr">
        <is>
          <t>JB-H2 23: dry coolers-AI01</t>
        </is>
      </c>
      <c r="H5442" s="12" t="inlineStr">
        <is>
          <t>H2 23: dry coolers</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7" t="n">
        <v>100</v>
      </c>
      <c r="U5442" s="17" t="n">
        <v>32</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K-I-0035</t>
        </is>
      </c>
      <c r="B5443" s="12" t="inlineStr">
        <is>
          <t>K</t>
        </is>
      </c>
      <c r="C5443" s="12" t="inlineStr">
        <is>
          <t>Fuel supply (adjacent market)</t>
        </is>
      </c>
      <c r="D5443" s="12" t="inlineStr">
        <is>
          <t>Discrete device to JB JB-H2 23: dry coolers-DI01: 12 x 1 pr (field cables)</t>
        </is>
      </c>
      <c r="E5443" s="12" t="inlineStr"/>
      <c r="F5443" s="12" t="inlineStr">
        <is>
          <t>H2 23: dry coolers</t>
        </is>
      </c>
      <c r="G5443" s="12" t="inlineStr">
        <is>
          <t>JB-H2 23: dry coolers-DI01</t>
        </is>
      </c>
      <c r="H5443" s="12" t="inlineStr">
        <is>
          <t>H2 23: dry coolers</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7" t="n">
        <v>111</v>
      </c>
      <c r="U5443" s="17" t="n">
        <v>10</v>
      </c>
      <c r="V5443" s="17">
        <f>ROUNDUP((T5443+U5443+2*'Read Me'!$B$13)*(1+'Read Me'!$B$12),-1)</f>
        <v/>
      </c>
      <c r="W5443" s="17">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K-I-0036</t>
        </is>
      </c>
      <c r="B5444" s="12" t="inlineStr">
        <is>
          <t>K</t>
        </is>
      </c>
      <c r="C5444" s="12" t="inlineStr">
        <is>
          <t>Fuel supply (adjacent market)</t>
        </is>
      </c>
      <c r="D5444" s="12" t="inlineStr">
        <is>
          <t>Home run JB-H2 23: dry coolers-DI01 to the control / marshalling room</t>
        </is>
      </c>
      <c r="E5444" s="12" t="inlineStr"/>
      <c r="F5444" s="12" t="inlineStr">
        <is>
          <t>H2 20: 13.8 kV e-house</t>
        </is>
      </c>
      <c r="G5444" s="12" t="inlineStr">
        <is>
          <t>JB-H2 23: dry coolers-DI01</t>
        </is>
      </c>
      <c r="H5444" s="12" t="inlineStr">
        <is>
          <t>H2 23: dry coolers</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Duct bank</t>
        </is>
      </c>
      <c r="T5444" s="17" t="n">
        <v>100</v>
      </c>
      <c r="U5444" s="17" t="n">
        <v>32</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K-I-0037</t>
        </is>
      </c>
      <c r="B5445" s="12" t="inlineStr">
        <is>
          <t>K</t>
        </is>
      </c>
      <c r="C5445" s="12" t="inlineStr">
        <is>
          <t>Fuel supply (adjacent market)</t>
        </is>
      </c>
      <c r="D5445" s="12" t="inlineStr">
        <is>
          <t>Analog instrument to JB JB-H2 24: water purif-AI01: 12 x 1 pr (field cables)</t>
        </is>
      </c>
      <c r="E5445" s="12" t="inlineStr"/>
      <c r="F5445" s="12" t="inlineStr">
        <is>
          <t>H2 24: water purification (RO / EDI)</t>
        </is>
      </c>
      <c r="G5445" s="12" t="inlineStr">
        <is>
          <t>JB-H2 24: water purif-AI01</t>
        </is>
      </c>
      <c r="H5445" s="12" t="inlineStr">
        <is>
          <t>H2 24: water purification (RO / EDI)</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7" t="n">
        <v>60</v>
      </c>
      <c r="U5445" s="17" t="n">
        <v>10</v>
      </c>
      <c r="V5445" s="17">
        <f>ROUNDUP((T5445+U5445+2*'Read Me'!$B$13)*(1+'Read Me'!$B$12),-1)</f>
        <v/>
      </c>
      <c r="W5445" s="17">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K-I-0038</t>
        </is>
      </c>
      <c r="B5446" s="12" t="inlineStr">
        <is>
          <t>K</t>
        </is>
      </c>
      <c r="C5446" s="12" t="inlineStr">
        <is>
          <t>Fuel supply (adjacent market)</t>
        </is>
      </c>
      <c r="D5446" s="12" t="inlineStr">
        <is>
          <t>Home run JB-H2 24: water purif-AI01 to the control / marshalling room</t>
        </is>
      </c>
      <c r="E5446" s="12" t="inlineStr"/>
      <c r="F5446" s="12" t="inlineStr">
        <is>
          <t>H2 20: 13.8 kV e-house</t>
        </is>
      </c>
      <c r="G5446" s="12" t="inlineStr">
        <is>
          <t>JB-H2 24: water purif-AI01</t>
        </is>
      </c>
      <c r="H5446" s="12" t="inlineStr">
        <is>
          <t>H2 24: water purification (RO / EDI)</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Duct bank</t>
        </is>
      </c>
      <c r="T5446" s="17" t="n">
        <v>146</v>
      </c>
      <c r="U5446" s="17" t="n">
        <v>32</v>
      </c>
      <c r="V5446" s="17">
        <f>ROUNDUP((T5446+U5446+2*'Read Me'!$B$13)*(1+'Read Me'!$B$12),-1)</f>
        <v/>
      </c>
      <c r="W5446" s="17">
        <f>V5446*N5446*O5446</f>
        <v/>
      </c>
      <c r="X5446" s="12">
        <f>IF(LEFT(I5446,2)="MV",2*N5446*IF(L5446="1/C",O5446,1),0)</f>
        <v/>
      </c>
      <c r="Y5446" s="12">
        <f>IF(OR(LEFT(K5446,4)="LVAX",LEFT(K5446,6)="MV15AX",LEFT(K5446,4)="CTAX",LEFT(K5446,2)="W|"),2*N5446*O5446,0)</f>
        <v/>
      </c>
      <c r="Z5446" s="12" t="inlineStr"/>
      <c r="AA5446" s="12">
        <f>N5446*O5446</f>
        <v/>
      </c>
    </row>
    <row r="5447">
      <c r="A5447" s="12" t="inlineStr">
        <is>
          <t>K-I-0039</t>
        </is>
      </c>
      <c r="B5447" s="12" t="inlineStr">
        <is>
          <t>K</t>
        </is>
      </c>
      <c r="C5447" s="12" t="inlineStr">
        <is>
          <t>Fuel supply (adjacent market)</t>
        </is>
      </c>
      <c r="D5447" s="12" t="inlineStr">
        <is>
          <t>Discrete device to JB JB-H2 24: water purif-DI01: 12 x 1 pr (field cables)</t>
        </is>
      </c>
      <c r="E5447" s="12" t="inlineStr"/>
      <c r="F5447" s="12" t="inlineStr">
        <is>
          <t>H2 24: water purification (RO / EDI)</t>
        </is>
      </c>
      <c r="G5447" s="12" t="inlineStr">
        <is>
          <t>JB-H2 24: water purif-DI01</t>
        </is>
      </c>
      <c r="H5447" s="12" t="inlineStr">
        <is>
          <t>H2 24: water purification (RO / EDI)</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7" t="n">
        <v>60</v>
      </c>
      <c r="U5447" s="17" t="n">
        <v>10</v>
      </c>
      <c r="V5447" s="17">
        <f>ROUNDUP((T5447+U5447+2*'Read Me'!$B$13)*(1+'Read Me'!$B$12),-1)</f>
        <v/>
      </c>
      <c r="W5447" s="17">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K-I-0040</t>
        </is>
      </c>
      <c r="B5448" s="12" t="inlineStr">
        <is>
          <t>K</t>
        </is>
      </c>
      <c r="C5448" s="12" t="inlineStr">
        <is>
          <t>Fuel supply (adjacent market)</t>
        </is>
      </c>
      <c r="D5448" s="12" t="inlineStr">
        <is>
          <t>Home run JB-H2 24: water purif-DI01 to the control / marshalling room</t>
        </is>
      </c>
      <c r="E5448" s="12" t="inlineStr"/>
      <c r="F5448" s="12" t="inlineStr">
        <is>
          <t>H2 20: 13.8 kV e-house</t>
        </is>
      </c>
      <c r="G5448" s="12" t="inlineStr">
        <is>
          <t>JB-H2 24: water purif-DI01</t>
        </is>
      </c>
      <c r="H5448" s="12" t="inlineStr">
        <is>
          <t>H2 24: water purification (RO / EDI)</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7" t="n">
        <v>146</v>
      </c>
      <c r="U5448" s="17" t="n">
        <v>32</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K-I-0041</t>
        </is>
      </c>
      <c r="B5449" s="12" t="inlineStr">
        <is>
          <t>K</t>
        </is>
      </c>
      <c r="C5449" s="12" t="inlineStr">
        <is>
          <t>Fuel supply (adjacent market)</t>
        </is>
      </c>
      <c r="D5449" s="12" t="inlineStr">
        <is>
          <t>Analog instrument to JB JB-H2 25: H2 dryer / -AI01: 12 x 1 pr (field cables)</t>
        </is>
      </c>
      <c r="E5449" s="12" t="inlineStr"/>
      <c r="F5449" s="12" t="inlineStr">
        <is>
          <t>H2 25: H2 dryer / purification</t>
        </is>
      </c>
      <c r="G5449" s="12" t="inlineStr">
        <is>
          <t>JB-H2 25: H2 dryer / -AI01</t>
        </is>
      </c>
      <c r="H5449" s="12" t="inlineStr">
        <is>
          <t>H2 25: H2 dryer / purification</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7" t="n">
        <v>60</v>
      </c>
      <c r="U5449" s="17" t="n">
        <v>10</v>
      </c>
      <c r="V5449" s="17">
        <f>ROUNDUP((T5449+U5449+2*'Read Me'!$B$13)*(1+'Read Me'!$B$12),-1)</f>
        <v/>
      </c>
      <c r="W5449" s="17">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K-I-0042</t>
        </is>
      </c>
      <c r="B5450" s="12" t="inlineStr">
        <is>
          <t>K</t>
        </is>
      </c>
      <c r="C5450" s="12" t="inlineStr">
        <is>
          <t>Fuel supply (adjacent market)</t>
        </is>
      </c>
      <c r="D5450" s="12" t="inlineStr">
        <is>
          <t>Home run JB-H2 25: H2 dryer / -AI01 to the control / marshalling room</t>
        </is>
      </c>
      <c r="E5450" s="12" t="inlineStr"/>
      <c r="F5450" s="12" t="inlineStr">
        <is>
          <t>H2 20: 13.8 kV e-house</t>
        </is>
      </c>
      <c r="G5450" s="12" t="inlineStr">
        <is>
          <t>JB-H2 25: H2 dryer / -AI01</t>
        </is>
      </c>
      <c r="H5450" s="12" t="inlineStr">
        <is>
          <t>H2 25: H2 dryer / purification</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7" t="n">
        <v>0</v>
      </c>
      <c r="U5450" s="17" t="n">
        <v>49</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K-I-0043</t>
        </is>
      </c>
      <c r="B5451" s="12" t="inlineStr">
        <is>
          <t>K</t>
        </is>
      </c>
      <c r="C5451" s="12" t="inlineStr">
        <is>
          <t>Fuel supply (adjacent market)</t>
        </is>
      </c>
      <c r="D5451" s="12" t="inlineStr">
        <is>
          <t>Discrete device to JB JB-H2 25: H2 dryer / -DI01: 12 x 1 pr (field cables)</t>
        </is>
      </c>
      <c r="E5451" s="12" t="inlineStr"/>
      <c r="F5451" s="12" t="inlineStr">
        <is>
          <t>H2 25: H2 dryer / purification</t>
        </is>
      </c>
      <c r="G5451" s="12" t="inlineStr">
        <is>
          <t>JB-H2 25: H2 dryer / -DI01</t>
        </is>
      </c>
      <c r="H5451" s="12" t="inlineStr">
        <is>
          <t>H2 25: H2 dryer / purification</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7" t="n">
        <v>60</v>
      </c>
      <c r="U5451" s="17" t="n">
        <v>10</v>
      </c>
      <c r="V5451" s="17">
        <f>ROUNDUP((T5451+U5451+2*'Read Me'!$B$13)*(1+'Read Me'!$B$12),-1)</f>
        <v/>
      </c>
      <c r="W5451" s="17">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K-I-0044</t>
        </is>
      </c>
      <c r="B5452" s="12" t="inlineStr">
        <is>
          <t>K</t>
        </is>
      </c>
      <c r="C5452" s="12" t="inlineStr">
        <is>
          <t>Fuel supply (adjacent market)</t>
        </is>
      </c>
      <c r="D5452" s="12" t="inlineStr">
        <is>
          <t>Home run JB-H2 25: H2 dryer / -DI01 to the control / marshalling room</t>
        </is>
      </c>
      <c r="E5452" s="12" t="inlineStr"/>
      <c r="F5452" s="12" t="inlineStr">
        <is>
          <t>H2 20: 13.8 kV e-house</t>
        </is>
      </c>
      <c r="G5452" s="12" t="inlineStr">
        <is>
          <t>JB-H2 25: H2 dryer / -DI01</t>
        </is>
      </c>
      <c r="H5452" s="12" t="inlineStr">
        <is>
          <t>H2 25: H2 dryer / purification</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7" t="n">
        <v>0</v>
      </c>
      <c r="U5452" s="17" t="n">
        <v>49</v>
      </c>
      <c r="V5452" s="17">
        <f>ROUNDUP((T5452+U5452+2*'Read Me'!$B$13)*(1+'Read Me'!$B$12),-1)</f>
        <v/>
      </c>
      <c r="W5452" s="17">
        <f>V5452*N5452*O5452</f>
        <v/>
      </c>
      <c r="X5452" s="12">
        <f>IF(LEFT(I5452,2)="MV",2*N5452*IF(L5452="1/C",O5452,1),0)</f>
        <v/>
      </c>
      <c r="Y5452" s="12">
        <f>IF(OR(LEFT(K5452,4)="LVAX",LEFT(K5452,6)="MV15AX",LEFT(K5452,4)="CTAX",LEFT(K5452,2)="W|"),2*N5452*O5452,0)</f>
        <v/>
      </c>
      <c r="Z5452" s="12" t="inlineStr"/>
      <c r="AA5452" s="12">
        <f>N5452*O5452</f>
        <v/>
      </c>
    </row>
    <row r="5453">
      <c r="A5453" s="12" t="inlineStr">
        <is>
          <t>K-I-0045</t>
        </is>
      </c>
      <c r="B5453" s="12" t="inlineStr">
        <is>
          <t>K</t>
        </is>
      </c>
      <c r="C5453" s="12" t="inlineStr">
        <is>
          <t>Fuel supply (adjacent market)</t>
        </is>
      </c>
      <c r="D5453" s="12" t="inlineStr">
        <is>
          <t>Analog instrument to JB JB-H2 26: H2 compress-AI01: 12 x 1 pr (field cables)</t>
        </is>
      </c>
      <c r="E5453" s="12" t="inlineStr"/>
      <c r="F5453" s="12" t="inlineStr">
        <is>
          <t>H2 26: H2 compressor 1 (40 ft ISO)</t>
        </is>
      </c>
      <c r="G5453" s="12" t="inlineStr">
        <is>
          <t>JB-H2 26: H2 compress-AI01</t>
        </is>
      </c>
      <c r="H5453" s="12" t="inlineStr">
        <is>
          <t>H2 26: H2 compressor 1 (40 ft ISO)</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7" t="n">
        <v>53</v>
      </c>
      <c r="U5453" s="17" t="n">
        <v>10</v>
      </c>
      <c r="V5453" s="17">
        <f>ROUNDUP((T5453+U5453+2*'Read Me'!$B$13)*(1+'Read Me'!$B$12),-1)</f>
        <v/>
      </c>
      <c r="W5453" s="17">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K-I-0046</t>
        </is>
      </c>
      <c r="B5454" s="12" t="inlineStr">
        <is>
          <t>K</t>
        </is>
      </c>
      <c r="C5454" s="12" t="inlineStr">
        <is>
          <t>Fuel supply (adjacent market)</t>
        </is>
      </c>
      <c r="D5454" s="12" t="inlineStr">
        <is>
          <t>Home run JB-H2 26: H2 compress-AI01 to the control / marshalling room</t>
        </is>
      </c>
      <c r="E5454" s="12" t="inlineStr"/>
      <c r="F5454" s="12" t="inlineStr">
        <is>
          <t>H2 20: 13.8 kV e-house</t>
        </is>
      </c>
      <c r="G5454" s="12" t="inlineStr">
        <is>
          <t>JB-H2 26: H2 compress-AI01</t>
        </is>
      </c>
      <c r="H5454" s="12" t="inlineStr">
        <is>
          <t>H2 26: H2 compressor 1 (40 ft ISO)</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7" t="n">
        <v>50</v>
      </c>
      <c r="U5454" s="17" t="n">
        <v>32</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K-I-0047</t>
        </is>
      </c>
      <c r="B5455" s="12" t="inlineStr">
        <is>
          <t>K</t>
        </is>
      </c>
      <c r="C5455" s="12" t="inlineStr">
        <is>
          <t>Fuel supply (adjacent market)</t>
        </is>
      </c>
      <c r="D5455" s="12" t="inlineStr">
        <is>
          <t>Discrete device to JB JB-H2 26: H2 compress-DI01: 12 x 1 pr (field cables)</t>
        </is>
      </c>
      <c r="E5455" s="12" t="inlineStr"/>
      <c r="F5455" s="12" t="inlineStr">
        <is>
          <t>H2 26: H2 compressor 1 (40 ft ISO)</t>
        </is>
      </c>
      <c r="G5455" s="12" t="inlineStr">
        <is>
          <t>JB-H2 26: H2 compress-DI01</t>
        </is>
      </c>
      <c r="H5455" s="12" t="inlineStr">
        <is>
          <t>H2 26: H2 compressor 1 (40 ft ISO)</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7" t="n">
        <v>53</v>
      </c>
      <c r="U5455" s="17" t="n">
        <v>10</v>
      </c>
      <c r="V5455" s="17">
        <f>ROUNDUP((T5455+U5455+2*'Read Me'!$B$13)*(1+'Read Me'!$B$12),-1)</f>
        <v/>
      </c>
      <c r="W5455" s="17">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K-I-0048</t>
        </is>
      </c>
      <c r="B5456" s="12" t="inlineStr">
        <is>
          <t>K</t>
        </is>
      </c>
      <c r="C5456" s="12" t="inlineStr">
        <is>
          <t>Fuel supply (adjacent market)</t>
        </is>
      </c>
      <c r="D5456" s="12" t="inlineStr">
        <is>
          <t>Home run JB-H2 26: H2 compress-DI01 to the control / marshalling room</t>
        </is>
      </c>
      <c r="E5456" s="12" t="inlineStr"/>
      <c r="F5456" s="12" t="inlineStr">
        <is>
          <t>H2 20: 13.8 kV e-house</t>
        </is>
      </c>
      <c r="G5456" s="12" t="inlineStr">
        <is>
          <t>JB-H2 26: H2 compress-DI01</t>
        </is>
      </c>
      <c r="H5456" s="12" t="inlineStr">
        <is>
          <t>H2 26: H2 compressor 1 (40 ft ISO)</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7" t="n">
        <v>50</v>
      </c>
      <c r="U5456" s="17" t="n">
        <v>32</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K-I-0049</t>
        </is>
      </c>
      <c r="B5457" s="12" t="inlineStr">
        <is>
          <t>K</t>
        </is>
      </c>
      <c r="C5457" s="12" t="inlineStr">
        <is>
          <t>Fuel supply (adjacent market)</t>
        </is>
      </c>
      <c r="D5457" s="12" t="inlineStr">
        <is>
          <t>Analog instrument to JB JB-H2 26: H2 compress-AI01: 12 x 1 pr (field cables)</t>
        </is>
      </c>
      <c r="E5457" s="12" t="inlineStr"/>
      <c r="F5457" s="12" t="inlineStr">
        <is>
          <t>H2 26: H2 compressor 2 (40 ft ISO)</t>
        </is>
      </c>
      <c r="G5457" s="12" t="inlineStr">
        <is>
          <t>JB-H2 26: H2 compress-AI01</t>
        </is>
      </c>
      <c r="H5457" s="12" t="inlineStr">
        <is>
          <t>H2 26: H2 compressor 2 (40 ft ISO)</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7" t="n">
        <v>53</v>
      </c>
      <c r="U5457" s="17" t="n">
        <v>10</v>
      </c>
      <c r="V5457" s="17">
        <f>ROUNDUP((T5457+U5457+2*'Read Me'!$B$13)*(1+'Read Me'!$B$12),-1)</f>
        <v/>
      </c>
      <c r="W5457" s="17">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K-I-0050</t>
        </is>
      </c>
      <c r="B5458" s="12" t="inlineStr">
        <is>
          <t>K</t>
        </is>
      </c>
      <c r="C5458" s="12" t="inlineStr">
        <is>
          <t>Fuel supply (adjacent market)</t>
        </is>
      </c>
      <c r="D5458" s="12" t="inlineStr">
        <is>
          <t>Home run JB-H2 26: H2 compress-AI01 to the control / marshalling room</t>
        </is>
      </c>
      <c r="E5458" s="12" t="inlineStr"/>
      <c r="F5458" s="12" t="inlineStr">
        <is>
          <t>H2 20: 13.8 kV e-house</t>
        </is>
      </c>
      <c r="G5458" s="12" t="inlineStr">
        <is>
          <t>JB-H2 26: H2 compress-AI01</t>
        </is>
      </c>
      <c r="H5458" s="12" t="inlineStr">
        <is>
          <t>H2 26: H2 compressor 2 (40 ft ISO)</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7" t="n">
        <v>50</v>
      </c>
      <c r="U5458" s="17" t="n">
        <v>47</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K-I-0051</t>
        </is>
      </c>
      <c r="B5459" s="12" t="inlineStr">
        <is>
          <t>K</t>
        </is>
      </c>
      <c r="C5459" s="12" t="inlineStr">
        <is>
          <t>Fuel supply (adjacent market)</t>
        </is>
      </c>
      <c r="D5459" s="12" t="inlineStr">
        <is>
          <t>Discrete device to JB JB-H2 26: H2 compress-DI01: 12 x 1 pr (field cables)</t>
        </is>
      </c>
      <c r="E5459" s="12" t="inlineStr"/>
      <c r="F5459" s="12" t="inlineStr">
        <is>
          <t>H2 26: H2 compressor 2 (40 ft ISO)</t>
        </is>
      </c>
      <c r="G5459" s="12" t="inlineStr">
        <is>
          <t>JB-H2 26: H2 compress-DI01</t>
        </is>
      </c>
      <c r="H5459" s="12" t="inlineStr">
        <is>
          <t>H2 26: H2 compressor 2 (40 ft ISO)</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7" t="n">
        <v>53</v>
      </c>
      <c r="U5459" s="17" t="n">
        <v>10</v>
      </c>
      <c r="V5459" s="17">
        <f>ROUNDUP((T5459+U5459+2*'Read Me'!$B$13)*(1+'Read Me'!$B$12),-1)</f>
        <v/>
      </c>
      <c r="W5459" s="17">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K-I-0052</t>
        </is>
      </c>
      <c r="B5460" s="12" t="inlineStr">
        <is>
          <t>K</t>
        </is>
      </c>
      <c r="C5460" s="12" t="inlineStr">
        <is>
          <t>Fuel supply (adjacent market)</t>
        </is>
      </c>
      <c r="D5460" s="12" t="inlineStr">
        <is>
          <t>Home run JB-H2 26: H2 compress-DI01 to the control / marshalling room</t>
        </is>
      </c>
      <c r="E5460" s="12" t="inlineStr"/>
      <c r="F5460" s="12" t="inlineStr">
        <is>
          <t>H2 20: 13.8 kV e-house</t>
        </is>
      </c>
      <c r="G5460" s="12" t="inlineStr">
        <is>
          <t>JB-H2 26: H2 compress-DI01</t>
        </is>
      </c>
      <c r="H5460" s="12" t="inlineStr">
        <is>
          <t>H2 26: H2 compressor 2 (40 ft ISO)</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7" t="n">
        <v>50</v>
      </c>
      <c r="U5460" s="17" t="n">
        <v>47</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K-I-0053</t>
        </is>
      </c>
      <c r="B5461" s="12" t="inlineStr">
        <is>
          <t>K</t>
        </is>
      </c>
      <c r="C5461" s="12" t="inlineStr">
        <is>
          <t>Fuel supply (adjacent market)</t>
        </is>
      </c>
      <c r="D5461" s="12" t="inlineStr">
        <is>
          <t>Analog instrument to JB JB-H2 27: storage tub-AI01: 12 x 1 pr (field cables)</t>
        </is>
      </c>
      <c r="E5461" s="12" t="inlineStr"/>
      <c r="F5461" s="12" t="inlineStr">
        <is>
          <t>H2 27: storage tube bank (~40 ft tubes)</t>
        </is>
      </c>
      <c r="G5461" s="12" t="inlineStr">
        <is>
          <t>JB-H2 27: storage tub-AI01</t>
        </is>
      </c>
      <c r="H5461" s="12" t="inlineStr">
        <is>
          <t>H2 27: storage tube bank (~40 ft tubes)</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7" t="n">
        <v>54</v>
      </c>
      <c r="U5461" s="17" t="n">
        <v>10</v>
      </c>
      <c r="V5461" s="17">
        <f>ROUNDUP((T5461+U5461+2*'Read Me'!$B$13)*(1+'Read Me'!$B$12),-1)</f>
        <v/>
      </c>
      <c r="W5461" s="17">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K-I-0054</t>
        </is>
      </c>
      <c r="B5462" s="12" t="inlineStr">
        <is>
          <t>K</t>
        </is>
      </c>
      <c r="C5462" s="12" t="inlineStr">
        <is>
          <t>Fuel supply (adjacent market)</t>
        </is>
      </c>
      <c r="D5462" s="12" t="inlineStr">
        <is>
          <t>Home run JB-H2 27: storage tub-AI01 to the control / marshalling room</t>
        </is>
      </c>
      <c r="E5462" s="12" t="inlineStr"/>
      <c r="F5462" s="12" t="inlineStr">
        <is>
          <t>H2 20: 13.8 kV e-house</t>
        </is>
      </c>
      <c r="G5462" s="12" t="inlineStr">
        <is>
          <t>JB-H2 27: storage tub-AI01</t>
        </is>
      </c>
      <c r="H5462" s="12" t="inlineStr">
        <is>
          <t>H2 27: storage tube bank (~40 ft tubes)</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7" t="n">
        <v>50</v>
      </c>
      <c r="U5462" s="17" t="n">
        <v>97</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K-I-0055</t>
        </is>
      </c>
      <c r="B5463" s="12" t="inlineStr">
        <is>
          <t>K</t>
        </is>
      </c>
      <c r="C5463" s="12" t="inlineStr">
        <is>
          <t>Fuel supply (adjacent market)</t>
        </is>
      </c>
      <c r="D5463" s="12" t="inlineStr">
        <is>
          <t>Discrete device to JB JB-H2 27: storage tub-DI01: 12 x 1 pr (field cables)</t>
        </is>
      </c>
      <c r="E5463" s="12" t="inlineStr"/>
      <c r="F5463" s="12" t="inlineStr">
        <is>
          <t>H2 27: storage tube bank (~40 ft tubes)</t>
        </is>
      </c>
      <c r="G5463" s="12" t="inlineStr">
        <is>
          <t>JB-H2 27: storage tub-DI01</t>
        </is>
      </c>
      <c r="H5463" s="12" t="inlineStr">
        <is>
          <t>H2 27: storage tube bank (~40 ft tubes)</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7" t="n">
        <v>54</v>
      </c>
      <c r="U5463" s="17" t="n">
        <v>10</v>
      </c>
      <c r="V5463" s="17">
        <f>ROUNDUP((T5463+U5463+2*'Read Me'!$B$13)*(1+'Read Me'!$B$12),-1)</f>
        <v/>
      </c>
      <c r="W5463" s="17">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K-I-0056</t>
        </is>
      </c>
      <c r="B5464" s="12" t="inlineStr">
        <is>
          <t>K</t>
        </is>
      </c>
      <c r="C5464" s="12" t="inlineStr">
        <is>
          <t>Fuel supply (adjacent market)</t>
        </is>
      </c>
      <c r="D5464" s="12" t="inlineStr">
        <is>
          <t>Home run JB-H2 27: storage tub-DI01 to the control / marshalling room</t>
        </is>
      </c>
      <c r="E5464" s="12" t="inlineStr"/>
      <c r="F5464" s="12" t="inlineStr">
        <is>
          <t>H2 20: 13.8 kV e-house</t>
        </is>
      </c>
      <c r="G5464" s="12" t="inlineStr">
        <is>
          <t>JB-H2 27: storage tub-DI01</t>
        </is>
      </c>
      <c r="H5464" s="12" t="inlineStr">
        <is>
          <t>H2 27: storage tube bank (~40 ft tubes)</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7" t="n">
        <v>50</v>
      </c>
      <c r="U5464" s="17" t="n">
        <v>97</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K-I-0057</t>
        </is>
      </c>
      <c r="B5465" s="12" t="inlineStr">
        <is>
          <t>K</t>
        </is>
      </c>
      <c r="C5465" s="12" t="inlineStr">
        <is>
          <t>Fuel supply (adjacent market)</t>
        </is>
      </c>
      <c r="D5465" s="12" t="inlineStr">
        <is>
          <t>Analog instrument to JB JB-H2 27: storage tub-AI01: 12 x 1 pr (field cables)</t>
        </is>
      </c>
      <c r="E5465" s="12" t="inlineStr"/>
      <c r="F5465" s="12" t="inlineStr">
        <is>
          <t>H2 27: storage tube bank (~40 ft tubes)</t>
        </is>
      </c>
      <c r="G5465" s="12" t="inlineStr">
        <is>
          <t>JB-H2 27: storage tub-AI01</t>
        </is>
      </c>
      <c r="H5465" s="12" t="inlineStr">
        <is>
          <t>H2 27: storage tube bank (~40 ft tubes)</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7" t="n">
        <v>54</v>
      </c>
      <c r="U5465" s="17" t="n">
        <v>10</v>
      </c>
      <c r="V5465" s="17">
        <f>ROUNDUP((T5465+U5465+2*'Read Me'!$B$13)*(1+'Read Me'!$B$12),-1)</f>
        <v/>
      </c>
      <c r="W5465" s="17">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K-I-0058</t>
        </is>
      </c>
      <c r="B5466" s="12" t="inlineStr">
        <is>
          <t>K</t>
        </is>
      </c>
      <c r="C5466" s="12" t="inlineStr">
        <is>
          <t>Fuel supply (adjacent market)</t>
        </is>
      </c>
      <c r="D5466" s="12" t="inlineStr">
        <is>
          <t>Home run JB-H2 27: storage tub-AI01 to the control / marshalling room</t>
        </is>
      </c>
      <c r="E5466" s="12" t="inlineStr"/>
      <c r="F5466" s="12" t="inlineStr">
        <is>
          <t>H2 20: 13.8 kV e-house</t>
        </is>
      </c>
      <c r="G5466" s="12" t="inlineStr">
        <is>
          <t>JB-H2 27: storage tub-AI01</t>
        </is>
      </c>
      <c r="H5466" s="12" t="inlineStr">
        <is>
          <t>H2 27: storage tube bank (~40 ft tubes)</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7" t="n">
        <v>50</v>
      </c>
      <c r="U5466" s="17" t="n">
        <v>117</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K-I-0059</t>
        </is>
      </c>
      <c r="B5467" s="12" t="inlineStr">
        <is>
          <t>K</t>
        </is>
      </c>
      <c r="C5467" s="12" t="inlineStr">
        <is>
          <t>Fuel supply (adjacent market)</t>
        </is>
      </c>
      <c r="D5467" s="12" t="inlineStr">
        <is>
          <t>Discrete device to JB JB-H2 27: storage tub-DI01: 12 x 1 pr (field cables)</t>
        </is>
      </c>
      <c r="E5467" s="12" t="inlineStr"/>
      <c r="F5467" s="12" t="inlineStr">
        <is>
          <t>H2 27: storage tube bank (~40 ft tubes)</t>
        </is>
      </c>
      <c r="G5467" s="12" t="inlineStr">
        <is>
          <t>JB-H2 27: storage tub-DI01</t>
        </is>
      </c>
      <c r="H5467" s="12" t="inlineStr">
        <is>
          <t>H2 27: storage tube bank (~40 ft tubes)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7" t="n">
        <v>54</v>
      </c>
      <c r="U5467" s="17" t="n">
        <v>10</v>
      </c>
      <c r="V5467" s="17">
        <f>ROUNDUP((T5467+U5467+2*'Read Me'!$B$13)*(1+'Read Me'!$B$12),-1)</f>
        <v/>
      </c>
      <c r="W5467" s="17">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K-I-0060</t>
        </is>
      </c>
      <c r="B5468" s="12" t="inlineStr">
        <is>
          <t>K</t>
        </is>
      </c>
      <c r="C5468" s="12" t="inlineStr">
        <is>
          <t>Fuel supply (adjacent market)</t>
        </is>
      </c>
      <c r="D5468" s="12" t="inlineStr">
        <is>
          <t>Home run JB-H2 27: storage tub-DI01 to the control / marshalling room</t>
        </is>
      </c>
      <c r="E5468" s="12" t="inlineStr"/>
      <c r="F5468" s="12" t="inlineStr">
        <is>
          <t>H2 20: 13.8 kV e-house</t>
        </is>
      </c>
      <c r="G5468" s="12" t="inlineStr">
        <is>
          <t>JB-H2 27: storage tub-DI01</t>
        </is>
      </c>
      <c r="H5468" s="12" t="inlineStr">
        <is>
          <t>H2 27: storage tube bank (~40 ft tubes)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7" t="n">
        <v>50</v>
      </c>
      <c r="U5468" s="17" t="n">
        <v>117</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K-I-0061</t>
        </is>
      </c>
      <c r="B5469" s="12" t="inlineStr">
        <is>
          <t>K</t>
        </is>
      </c>
      <c r="C5469" s="12" t="inlineStr">
        <is>
          <t>Fuel supply (adjacent market)</t>
        </is>
      </c>
      <c r="D5469" s="12" t="inlineStr">
        <is>
          <t>Analog instrument to JB JB-H2 27: storage tub-AI01: 12 x 1 pr (field cables)</t>
        </is>
      </c>
      <c r="E5469" s="12" t="inlineStr"/>
      <c r="F5469" s="12" t="inlineStr">
        <is>
          <t>H2 27: storage tube bank (~40 ft tubes)</t>
        </is>
      </c>
      <c r="G5469" s="12" t="inlineStr">
        <is>
          <t>JB-H2 27: storage tub-AI01</t>
        </is>
      </c>
      <c r="H5469" s="12" t="inlineStr">
        <is>
          <t>H2 27: storage tube bank (~40 ft tubes)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7" t="n">
        <v>54</v>
      </c>
      <c r="U5469" s="17" t="n">
        <v>10</v>
      </c>
      <c r="V5469" s="17">
        <f>ROUNDUP((T5469+U5469+2*'Read Me'!$B$13)*(1+'Read Me'!$B$12),-1)</f>
        <v/>
      </c>
      <c r="W5469" s="17">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K-I-0062</t>
        </is>
      </c>
      <c r="B5470" s="12" t="inlineStr">
        <is>
          <t>K</t>
        </is>
      </c>
      <c r="C5470" s="12" t="inlineStr">
        <is>
          <t>Fuel supply (adjacent market)</t>
        </is>
      </c>
      <c r="D5470" s="12" t="inlineStr">
        <is>
          <t>Home run JB-H2 27: storage tub-AI01 to the control / marshalling room</t>
        </is>
      </c>
      <c r="E5470" s="12" t="inlineStr"/>
      <c r="F5470" s="12" t="inlineStr">
        <is>
          <t>H2 20: 13.8 kV e-house</t>
        </is>
      </c>
      <c r="G5470" s="12" t="inlineStr">
        <is>
          <t>JB-H2 27: storage tub-AI01</t>
        </is>
      </c>
      <c r="H5470" s="12" t="inlineStr">
        <is>
          <t>H2 27: storage tube bank (~40 ft tubes)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7" t="n">
        <v>50</v>
      </c>
      <c r="U5470" s="17" t="n">
        <v>97</v>
      </c>
      <c r="V5470" s="17">
        <f>ROUNDUP((T5470+U5470+2*'Read Me'!$B$13)*(1+'Read Me'!$B$12),-1)</f>
        <v/>
      </c>
      <c r="W5470" s="17">
        <f>V5470*N5470*O5470</f>
        <v/>
      </c>
      <c r="X5470" s="12">
        <f>IF(LEFT(I5470,2)="MV",2*N5470*IF(L5470="1/C",O5470,1),0)</f>
        <v/>
      </c>
      <c r="Y5470" s="12">
        <f>IF(OR(LEFT(K5470,4)="LVAX",LEFT(K5470,6)="MV15AX",LEFT(K5470,4)="CTAX",LEFT(K5470,2)="W|"),2*N5470*O5470,0)</f>
        <v/>
      </c>
      <c r="Z5470" s="12" t="inlineStr"/>
      <c r="AA5470" s="12">
        <f>N5470*O5470</f>
        <v/>
      </c>
    </row>
    <row r="5471">
      <c r="A5471" s="12" t="inlineStr">
        <is>
          <t>K-I-0063</t>
        </is>
      </c>
      <c r="B5471" s="12" t="inlineStr">
        <is>
          <t>K</t>
        </is>
      </c>
      <c r="C5471" s="12" t="inlineStr">
        <is>
          <t>Fuel supply (adjacent market)</t>
        </is>
      </c>
      <c r="D5471" s="12" t="inlineStr">
        <is>
          <t>Discrete device to JB JB-H2 27: storage tub-DI01: 12 x 1 pr (field cables)</t>
        </is>
      </c>
      <c r="E5471" s="12" t="inlineStr"/>
      <c r="F5471" s="12" t="inlineStr">
        <is>
          <t>H2 27: storage tube bank (~40 ft tubes)</t>
        </is>
      </c>
      <c r="G5471" s="12" t="inlineStr">
        <is>
          <t>JB-H2 27: storage tub-DI01</t>
        </is>
      </c>
      <c r="H5471" s="12" t="inlineStr">
        <is>
          <t>H2 27: storage tube bank (~40 ft tubes)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7" t="n">
        <v>54</v>
      </c>
      <c r="U5471" s="17" t="n">
        <v>10</v>
      </c>
      <c r="V5471" s="17">
        <f>ROUNDUP((T5471+U5471+2*'Read Me'!$B$13)*(1+'Read Me'!$B$12),-1)</f>
        <v/>
      </c>
      <c r="W5471" s="17">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K-I-0064</t>
        </is>
      </c>
      <c r="B5472" s="12" t="inlineStr">
        <is>
          <t>K</t>
        </is>
      </c>
      <c r="C5472" s="12" t="inlineStr">
        <is>
          <t>Fuel supply (adjacent market)</t>
        </is>
      </c>
      <c r="D5472" s="12" t="inlineStr">
        <is>
          <t>Home run JB-H2 27: storage tub-DI01 to the control / marshalling room</t>
        </is>
      </c>
      <c r="E5472" s="12" t="inlineStr"/>
      <c r="F5472" s="12" t="inlineStr">
        <is>
          <t>H2 20: 13.8 kV e-house</t>
        </is>
      </c>
      <c r="G5472" s="12" t="inlineStr">
        <is>
          <t>JB-H2 27: storage tub-DI01</t>
        </is>
      </c>
      <c r="H5472" s="12" t="inlineStr">
        <is>
          <t>H2 27: storage tube bank (~40 ft tubes)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7" t="n">
        <v>50</v>
      </c>
      <c r="U5472" s="17" t="n">
        <v>97</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K-I-0065</t>
        </is>
      </c>
      <c r="B5473" s="12" t="inlineStr">
        <is>
          <t>K</t>
        </is>
      </c>
      <c r="C5473" s="12" t="inlineStr">
        <is>
          <t>Fuel supply (adjacent market)</t>
        </is>
      </c>
      <c r="D5473" s="12" t="inlineStr">
        <is>
          <t>Analog instrument to JB JB-H2 27: storage tub-AI01: 12 x 1 pr (field cables)</t>
        </is>
      </c>
      <c r="E5473" s="12" t="inlineStr"/>
      <c r="F5473" s="12" t="inlineStr">
        <is>
          <t>H2 27: storage tube bank (~40 ft tubes)</t>
        </is>
      </c>
      <c r="G5473" s="12" t="inlineStr">
        <is>
          <t>JB-H2 27: storage tub-AI01</t>
        </is>
      </c>
      <c r="H5473" s="12" t="inlineStr">
        <is>
          <t>H2 27: storage tube bank (~40 ft tubes)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7" t="n">
        <v>54</v>
      </c>
      <c r="U5473" s="17" t="n">
        <v>10</v>
      </c>
      <c r="V5473" s="17">
        <f>ROUNDUP((T5473+U5473+2*'Read Me'!$B$13)*(1+'Read Me'!$B$12),-1)</f>
        <v/>
      </c>
      <c r="W5473" s="17">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K-I-0066</t>
        </is>
      </c>
      <c r="B5474" s="12" t="inlineStr">
        <is>
          <t>K</t>
        </is>
      </c>
      <c r="C5474" s="12" t="inlineStr">
        <is>
          <t>Fuel supply (adjacent market)</t>
        </is>
      </c>
      <c r="D5474" s="12" t="inlineStr">
        <is>
          <t>Home run JB-H2 27: storage tub-AI01 to the control / marshalling room</t>
        </is>
      </c>
      <c r="E5474" s="12" t="inlineStr"/>
      <c r="F5474" s="12" t="inlineStr">
        <is>
          <t>H2 20: 13.8 kV e-house</t>
        </is>
      </c>
      <c r="G5474" s="12" t="inlineStr">
        <is>
          <t>JB-H2 27: storage tub-AI01</t>
        </is>
      </c>
      <c r="H5474" s="12" t="inlineStr">
        <is>
          <t>H2 27: storage tube bank (~40 ft tubes)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7" t="n">
        <v>50</v>
      </c>
      <c r="U5474" s="17" t="n">
        <v>117</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K-I-0067</t>
        </is>
      </c>
      <c r="B5475" s="12" t="inlineStr">
        <is>
          <t>K</t>
        </is>
      </c>
      <c r="C5475" s="12" t="inlineStr">
        <is>
          <t>Fuel supply (adjacent market)</t>
        </is>
      </c>
      <c r="D5475" s="12" t="inlineStr">
        <is>
          <t>Discrete device to JB JB-H2 27: storage tub-DI01: 12 x 1 pr (field cables)</t>
        </is>
      </c>
      <c r="E5475" s="12" t="inlineStr"/>
      <c r="F5475" s="12" t="inlineStr">
        <is>
          <t>H2 27: storage tube bank (~40 ft tubes)</t>
        </is>
      </c>
      <c r="G5475" s="12" t="inlineStr">
        <is>
          <t>JB-H2 27: storage tub-DI01</t>
        </is>
      </c>
      <c r="H5475" s="12" t="inlineStr">
        <is>
          <t>H2 27: storage tube bank (~40 ft tubes)</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7" t="n">
        <v>54</v>
      </c>
      <c r="U5475" s="17" t="n">
        <v>10</v>
      </c>
      <c r="V5475" s="17">
        <f>ROUNDUP((T5475+U5475+2*'Read Me'!$B$13)*(1+'Read Me'!$B$12),-1)</f>
        <v/>
      </c>
      <c r="W5475" s="17">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K-I-0068</t>
        </is>
      </c>
      <c r="B5476" s="12" t="inlineStr">
        <is>
          <t>K</t>
        </is>
      </c>
      <c r="C5476" s="12" t="inlineStr">
        <is>
          <t>Fuel supply (adjacent market)</t>
        </is>
      </c>
      <c r="D5476" s="12" t="inlineStr">
        <is>
          <t>Home run JB-H2 27: storage tub-DI01 to the control / marshalling room</t>
        </is>
      </c>
      <c r="E5476" s="12" t="inlineStr"/>
      <c r="F5476" s="12" t="inlineStr">
        <is>
          <t>H2 20: 13.8 kV e-house</t>
        </is>
      </c>
      <c r="G5476" s="12" t="inlineStr">
        <is>
          <t>JB-H2 27: storage tub-DI01</t>
        </is>
      </c>
      <c r="H5476" s="12" t="inlineStr">
        <is>
          <t>H2 27: storage tube bank (~40 ft tubes)</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7" t="n">
        <v>50</v>
      </c>
      <c r="U5476" s="17" t="n">
        <v>117</v>
      </c>
      <c r="V5476" s="17">
        <f>ROUNDUP((T5476+U5476+2*'Read Me'!$B$13)*(1+'Read Me'!$B$12),-1)</f>
        <v/>
      </c>
      <c r="W5476" s="17">
        <f>V5476*N5476*O5476</f>
        <v/>
      </c>
      <c r="X5476" s="12">
        <f>IF(LEFT(I5476,2)="MV",2*N5476*IF(L5476="1/C",O5476,1),0)</f>
        <v/>
      </c>
      <c r="Y5476" s="12">
        <f>IF(OR(LEFT(K5476,4)="LVAX",LEFT(K5476,6)="MV15AX",LEFT(K5476,4)="CTAX",LEFT(K5476,2)="W|"),2*N5476*O5476,0)</f>
        <v/>
      </c>
      <c r="Z5476" s="12" t="inlineStr"/>
      <c r="AA5476" s="12">
        <f>N5476*O5476</f>
        <v/>
      </c>
    </row>
    <row r="5477">
      <c r="A5477" s="12" t="inlineStr">
        <is>
          <t>K-I-0069</t>
        </is>
      </c>
      <c r="B5477" s="12" t="inlineStr">
        <is>
          <t>K</t>
        </is>
      </c>
      <c r="C5477" s="12" t="inlineStr">
        <is>
          <t>Fuel supply (adjacent market)</t>
        </is>
      </c>
      <c r="D5477" s="12" t="inlineStr">
        <is>
          <t>Analog instrument to JB JB-H2 28: N2 purge su-AI01: 12 x 1 pr (field cables)</t>
        </is>
      </c>
      <c r="E5477" s="12" t="inlineStr"/>
      <c r="F5477" s="12" t="inlineStr">
        <is>
          <t>H2 28: N2 purge supply</t>
        </is>
      </c>
      <c r="G5477" s="12" t="inlineStr">
        <is>
          <t>JB-H2 28: N2 purge su-AI01</t>
        </is>
      </c>
      <c r="H5477" s="12" t="inlineStr">
        <is>
          <t>H2 28: N2 purge supply</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7" t="n">
        <v>56</v>
      </c>
      <c r="U5477" s="17" t="n">
        <v>10</v>
      </c>
      <c r="V5477" s="17">
        <f>ROUNDUP((T5477+U5477+2*'Read Me'!$B$13)*(1+'Read Me'!$B$12),-1)</f>
        <v/>
      </c>
      <c r="W5477" s="17">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K-I-0070</t>
        </is>
      </c>
      <c r="B5478" s="12" t="inlineStr">
        <is>
          <t>K</t>
        </is>
      </c>
      <c r="C5478" s="12" t="inlineStr">
        <is>
          <t>Fuel supply (adjacent market)</t>
        </is>
      </c>
      <c r="D5478" s="12" t="inlineStr">
        <is>
          <t>Home run JB-H2 28: N2 purge su-AI01 to the control / marshalling room</t>
        </is>
      </c>
      <c r="E5478" s="12" t="inlineStr"/>
      <c r="F5478" s="12" t="inlineStr">
        <is>
          <t>H2 20: 13.8 kV e-house</t>
        </is>
      </c>
      <c r="G5478" s="12" t="inlineStr">
        <is>
          <t>JB-H2 28: N2 purge su-AI01</t>
        </is>
      </c>
      <c r="H5478" s="12" t="inlineStr">
        <is>
          <t>H2 28: N2 purge supply</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7" t="n">
        <v>53</v>
      </c>
      <c r="U5478" s="17" t="n">
        <v>36</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K-I-0071</t>
        </is>
      </c>
      <c r="B5479" s="12" t="inlineStr">
        <is>
          <t>K</t>
        </is>
      </c>
      <c r="C5479" s="12" t="inlineStr">
        <is>
          <t>Fuel supply (adjacent market)</t>
        </is>
      </c>
      <c r="D5479" s="12" t="inlineStr">
        <is>
          <t>Discrete device to JB JB-H2 28: N2 purge su-DI01: 12 x 1 pr (field cables)</t>
        </is>
      </c>
      <c r="E5479" s="12" t="inlineStr"/>
      <c r="F5479" s="12" t="inlineStr">
        <is>
          <t>H2 28: N2 purge supply</t>
        </is>
      </c>
      <c r="G5479" s="12" t="inlineStr">
        <is>
          <t>JB-H2 28: N2 purge su-DI01</t>
        </is>
      </c>
      <c r="H5479" s="12" t="inlineStr">
        <is>
          <t>H2 28: N2 purge supply</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7" t="n">
        <v>56</v>
      </c>
      <c r="U5479" s="17" t="n">
        <v>10</v>
      </c>
      <c r="V5479" s="17">
        <f>ROUNDUP((T5479+U5479+2*'Read Me'!$B$13)*(1+'Read Me'!$B$12),-1)</f>
        <v/>
      </c>
      <c r="W5479" s="17">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K-I-0072</t>
        </is>
      </c>
      <c r="B5480" s="12" t="inlineStr">
        <is>
          <t>K</t>
        </is>
      </c>
      <c r="C5480" s="12" t="inlineStr">
        <is>
          <t>Fuel supply (adjacent market)</t>
        </is>
      </c>
      <c r="D5480" s="12" t="inlineStr">
        <is>
          <t>Home run JB-H2 28: N2 purge su-DI01 to the control / marshalling room</t>
        </is>
      </c>
      <c r="E5480" s="12" t="inlineStr"/>
      <c r="F5480" s="12" t="inlineStr">
        <is>
          <t>H2 20: 13.8 kV e-house</t>
        </is>
      </c>
      <c r="G5480" s="12" t="inlineStr">
        <is>
          <t>JB-H2 28: N2 purge su-DI01</t>
        </is>
      </c>
      <c r="H5480" s="12" t="inlineStr">
        <is>
          <t>H2 28: N2 purge supply</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7" t="n">
        <v>53</v>
      </c>
      <c r="U5480" s="17" t="n">
        <v>36</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K-I-0073</t>
        </is>
      </c>
      <c r="B5481" s="12" t="inlineStr">
        <is>
          <t>K</t>
        </is>
      </c>
      <c r="C5481" s="12" t="inlineStr">
        <is>
          <t>Fuel supply (adjacent market)</t>
        </is>
      </c>
      <c r="D5481" s="12" t="inlineStr">
        <is>
          <t>Analog instrument to JB JB-H2 29: vent stack-AI01: 12 x 1 pr (field cables)</t>
        </is>
      </c>
      <c r="E5481" s="12" t="inlineStr"/>
      <c r="F5481" s="12" t="inlineStr">
        <is>
          <t>H2 29: vent stack</t>
        </is>
      </c>
      <c r="G5481" s="12" t="inlineStr">
        <is>
          <t>JB-H2 29: vent stack-AI01</t>
        </is>
      </c>
      <c r="H5481" s="12" t="inlineStr">
        <is>
          <t>H2 29: vent stack</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7" t="n">
        <v>45</v>
      </c>
      <c r="U5481" s="17" t="n">
        <v>10</v>
      </c>
      <c r="V5481" s="17">
        <f>ROUNDUP((T5481+U5481+2*'Read Me'!$B$13)*(1+'Read Me'!$B$12),-1)</f>
        <v/>
      </c>
      <c r="W5481" s="17">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K-I-0074</t>
        </is>
      </c>
      <c r="B5482" s="12" t="inlineStr">
        <is>
          <t>K</t>
        </is>
      </c>
      <c r="C5482" s="12" t="inlineStr">
        <is>
          <t>Fuel supply (adjacent market)</t>
        </is>
      </c>
      <c r="D5482" s="12" t="inlineStr">
        <is>
          <t>Home run JB-H2 29: vent stack-AI01 to the control / marshalling room</t>
        </is>
      </c>
      <c r="E5482" s="12" t="inlineStr"/>
      <c r="F5482" s="12" t="inlineStr">
        <is>
          <t>H2 20: 13.8 kV e-house</t>
        </is>
      </c>
      <c r="G5482" s="12" t="inlineStr">
        <is>
          <t>JB-H2 29: vent stack-AI01</t>
        </is>
      </c>
      <c r="H5482" s="12" t="inlineStr">
        <is>
          <t>H2 29: vent stack</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7" t="n">
        <v>55</v>
      </c>
      <c r="U5482" s="17" t="n">
        <v>205</v>
      </c>
      <c r="V5482" s="17">
        <f>ROUNDUP((T5482+U5482+2*'Read Me'!$B$13)*(1+'Read Me'!$B$12),-1)</f>
        <v/>
      </c>
      <c r="W5482" s="17">
        <f>V5482*N5482*O5482</f>
        <v/>
      </c>
      <c r="X5482" s="12">
        <f>IF(LEFT(I5482,2)="MV",2*N5482*IF(L5482="1/C",O5482,1),0)</f>
        <v/>
      </c>
      <c r="Y5482" s="12">
        <f>IF(OR(LEFT(K5482,4)="LVAX",LEFT(K5482,6)="MV15AX",LEFT(K5482,4)="CTAX",LEFT(K5482,2)="W|"),2*N5482*O5482,0)</f>
        <v/>
      </c>
      <c r="Z5482" s="12" t="inlineStr"/>
      <c r="AA5482" s="12">
        <f>N5482*O5482</f>
        <v/>
      </c>
    </row>
    <row r="5483">
      <c r="A5483" s="12" t="inlineStr">
        <is>
          <t>K-I-0075</t>
        </is>
      </c>
      <c r="B5483" s="12" t="inlineStr">
        <is>
          <t>K</t>
        </is>
      </c>
      <c r="C5483" s="12" t="inlineStr">
        <is>
          <t>Fuel supply (adjacent market)</t>
        </is>
      </c>
      <c r="D5483" s="12" t="inlineStr">
        <is>
          <t>Discrete device to JB JB-H2 29: vent stack-DI01: 12 x 1 pr (field cables)</t>
        </is>
      </c>
      <c r="E5483" s="12" t="inlineStr"/>
      <c r="F5483" s="12" t="inlineStr">
        <is>
          <t>H2 29: vent stack</t>
        </is>
      </c>
      <c r="G5483" s="12" t="inlineStr">
        <is>
          <t>JB-H2 29: vent stack-DI01</t>
        </is>
      </c>
      <c r="H5483" s="12" t="inlineStr">
        <is>
          <t>H2 29: vent stack</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7" t="n">
        <v>45</v>
      </c>
      <c r="U5483" s="17" t="n">
        <v>10</v>
      </c>
      <c r="V5483" s="17">
        <f>ROUNDUP((T5483+U5483+2*'Read Me'!$B$13)*(1+'Read Me'!$B$12),-1)</f>
        <v/>
      </c>
      <c r="W5483" s="17">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K-I-0076</t>
        </is>
      </c>
      <c r="B5484" s="12" t="inlineStr">
        <is>
          <t>K</t>
        </is>
      </c>
      <c r="C5484" s="12" t="inlineStr">
        <is>
          <t>Fuel supply (adjacent market)</t>
        </is>
      </c>
      <c r="D5484" s="12" t="inlineStr">
        <is>
          <t>Home run JB-H2 29: vent stack-DI01 to the control / marshalling room</t>
        </is>
      </c>
      <c r="E5484" s="12" t="inlineStr"/>
      <c r="F5484" s="12" t="inlineStr">
        <is>
          <t>H2 20: 13.8 kV e-house</t>
        </is>
      </c>
      <c r="G5484" s="12" t="inlineStr">
        <is>
          <t>JB-H2 29: vent stack-DI01</t>
        </is>
      </c>
      <c r="H5484" s="12" t="inlineStr">
        <is>
          <t>H2 29: vent stack</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7" t="n">
        <v>55</v>
      </c>
      <c r="U5484" s="17" t="n">
        <v>205</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K-I-0077</t>
        </is>
      </c>
      <c r="B5485" s="12" t="inlineStr">
        <is>
          <t>K</t>
        </is>
      </c>
      <c r="C5485" s="12" t="inlineStr">
        <is>
          <t>Fuel supply (adjacent market)</t>
        </is>
      </c>
      <c r="D5485" s="12" t="inlineStr">
        <is>
          <t>Analog instrument to JB JB-H2 30: H2 / gas bl-AI01: 12 x 1 pr (field cables)</t>
        </is>
      </c>
      <c r="E5485" s="12" t="inlineStr"/>
      <c r="F5485" s="12" t="inlineStr">
        <is>
          <t>H2 30: H2 / gas blending station (plant gas yard)</t>
        </is>
      </c>
      <c r="G5485" s="12" t="inlineStr">
        <is>
          <t>JB-H2 30: H2 / gas bl-AI01</t>
        </is>
      </c>
      <c r="H5485" s="12" t="inlineStr">
        <is>
          <t>H2 30: H2 / gas blending station (plant gas yard)</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7" t="n">
        <v>129</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K-I-0078</t>
        </is>
      </c>
      <c r="B5486" s="12" t="inlineStr">
        <is>
          <t>K</t>
        </is>
      </c>
      <c r="C5486" s="12" t="inlineStr">
        <is>
          <t>Fuel supply (adjacent market)</t>
        </is>
      </c>
      <c r="D5486" s="12" t="inlineStr">
        <is>
          <t>Home run JB-H2 30: H2 / gas bl-AI01 to the control / marshalling room</t>
        </is>
      </c>
      <c r="E5486" s="12" t="inlineStr"/>
      <c r="F5486" s="12" t="inlineStr">
        <is>
          <t>LNG 17: LNG e-house (13.8 kV / 480 V)</t>
        </is>
      </c>
      <c r="G5486" s="12" t="inlineStr">
        <is>
          <t>JB-H2 30: H2 / gas bl-AI01</t>
        </is>
      </c>
      <c r="H5486" s="12" t="inlineStr">
        <is>
          <t>H2 30: H2 / gas blending station (plant gas yard)</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7" t="n">
        <v>994</v>
      </c>
      <c r="U5486" s="17" t="n">
        <v>114</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K-I-0079</t>
        </is>
      </c>
      <c r="B5487" s="12" t="inlineStr">
        <is>
          <t>K</t>
        </is>
      </c>
      <c r="C5487" s="12" t="inlineStr">
        <is>
          <t>Fuel supply (adjacent market)</t>
        </is>
      </c>
      <c r="D5487" s="12" t="inlineStr">
        <is>
          <t>Discrete device to JB JB-H2 30: H2 / gas bl-DI01: 12 x 1 pr (field cables)</t>
        </is>
      </c>
      <c r="E5487" s="12" t="inlineStr"/>
      <c r="F5487" s="12" t="inlineStr">
        <is>
          <t>H2 30: H2 / gas blending station (plant gas yard)</t>
        </is>
      </c>
      <c r="G5487" s="12" t="inlineStr">
        <is>
          <t>JB-H2 30: H2 / gas bl-DI01</t>
        </is>
      </c>
      <c r="H5487" s="12" t="inlineStr">
        <is>
          <t>H2 30: H2 / gas blending station (plant gas yard)</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7" t="n">
        <v>129</v>
      </c>
      <c r="U5487" s="17" t="n">
        <v>10</v>
      </c>
      <c r="V5487" s="17">
        <f>ROUNDUP((T5487+U5487+2*'Read Me'!$B$13)*(1+'Read Me'!$B$12),-1)</f>
        <v/>
      </c>
      <c r="W5487" s="17">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K-I-0080</t>
        </is>
      </c>
      <c r="B5488" s="12" t="inlineStr">
        <is>
          <t>K</t>
        </is>
      </c>
      <c r="C5488" s="12" t="inlineStr">
        <is>
          <t>Fuel supply (adjacent market)</t>
        </is>
      </c>
      <c r="D5488" s="12" t="inlineStr">
        <is>
          <t>Home run JB-H2 30: H2 / gas bl-DI01 to the control / marshalling room</t>
        </is>
      </c>
      <c r="E5488" s="12" t="inlineStr"/>
      <c r="F5488" s="12" t="inlineStr">
        <is>
          <t>LNG 17: LNG e-house (13.8 kV / 480 V)</t>
        </is>
      </c>
      <c r="G5488" s="12" t="inlineStr">
        <is>
          <t>JB-H2 30: H2 / gas bl-DI01</t>
        </is>
      </c>
      <c r="H5488" s="12" t="inlineStr">
        <is>
          <t>H2 30: H2 / gas blending station (plant gas yard)</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7" t="n">
        <v>994</v>
      </c>
      <c r="U5488" s="17" t="n">
        <v>114</v>
      </c>
      <c r="V5488" s="17">
        <f>ROUNDUP((T5488+U5488+2*'Read Me'!$B$13)*(1+'Read Me'!$B$12),-1)</f>
        <v/>
      </c>
      <c r="W5488" s="17">
        <f>V5488*N5488*O5488</f>
        <v/>
      </c>
      <c r="X5488" s="12">
        <f>IF(LEFT(I5488,2)="MV",2*N5488*IF(L5488="1/C",O5488,1),0)</f>
        <v/>
      </c>
      <c r="Y5488" s="12">
        <f>IF(OR(LEFT(K5488,4)="LVAX",LEFT(K5488,6)="MV15AX",LEFT(K5488,4)="CTAX",LEFT(K5488,2)="W|"),2*N5488*O5488,0)</f>
        <v/>
      </c>
      <c r="Z5488" s="12" t="inlineStr"/>
      <c r="AA5488" s="12">
        <f>N5488*O5488</f>
        <v/>
      </c>
    </row>
    <row r="5489">
      <c r="A5489" s="12" t="inlineStr">
        <is>
          <t>K-I-0081</t>
        </is>
      </c>
      <c r="B5489" s="12" t="inlineStr">
        <is>
          <t>K</t>
        </is>
      </c>
      <c r="C5489" s="12" t="inlineStr">
        <is>
          <t>Fuel supply (adjacent market)</t>
        </is>
      </c>
      <c r="D5489" s="12" t="inlineStr">
        <is>
          <t>Analog instrument to JB JB-H2 pipe track and -AI01: 10 x 1 pr (field cables)</t>
        </is>
      </c>
      <c r="E5489" s="12" t="inlineStr"/>
      <c r="F5489" s="12" t="inlineStr">
        <is>
          <t>H2 pipe track and cable trench, hall -&gt; dryer / compressors (N2, instr</t>
        </is>
      </c>
      <c r="G5489" s="12" t="inlineStr">
        <is>
          <t>JB-H2 pipe track and -AI01</t>
        </is>
      </c>
      <c r="H5489" s="12" t="inlineStr">
        <is>
          <t>H2 pipe track and cable trench, hall -&gt; dryer / compressors (N2, instr</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10</v>
      </c>
      <c r="O5489" s="12" t="n">
        <v>1</v>
      </c>
      <c r="P5489" s="12" t="n"/>
      <c r="Q5489" s="12" t="n"/>
      <c r="R5489" s="12" t="n"/>
      <c r="S5489" s="12" t="inlineStr">
        <is>
          <t>Tray / conduit</t>
        </is>
      </c>
      <c r="T5489" s="17" t="n">
        <v>70</v>
      </c>
      <c r="U5489" s="17" t="n">
        <v>10</v>
      </c>
      <c r="V5489" s="17">
        <f>ROUNDUP((T5489+U5489+2*'Read Me'!$B$13)*(1+'Read Me'!$B$12),-1)</f>
        <v/>
      </c>
      <c r="W5489" s="17">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K-I-0082</t>
        </is>
      </c>
      <c r="B5490" s="12" t="inlineStr">
        <is>
          <t>K</t>
        </is>
      </c>
      <c r="C5490" s="12" t="inlineStr">
        <is>
          <t>Fuel supply (adjacent market)</t>
        </is>
      </c>
      <c r="D5490" s="12" t="inlineStr">
        <is>
          <t>Home run JB-H2 pipe track and -AI01 to the control / marshalling room</t>
        </is>
      </c>
      <c r="E5490" s="12" t="inlineStr"/>
      <c r="F5490" s="12" t="inlineStr">
        <is>
          <t>H2 20: 13.8 kV e-house</t>
        </is>
      </c>
      <c r="G5490" s="12" t="inlineStr">
        <is>
          <t>JB-H2 pipe track and -AI01</t>
        </is>
      </c>
      <c r="H5490" s="12" t="inlineStr">
        <is>
          <t>H2 pipe track and cable trench, hall -&gt; dryer / compressors (N2, instr</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7" t="n">
        <v>53</v>
      </c>
      <c r="U5490" s="17" t="n">
        <v>62</v>
      </c>
      <c r="V5490" s="17">
        <f>ROUNDUP((T5490+U5490+2*'Read Me'!$B$13)*(1+'Read Me'!$B$12),-1)</f>
        <v/>
      </c>
      <c r="W5490" s="17">
        <f>V5490*N5490*O5490</f>
        <v/>
      </c>
      <c r="X5490" s="12">
        <f>IF(LEFT(I5490,2)="MV",2*N5490*IF(L5490="1/C",O5490,1),0)</f>
        <v/>
      </c>
      <c r="Y5490" s="12">
        <f>IF(OR(LEFT(K5490,4)="LVAX",LEFT(K5490,6)="MV15AX",LEFT(K5490,4)="CTAX",LEFT(K5490,2)="W|"),2*N5490*O5490,0)</f>
        <v/>
      </c>
      <c r="Z5490" s="12" t="inlineStr"/>
      <c r="AA5490" s="12">
        <f>N5490*O5490</f>
        <v/>
      </c>
    </row>
    <row r="5491">
      <c r="A5491" s="12" t="inlineStr">
        <is>
          <t>K-I-0083</t>
        </is>
      </c>
      <c r="B5491" s="12" t="inlineStr">
        <is>
          <t>K</t>
        </is>
      </c>
      <c r="C5491" s="12" t="inlineStr">
        <is>
          <t>Fuel supply (adjacent market)</t>
        </is>
      </c>
      <c r="D5491" s="12" t="inlineStr">
        <is>
          <t>Discrete device to JB JB-H2 pipe track and -DI01: 10 x 1 pr (field cables)</t>
        </is>
      </c>
      <c r="E5491" s="12" t="inlineStr"/>
      <c r="F5491" s="12" t="inlineStr">
        <is>
          <t>H2 pipe track and cable trench, hall -&gt; dryer / compressors (N2, instr</t>
        </is>
      </c>
      <c r="G5491" s="12" t="inlineStr">
        <is>
          <t>JB-H2 pipe track and -DI01</t>
        </is>
      </c>
      <c r="H5491" s="12" t="inlineStr">
        <is>
          <t>H2 pipe track and cable trench, hall -&gt; dryer / compressors (N2, instr</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10</v>
      </c>
      <c r="O5491" s="12" t="n">
        <v>1</v>
      </c>
      <c r="P5491" s="12" t="n"/>
      <c r="Q5491" s="12" t="n"/>
      <c r="R5491" s="12" t="n"/>
      <c r="S5491" s="12" t="inlineStr">
        <is>
          <t>Tray / conduit</t>
        </is>
      </c>
      <c r="T5491" s="17" t="n">
        <v>70</v>
      </c>
      <c r="U5491" s="17" t="n">
        <v>10</v>
      </c>
      <c r="V5491" s="17">
        <f>ROUNDUP((T5491+U5491+2*'Read Me'!$B$13)*(1+'Read Me'!$B$12),-1)</f>
        <v/>
      </c>
      <c r="W5491" s="17">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K-I-0084</t>
        </is>
      </c>
      <c r="B5492" s="12" t="inlineStr">
        <is>
          <t>K</t>
        </is>
      </c>
      <c r="C5492" s="12" t="inlineStr">
        <is>
          <t>Fuel supply (adjacent market)</t>
        </is>
      </c>
      <c r="D5492" s="12" t="inlineStr">
        <is>
          <t>Home run JB-H2 pipe track and -DI01 to the control / marshalling room</t>
        </is>
      </c>
      <c r="E5492" s="12" t="inlineStr"/>
      <c r="F5492" s="12" t="inlineStr">
        <is>
          <t>H2 20: 13.8 kV e-house</t>
        </is>
      </c>
      <c r="G5492" s="12" t="inlineStr">
        <is>
          <t>JB-H2 pipe track and -DI01</t>
        </is>
      </c>
      <c r="H5492" s="12" t="inlineStr">
        <is>
          <t>H2 pipe track and cable trench, hall -&gt; dryer / compressors (N2, instr</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7" t="n">
        <v>53</v>
      </c>
      <c r="U5492" s="17" t="n">
        <v>62</v>
      </c>
      <c r="V5492" s="17">
        <f>ROUNDUP((T5492+U5492+2*'Read Me'!$B$13)*(1+'Read Me'!$B$12),-1)</f>
        <v/>
      </c>
      <c r="W5492" s="17">
        <f>V5492*N5492*O5492</f>
        <v/>
      </c>
      <c r="X5492" s="12">
        <f>IF(LEFT(I5492,2)="MV",2*N5492*IF(L5492="1/C",O5492,1),0)</f>
        <v/>
      </c>
      <c r="Y5492" s="12">
        <f>IF(OR(LEFT(K5492,4)="LVAX",LEFT(K5492,6)="MV15AX",LEFT(K5492,4)="CTAX",LEFT(K5492,2)="W|"),2*N5492*O5492,0)</f>
        <v/>
      </c>
      <c r="Z5492" s="12" t="inlineStr"/>
      <c r="AA5492" s="12">
        <f>N5492*O5492</f>
        <v/>
      </c>
    </row>
    <row r="5493">
      <c r="A5493" s="12" t="inlineStr">
        <is>
          <t>K-I-0085</t>
        </is>
      </c>
      <c r="B5493" s="12" t="inlineStr">
        <is>
          <t>K</t>
        </is>
      </c>
      <c r="C5493" s="12" t="inlineStr">
        <is>
          <t>Fuel supply (adjacent market)</t>
        </is>
      </c>
      <c r="D5493" s="12" t="inlineStr">
        <is>
          <t>Instrumentation</t>
        </is>
      </c>
      <c r="E5493" s="12" t="inlineStr"/>
      <c r="F5493" s="12" t="inlineStr">
        <is>
          <t>H2 20: 13.8 kV e-house</t>
        </is>
      </c>
      <c r="G5493" s="12" t="inlineStr">
        <is>
          <t>H2-ST</t>
        </is>
      </c>
      <c r="H5493" s="12" t="inlineStr">
        <is>
          <t>H2 storage tube banks x4</t>
        </is>
      </c>
      <c r="I5493" s="12" t="inlineStr">
        <is>
          <t>Instrumentation</t>
        </is>
      </c>
      <c r="J5493" s="12" t="inlineStr">
        <is>
          <t>Instrumentation ITC / PLTC, IS, #18 shielded pairs, blue jacket</t>
        </is>
      </c>
      <c r="K5493" s="12" t="inlineStr">
        <is>
          <t>ITC|4 pr|18</t>
        </is>
      </c>
      <c r="L5493" s="12" t="inlineStr">
        <is>
          <t>4 pr</t>
        </is>
      </c>
      <c r="M5493" s="12" t="inlineStr">
        <is>
          <t>18</t>
        </is>
      </c>
      <c r="N5493" s="12" t="n">
        <v>1</v>
      </c>
      <c r="O5493" s="12" t="n">
        <v>1</v>
      </c>
      <c r="P5493" s="12" t="n"/>
      <c r="Q5493" s="12" t="n"/>
      <c r="R5493" s="12" t="n"/>
      <c r="S5493" s="12" t="inlineStr">
        <is>
          <t>Duct bank</t>
        </is>
      </c>
      <c r="T5493" s="17" t="n">
        <v>50</v>
      </c>
      <c r="U5493" s="17" t="n">
        <v>92</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K-I-0086</t>
        </is>
      </c>
      <c r="B5494" s="12" t="inlineStr">
        <is>
          <t>K</t>
        </is>
      </c>
      <c r="C5494" s="12" t="inlineStr">
        <is>
          <t>Fuel supply (adjacent market)</t>
        </is>
      </c>
      <c r="D5494" s="12" t="inlineStr">
        <is>
          <t>Instrumentation</t>
        </is>
      </c>
      <c r="E5494" s="12" t="inlineStr"/>
      <c r="F5494" s="12" t="inlineStr">
        <is>
          <t>H2 20: 13.8 kV e-house</t>
        </is>
      </c>
      <c r="G5494" s="12" t="inlineStr">
        <is>
          <t>H2R</t>
        </is>
      </c>
      <c r="H5494" s="12" t="inlineStr">
        <is>
          <t>H2R: hydrogen pipeline receiving station (pig receiver, filters, meter</t>
        </is>
      </c>
      <c r="I5494" s="12" t="inlineStr">
        <is>
          <t>Instrumentation</t>
        </is>
      </c>
      <c r="J5494" s="12" t="inlineStr">
        <is>
          <t>Instrumentation ITC / PLTC, IS, #18 shielded pairs, blue jacket</t>
        </is>
      </c>
      <c r="K5494" s="12" t="inlineStr">
        <is>
          <t>ITC|4 pr|18</t>
        </is>
      </c>
      <c r="L5494" s="12" t="inlineStr">
        <is>
          <t>4 pr</t>
        </is>
      </c>
      <c r="M5494" s="12" t="inlineStr">
        <is>
          <t>18</t>
        </is>
      </c>
      <c r="N5494" s="12" t="n">
        <v>1</v>
      </c>
      <c r="O5494" s="12" t="n">
        <v>1</v>
      </c>
      <c r="P5494" s="12" t="n"/>
      <c r="Q5494" s="12" t="n"/>
      <c r="R5494" s="12" t="n"/>
      <c r="S5494" s="12" t="inlineStr">
        <is>
          <t>Duct bank</t>
        </is>
      </c>
      <c r="T5494" s="17" t="n">
        <v>40</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K-I-0087</t>
        </is>
      </c>
      <c r="B5495" s="12" t="inlineStr">
        <is>
          <t>K</t>
        </is>
      </c>
      <c r="C5495" s="12" t="inlineStr">
        <is>
          <t>Fuel supply (adjacent market)</t>
        </is>
      </c>
      <c r="D5495" s="12" t="inlineStr">
        <is>
          <t>Analog instrument to JB JB-LNG 10: truck unlo-AI01: 12 x 1 pr (field cables)</t>
        </is>
      </c>
      <c r="E5495" s="12" t="inlineStr"/>
      <c r="F5495" s="12" t="inlineStr">
        <is>
          <t>LNG 10: truck unloading bay 1</t>
        </is>
      </c>
      <c r="G5495" s="12" t="inlineStr">
        <is>
          <t>JB-LNG 10: truck unlo-AI01</t>
        </is>
      </c>
      <c r="H5495" s="12" t="inlineStr">
        <is>
          <t>LNG 10: truck unloading bay 1</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7" t="n">
        <v>72</v>
      </c>
      <c r="U5495" s="17" t="n">
        <v>10</v>
      </c>
      <c r="V5495" s="17">
        <f>ROUNDUP((T5495+U5495+2*'Read Me'!$B$13)*(1+'Read Me'!$B$12),-1)</f>
        <v/>
      </c>
      <c r="W5495" s="17">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K-I-0088</t>
        </is>
      </c>
      <c r="B5496" s="12" t="inlineStr">
        <is>
          <t>K</t>
        </is>
      </c>
      <c r="C5496" s="12" t="inlineStr">
        <is>
          <t>Fuel supply (adjacent market)</t>
        </is>
      </c>
      <c r="D5496" s="12" t="inlineStr">
        <is>
          <t>Home run JB-LNG 10: truck unlo-AI01 to the control / marshalling room</t>
        </is>
      </c>
      <c r="E5496" s="12" t="inlineStr"/>
      <c r="F5496" s="12" t="inlineStr">
        <is>
          <t>LNG 17: LNG e-house (13.8 kV / 480 V)</t>
        </is>
      </c>
      <c r="G5496" s="12" t="inlineStr">
        <is>
          <t>JB-LNG 10: truck unlo-AI01</t>
        </is>
      </c>
      <c r="H5496" s="12" t="inlineStr">
        <is>
          <t>LNG 10: truck unloading bay 1</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7" t="n">
        <v>237</v>
      </c>
      <c r="U5496" s="17" t="n">
        <v>61</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K-I-0089</t>
        </is>
      </c>
      <c r="B5497" s="12" t="inlineStr">
        <is>
          <t>K</t>
        </is>
      </c>
      <c r="C5497" s="12" t="inlineStr">
        <is>
          <t>Fuel supply (adjacent market)</t>
        </is>
      </c>
      <c r="D5497" s="12" t="inlineStr">
        <is>
          <t>Discrete device to JB JB-LNG 10: truck unlo-DI01: 12 x 1 pr (field cables)</t>
        </is>
      </c>
      <c r="E5497" s="12" t="inlineStr"/>
      <c r="F5497" s="12" t="inlineStr">
        <is>
          <t>LNG 10: truck unloading bay 1</t>
        </is>
      </c>
      <c r="G5497" s="12" t="inlineStr">
        <is>
          <t>JB-LNG 10: truck unlo-DI01</t>
        </is>
      </c>
      <c r="H5497" s="12" t="inlineStr">
        <is>
          <t>LNG 10: truck unloading bay 1</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7" t="n">
        <v>72</v>
      </c>
      <c r="U5497" s="17" t="n">
        <v>10</v>
      </c>
      <c r="V5497" s="17">
        <f>ROUNDUP((T5497+U5497+2*'Read Me'!$B$13)*(1+'Read Me'!$B$12),-1)</f>
        <v/>
      </c>
      <c r="W5497" s="17">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K-I-0090</t>
        </is>
      </c>
      <c r="B5498" s="12" t="inlineStr">
        <is>
          <t>K</t>
        </is>
      </c>
      <c r="C5498" s="12" t="inlineStr">
        <is>
          <t>Fuel supply (adjacent market)</t>
        </is>
      </c>
      <c r="D5498" s="12" t="inlineStr">
        <is>
          <t>Home run JB-LNG 10: truck unlo-DI01 to the control / marshalling room</t>
        </is>
      </c>
      <c r="E5498" s="12" t="inlineStr"/>
      <c r="F5498" s="12" t="inlineStr">
        <is>
          <t>LNG 17: LNG e-house (13.8 kV / 480 V)</t>
        </is>
      </c>
      <c r="G5498" s="12" t="inlineStr">
        <is>
          <t>JB-LNG 10: truck unlo-DI01</t>
        </is>
      </c>
      <c r="H5498" s="12" t="inlineStr">
        <is>
          <t>LNG 10: truck unloading bay 1</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7" t="n">
        <v>237</v>
      </c>
      <c r="U5498" s="17" t="n">
        <v>61</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K-I-0091</t>
        </is>
      </c>
      <c r="B5499" s="12" t="inlineStr">
        <is>
          <t>K</t>
        </is>
      </c>
      <c r="C5499" s="12" t="inlineStr">
        <is>
          <t>Fuel supply (adjacent market)</t>
        </is>
      </c>
      <c r="D5499" s="12" t="inlineStr">
        <is>
          <t>Analog instrument to JB JB-LNG 10: truck unlo-AI01: 12 x 1 pr (field cables)</t>
        </is>
      </c>
      <c r="E5499" s="12" t="inlineStr"/>
      <c r="F5499" s="12" t="inlineStr">
        <is>
          <t>LNG 10: truck unloading bay 2</t>
        </is>
      </c>
      <c r="G5499" s="12" t="inlineStr">
        <is>
          <t>JB-LNG 10: truck unlo-AI01</t>
        </is>
      </c>
      <c r="H5499" s="12" t="inlineStr">
        <is>
          <t>LNG 10: truck unloading bay 2</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7" t="n">
        <v>72</v>
      </c>
      <c r="U5499" s="17" t="n">
        <v>10</v>
      </c>
      <c r="V5499" s="17">
        <f>ROUNDUP((T5499+U5499+2*'Read Me'!$B$13)*(1+'Read Me'!$B$12),-1)</f>
        <v/>
      </c>
      <c r="W5499" s="17">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K-I-0092</t>
        </is>
      </c>
      <c r="B5500" s="12" t="inlineStr">
        <is>
          <t>K</t>
        </is>
      </c>
      <c r="C5500" s="12" t="inlineStr">
        <is>
          <t>Fuel supply (adjacent market)</t>
        </is>
      </c>
      <c r="D5500" s="12" t="inlineStr">
        <is>
          <t>Home run JB-LNG 10: truck unlo-AI01 to the control / marshalling room</t>
        </is>
      </c>
      <c r="E5500" s="12" t="inlineStr"/>
      <c r="F5500" s="12" t="inlineStr">
        <is>
          <t>LNG 17: LNG e-house (13.8 kV / 480 V)</t>
        </is>
      </c>
      <c r="G5500" s="12" t="inlineStr">
        <is>
          <t>JB-LNG 10: truck unlo-AI01</t>
        </is>
      </c>
      <c r="H5500" s="12" t="inlineStr">
        <is>
          <t>LNG 10: truck unloading bay 2</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7" t="n">
        <v>147</v>
      </c>
      <c r="U5500" s="17" t="n">
        <v>66</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K-I-0093</t>
        </is>
      </c>
      <c r="B5501" s="12" t="inlineStr">
        <is>
          <t>K</t>
        </is>
      </c>
      <c r="C5501" s="12" t="inlineStr">
        <is>
          <t>Fuel supply (adjacent market)</t>
        </is>
      </c>
      <c r="D5501" s="12" t="inlineStr">
        <is>
          <t>Discrete device to JB JB-LNG 10: truck unlo-DI01: 12 x 1 pr (field cables)</t>
        </is>
      </c>
      <c r="E5501" s="12" t="inlineStr"/>
      <c r="F5501" s="12" t="inlineStr">
        <is>
          <t>LNG 10: truck unloading bay 2</t>
        </is>
      </c>
      <c r="G5501" s="12" t="inlineStr">
        <is>
          <t>JB-LNG 10: truck unlo-DI01</t>
        </is>
      </c>
      <c r="H5501" s="12" t="inlineStr">
        <is>
          <t>LNG 10: truck unloading bay 2</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7" t="n">
        <v>72</v>
      </c>
      <c r="U5501" s="17" t="n">
        <v>10</v>
      </c>
      <c r="V5501" s="17">
        <f>ROUNDUP((T5501+U5501+2*'Read Me'!$B$13)*(1+'Read Me'!$B$12),-1)</f>
        <v/>
      </c>
      <c r="W5501" s="17">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K-I-0094</t>
        </is>
      </c>
      <c r="B5502" s="12" t="inlineStr">
        <is>
          <t>K</t>
        </is>
      </c>
      <c r="C5502" s="12" t="inlineStr">
        <is>
          <t>Fuel supply (adjacent market)</t>
        </is>
      </c>
      <c r="D5502" s="12" t="inlineStr">
        <is>
          <t>Home run JB-LNG 10: truck unlo-DI01 to the control / marshalling room</t>
        </is>
      </c>
      <c r="E5502" s="12" t="inlineStr"/>
      <c r="F5502" s="12" t="inlineStr">
        <is>
          <t>LNG 17: LNG e-house (13.8 kV / 480 V)</t>
        </is>
      </c>
      <c r="G5502" s="12" t="inlineStr">
        <is>
          <t>JB-LNG 10: truck unlo-DI01</t>
        </is>
      </c>
      <c r="H5502" s="12" t="inlineStr">
        <is>
          <t>LNG 10: truck unloading bay 2</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7" t="n">
        <v>147</v>
      </c>
      <c r="U5502" s="17" t="n">
        <v>66</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K-I-0095</t>
        </is>
      </c>
      <c r="B5503" s="12" t="inlineStr">
        <is>
          <t>K</t>
        </is>
      </c>
      <c r="C5503" s="12" t="inlineStr">
        <is>
          <t>Fuel supply (adjacent market)</t>
        </is>
      </c>
      <c r="D5503" s="12" t="inlineStr">
        <is>
          <t>Analog instrument to JB JB-LNG 10: unloading -AI01: 12 x 1 pr (field cables)</t>
        </is>
      </c>
      <c r="E5503" s="12" t="inlineStr"/>
      <c r="F5503" s="12" t="inlineStr">
        <is>
          <t>LNG 10: unloading skid</t>
        </is>
      </c>
      <c r="G5503" s="12" t="inlineStr">
        <is>
          <t>JB-LNG 10: unloading -AI01</t>
        </is>
      </c>
      <c r="H5503" s="12" t="inlineStr">
        <is>
          <t>LNG 10: unloading skid</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7" t="n">
        <v>54</v>
      </c>
      <c r="U5503" s="17" t="n">
        <v>10</v>
      </c>
      <c r="V5503" s="17">
        <f>ROUNDUP((T5503+U5503+2*'Read Me'!$B$13)*(1+'Read Me'!$B$12),-1)</f>
        <v/>
      </c>
      <c r="W5503" s="17">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K-I-0096</t>
        </is>
      </c>
      <c r="B5504" s="12" t="inlineStr">
        <is>
          <t>K</t>
        </is>
      </c>
      <c r="C5504" s="12" t="inlineStr">
        <is>
          <t>Fuel supply (adjacent market)</t>
        </is>
      </c>
      <c r="D5504" s="12" t="inlineStr">
        <is>
          <t>Home run JB-LNG 10: unloading -AI01 to the control / marshalling room</t>
        </is>
      </c>
      <c r="E5504" s="12" t="inlineStr"/>
      <c r="F5504" s="12" t="inlineStr">
        <is>
          <t>LNG 17: LNG e-house (13.8 kV / 480 V)</t>
        </is>
      </c>
      <c r="G5504" s="12" t="inlineStr">
        <is>
          <t>JB-LNG 10: unloading -AI01</t>
        </is>
      </c>
      <c r="H5504" s="12" t="inlineStr">
        <is>
          <t>LNG 10: unloading skid</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7" t="n">
        <v>237</v>
      </c>
      <c r="U5504" s="17" t="n">
        <v>32</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K-I-0097</t>
        </is>
      </c>
      <c r="B5505" s="12" t="inlineStr">
        <is>
          <t>K</t>
        </is>
      </c>
      <c r="C5505" s="12" t="inlineStr">
        <is>
          <t>Fuel supply (adjacent market)</t>
        </is>
      </c>
      <c r="D5505" s="12" t="inlineStr">
        <is>
          <t>Discrete device to JB JB-LNG 10: unloading -DI01: 12 x 1 pr (field cables)</t>
        </is>
      </c>
      <c r="E5505" s="12" t="inlineStr"/>
      <c r="F5505" s="12" t="inlineStr">
        <is>
          <t>LNG 10: unloading skid</t>
        </is>
      </c>
      <c r="G5505" s="12" t="inlineStr">
        <is>
          <t>JB-LNG 10: unloading -DI01</t>
        </is>
      </c>
      <c r="H5505" s="12" t="inlineStr">
        <is>
          <t>LNG 10: unloading skid</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7" t="n">
        <v>54</v>
      </c>
      <c r="U5505" s="17" t="n">
        <v>10</v>
      </c>
      <c r="V5505" s="17">
        <f>ROUNDUP((T5505+U5505+2*'Read Me'!$B$13)*(1+'Read Me'!$B$12),-1)</f>
        <v/>
      </c>
      <c r="W5505" s="17">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K-I-0098</t>
        </is>
      </c>
      <c r="B5506" s="12" t="inlineStr">
        <is>
          <t>K</t>
        </is>
      </c>
      <c r="C5506" s="12" t="inlineStr">
        <is>
          <t>Fuel supply (adjacent market)</t>
        </is>
      </c>
      <c r="D5506" s="12" t="inlineStr">
        <is>
          <t>Home run JB-LNG 10: unloading -DI01 to the control / marshalling room</t>
        </is>
      </c>
      <c r="E5506" s="12" t="inlineStr"/>
      <c r="F5506" s="12" t="inlineStr">
        <is>
          <t>LNG 17: LNG e-house (13.8 kV / 480 V)</t>
        </is>
      </c>
      <c r="G5506" s="12" t="inlineStr">
        <is>
          <t>JB-LNG 10: unloading -DI01</t>
        </is>
      </c>
      <c r="H5506" s="12" t="inlineStr">
        <is>
          <t>LNG 10: unloading skid</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7" t="n">
        <v>237</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K-I-0099</t>
        </is>
      </c>
      <c r="B5507" s="12" t="inlineStr">
        <is>
          <t>K</t>
        </is>
      </c>
      <c r="C5507" s="12" t="inlineStr">
        <is>
          <t>Fuel supply (adjacent market)</t>
        </is>
      </c>
      <c r="D5507" s="12" t="inlineStr">
        <is>
          <t>Analog instrument to JB JB-LNG-T1-AI01: 4 x 1 pr (field cables)</t>
        </is>
      </c>
      <c r="E5507" s="12" t="inlineStr">
        <is>
          <t>LNG-T1</t>
        </is>
      </c>
      <c r="F5507" s="12" t="inlineStr">
        <is>
          <t>LNG 11: tank 1, Chart HS 50000 (51,780 gal)</t>
        </is>
      </c>
      <c r="G5507" s="12" t="inlineStr">
        <is>
          <t>JB-LNG-T1-AI01</t>
        </is>
      </c>
      <c r="H5507" s="12" t="inlineStr">
        <is>
          <t>LNG 11: tank 1, Chart HS 50000 (51,780 gal)</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4</v>
      </c>
      <c r="O5507" s="12" t="n">
        <v>1</v>
      </c>
      <c r="P5507" s="12" t="n"/>
      <c r="Q5507" s="12" t="n"/>
      <c r="R5507" s="12" t="n"/>
      <c r="S5507" s="12" t="inlineStr">
        <is>
          <t>Tray / conduit</t>
        </is>
      </c>
      <c r="T5507" s="17" t="n">
        <v>77</v>
      </c>
      <c r="U5507" s="17" t="n">
        <v>10</v>
      </c>
      <c r="V5507" s="17">
        <f>ROUNDUP((T5507+U5507+2*'Read Me'!$B$13)*(1+'Read Me'!$B$12),-1)</f>
        <v/>
      </c>
      <c r="W5507" s="17">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K-I-0100</t>
        </is>
      </c>
      <c r="B5508" s="12" t="inlineStr">
        <is>
          <t>K</t>
        </is>
      </c>
      <c r="C5508" s="12" t="inlineStr">
        <is>
          <t>Fuel supply (adjacent market)</t>
        </is>
      </c>
      <c r="D5508" s="12" t="inlineStr">
        <is>
          <t>Home run JB-LNG-T1-AI01 to the control / marshalling room</t>
        </is>
      </c>
      <c r="E5508" s="12" t="inlineStr"/>
      <c r="F5508" s="12" t="inlineStr">
        <is>
          <t>LNG 17: LNG e-house (13.8 kV / 480 V)</t>
        </is>
      </c>
      <c r="G5508" s="12" t="inlineStr">
        <is>
          <t>JB-LNG-T1-AI01</t>
        </is>
      </c>
      <c r="H5508" s="12" t="inlineStr">
        <is>
          <t>LNG 11: tank 1, Chart HS 50000 (51,780 gal)</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7" t="n">
        <v>210</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K-I-0101</t>
        </is>
      </c>
      <c r="B5509" s="12" t="inlineStr">
        <is>
          <t>K</t>
        </is>
      </c>
      <c r="C5509" s="12" t="inlineStr">
        <is>
          <t>Fuel supply (adjacent market)</t>
        </is>
      </c>
      <c r="D5509" s="12" t="inlineStr">
        <is>
          <t>Discrete device to JB JB-LNG-T1-DI01: 4 x 1 pr (field cables)</t>
        </is>
      </c>
      <c r="E5509" s="12" t="inlineStr">
        <is>
          <t>LNG-T1</t>
        </is>
      </c>
      <c r="F5509" s="12" t="inlineStr">
        <is>
          <t>LNG 11: tank 1, Chart HS 50000 (51,780 gal)</t>
        </is>
      </c>
      <c r="G5509" s="12" t="inlineStr">
        <is>
          <t>JB-LNG-T1-DI01</t>
        </is>
      </c>
      <c r="H5509" s="12" t="inlineStr">
        <is>
          <t>LNG 11: tank 1, Chart HS 50000 (51,780 gal)</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4</v>
      </c>
      <c r="O5509" s="12" t="n">
        <v>1</v>
      </c>
      <c r="P5509" s="12" t="n"/>
      <c r="Q5509" s="12" t="n"/>
      <c r="R5509" s="12" t="n"/>
      <c r="S5509" s="12" t="inlineStr">
        <is>
          <t>Tray / conduit</t>
        </is>
      </c>
      <c r="T5509" s="17" t="n">
        <v>77</v>
      </c>
      <c r="U5509" s="17" t="n">
        <v>10</v>
      </c>
      <c r="V5509" s="17">
        <f>ROUNDUP((T5509+U5509+2*'Read Me'!$B$13)*(1+'Read Me'!$B$12),-1)</f>
        <v/>
      </c>
      <c r="W5509" s="17">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K-I-0102</t>
        </is>
      </c>
      <c r="B5510" s="12" t="inlineStr">
        <is>
          <t>K</t>
        </is>
      </c>
      <c r="C5510" s="12" t="inlineStr">
        <is>
          <t>Fuel supply (adjacent market)</t>
        </is>
      </c>
      <c r="D5510" s="12" t="inlineStr">
        <is>
          <t>Home run JB-LNG-T1-DI01 to the control / marshalling room</t>
        </is>
      </c>
      <c r="E5510" s="12" t="inlineStr"/>
      <c r="F5510" s="12" t="inlineStr">
        <is>
          <t>LNG 17: LNG e-house (13.8 kV / 480 V)</t>
        </is>
      </c>
      <c r="G5510" s="12" t="inlineStr">
        <is>
          <t>JB-LNG-T1-DI01</t>
        </is>
      </c>
      <c r="H5510" s="12" t="inlineStr">
        <is>
          <t>LNG 11: tank 1, Chart HS 50000 (51,780 gal)</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7" t="n">
        <v>210</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K-I-0103</t>
        </is>
      </c>
      <c r="B5511" s="12" t="inlineStr">
        <is>
          <t>K</t>
        </is>
      </c>
      <c r="C5511" s="12" t="inlineStr">
        <is>
          <t>Fuel supply (adjacent market)</t>
        </is>
      </c>
      <c r="D5511" s="12" t="inlineStr">
        <is>
          <t>Analog instrument to JB JB-LNG-T2-AI01: 4 x 1 pr (field cables)</t>
        </is>
      </c>
      <c r="E5511" s="12" t="inlineStr">
        <is>
          <t>LNG-T2</t>
        </is>
      </c>
      <c r="F5511" s="12" t="inlineStr">
        <is>
          <t>LNG 11: tank 2, Chart HS 50000 (51,780 gal)</t>
        </is>
      </c>
      <c r="G5511" s="12" t="inlineStr">
        <is>
          <t>JB-LNG-T2-AI01</t>
        </is>
      </c>
      <c r="H5511" s="12" t="inlineStr">
        <is>
          <t>LNG 11: tank 2, Chart HS 50000 (51,780 gal)</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4</v>
      </c>
      <c r="O5511" s="12" t="n">
        <v>1</v>
      </c>
      <c r="P5511" s="12" t="n"/>
      <c r="Q5511" s="12" t="n"/>
      <c r="R5511" s="12" t="n"/>
      <c r="S5511" s="12" t="inlineStr">
        <is>
          <t>Tray / conduit</t>
        </is>
      </c>
      <c r="T5511" s="17" t="n">
        <v>77</v>
      </c>
      <c r="U5511" s="17" t="n">
        <v>10</v>
      </c>
      <c r="V5511" s="17">
        <f>ROUNDUP((T5511+U5511+2*'Read Me'!$B$13)*(1+'Read Me'!$B$12),-1)</f>
        <v/>
      </c>
      <c r="W5511" s="17">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K-I-0104</t>
        </is>
      </c>
      <c r="B5512" s="12" t="inlineStr">
        <is>
          <t>K</t>
        </is>
      </c>
      <c r="C5512" s="12" t="inlineStr">
        <is>
          <t>Fuel supply (adjacent market)</t>
        </is>
      </c>
      <c r="D5512" s="12" t="inlineStr">
        <is>
          <t>Home run JB-LNG-T2-AI01 to the control / marshalling room</t>
        </is>
      </c>
      <c r="E5512" s="12" t="inlineStr"/>
      <c r="F5512" s="12" t="inlineStr">
        <is>
          <t>LNG 17: LNG e-house (13.8 kV / 480 V)</t>
        </is>
      </c>
      <c r="G5512" s="12" t="inlineStr">
        <is>
          <t>JB-LNG-T2-AI01</t>
        </is>
      </c>
      <c r="H5512" s="12" t="inlineStr">
        <is>
          <t>LNG 11: tank 2, Chart HS 50000 (51,780 gal)</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7" t="n">
        <v>230</v>
      </c>
      <c r="U5512" s="17" t="n">
        <v>32</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K-I-0105</t>
        </is>
      </c>
      <c r="B5513" s="12" t="inlineStr">
        <is>
          <t>K</t>
        </is>
      </c>
      <c r="C5513" s="12" t="inlineStr">
        <is>
          <t>Fuel supply (adjacent market)</t>
        </is>
      </c>
      <c r="D5513" s="12" t="inlineStr">
        <is>
          <t>Discrete device to JB JB-LNG-T2-DI01: 4 x 1 pr (field cables)</t>
        </is>
      </c>
      <c r="E5513" s="12" t="inlineStr">
        <is>
          <t>LNG-T2</t>
        </is>
      </c>
      <c r="F5513" s="12" t="inlineStr">
        <is>
          <t>LNG 11: tank 2, Chart HS 50000 (51,780 gal)</t>
        </is>
      </c>
      <c r="G5513" s="12" t="inlineStr">
        <is>
          <t>JB-LNG-T2-DI01</t>
        </is>
      </c>
      <c r="H5513" s="12" t="inlineStr">
        <is>
          <t>LNG 11: tank 2, Chart HS 50000 (51,780 gal)</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4</v>
      </c>
      <c r="O5513" s="12" t="n">
        <v>1</v>
      </c>
      <c r="P5513" s="12" t="n"/>
      <c r="Q5513" s="12" t="n"/>
      <c r="R5513" s="12" t="n"/>
      <c r="S5513" s="12" t="inlineStr">
        <is>
          <t>Tray / conduit</t>
        </is>
      </c>
      <c r="T5513" s="17" t="n">
        <v>77</v>
      </c>
      <c r="U5513" s="17" t="n">
        <v>10</v>
      </c>
      <c r="V5513" s="17">
        <f>ROUNDUP((T5513+U5513+2*'Read Me'!$B$13)*(1+'Read Me'!$B$12),-1)</f>
        <v/>
      </c>
      <c r="W5513" s="17">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K-I-0106</t>
        </is>
      </c>
      <c r="B5514" s="12" t="inlineStr">
        <is>
          <t>K</t>
        </is>
      </c>
      <c r="C5514" s="12" t="inlineStr">
        <is>
          <t>Fuel supply (adjacent market)</t>
        </is>
      </c>
      <c r="D5514" s="12" t="inlineStr">
        <is>
          <t>Home run JB-LNG-T2-DI01 to the control / marshalling room</t>
        </is>
      </c>
      <c r="E5514" s="12" t="inlineStr"/>
      <c r="F5514" s="12" t="inlineStr">
        <is>
          <t>LNG 17: LNG e-house (13.8 kV / 480 V)</t>
        </is>
      </c>
      <c r="G5514" s="12" t="inlineStr">
        <is>
          <t>JB-LNG-T2-DI01</t>
        </is>
      </c>
      <c r="H5514" s="12" t="inlineStr">
        <is>
          <t>LNG 11: tank 2, Chart HS 50000 (51,780 gal)</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7" t="n">
        <v>230</v>
      </c>
      <c r="U5514" s="17" t="n">
        <v>32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K-I-0107</t>
        </is>
      </c>
      <c r="B5515" s="12" t="inlineStr">
        <is>
          <t>K</t>
        </is>
      </c>
      <c r="C5515" s="12" t="inlineStr">
        <is>
          <t>Fuel supply (adjacent market)</t>
        </is>
      </c>
      <c r="D5515" s="12" t="inlineStr">
        <is>
          <t>Analog instrument to JB JB-LNG-T3-AI01: 4 x 1 pr (field cables)</t>
        </is>
      </c>
      <c r="E5515" s="12" t="inlineStr">
        <is>
          <t>LNG-T3</t>
        </is>
      </c>
      <c r="F5515" s="12" t="inlineStr">
        <is>
          <t>LNG 11: tank 3, Chart HS 50000 (51,780 gal)</t>
        </is>
      </c>
      <c r="G5515" s="12" t="inlineStr">
        <is>
          <t>JB-LNG-T3-AI01</t>
        </is>
      </c>
      <c r="H5515" s="12" t="inlineStr">
        <is>
          <t>LNG 11: tank 3, Chart HS 50000 (51,780 gal)</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4</v>
      </c>
      <c r="O5515" s="12" t="n">
        <v>1</v>
      </c>
      <c r="P5515" s="12" t="n"/>
      <c r="Q5515" s="12" t="n"/>
      <c r="R5515" s="12" t="n"/>
      <c r="S5515" s="12" t="inlineStr">
        <is>
          <t>Tray / conduit</t>
        </is>
      </c>
      <c r="T5515" s="17" t="n">
        <v>77</v>
      </c>
      <c r="U5515" s="17" t="n">
        <v>10</v>
      </c>
      <c r="V5515" s="17">
        <f>ROUNDUP((T5515+U5515+2*'Read Me'!$B$13)*(1+'Read Me'!$B$12),-1)</f>
        <v/>
      </c>
      <c r="W5515" s="17">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K-I-0108</t>
        </is>
      </c>
      <c r="B5516" s="12" t="inlineStr">
        <is>
          <t>K</t>
        </is>
      </c>
      <c r="C5516" s="12" t="inlineStr">
        <is>
          <t>Fuel supply (adjacent market)</t>
        </is>
      </c>
      <c r="D5516" s="12" t="inlineStr">
        <is>
          <t>Home run JB-LNG-T3-AI01 to the control / marshalling room</t>
        </is>
      </c>
      <c r="E5516" s="12" t="inlineStr"/>
      <c r="F5516" s="12" t="inlineStr">
        <is>
          <t>LNG 17: LNG e-house (13.8 kV / 480 V)</t>
        </is>
      </c>
      <c r="G5516" s="12" t="inlineStr">
        <is>
          <t>JB-LNG-T3-AI01</t>
        </is>
      </c>
      <c r="H5516" s="12" t="inlineStr">
        <is>
          <t>LNG 11: tank 3, Chart HS 50000 (51,780 gal)</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7" t="n">
        <v>250</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K-I-0109</t>
        </is>
      </c>
      <c r="B5517" s="12" t="inlineStr">
        <is>
          <t>K</t>
        </is>
      </c>
      <c r="C5517" s="12" t="inlineStr">
        <is>
          <t>Fuel supply (adjacent market)</t>
        </is>
      </c>
      <c r="D5517" s="12" t="inlineStr">
        <is>
          <t>Discrete device to JB JB-LNG-T3-DI01: 4 x 1 pr (field cables)</t>
        </is>
      </c>
      <c r="E5517" s="12" t="inlineStr">
        <is>
          <t>LNG-T3</t>
        </is>
      </c>
      <c r="F5517" s="12" t="inlineStr">
        <is>
          <t>LNG 11: tank 3, Chart HS 50000 (51,780 gal)</t>
        </is>
      </c>
      <c r="G5517" s="12" t="inlineStr">
        <is>
          <t>JB-LNG-T3-DI01</t>
        </is>
      </c>
      <c r="H5517" s="12" t="inlineStr">
        <is>
          <t>LNG 11: tank 3, Chart HS 50000 (51,780 gal)</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4</v>
      </c>
      <c r="O5517" s="12" t="n">
        <v>1</v>
      </c>
      <c r="P5517" s="12" t="n"/>
      <c r="Q5517" s="12" t="n"/>
      <c r="R5517" s="12" t="n"/>
      <c r="S5517" s="12" t="inlineStr">
        <is>
          <t>Tray / conduit</t>
        </is>
      </c>
      <c r="T5517" s="17" t="n">
        <v>77</v>
      </c>
      <c r="U5517" s="17" t="n">
        <v>10</v>
      </c>
      <c r="V5517" s="17">
        <f>ROUNDUP((T5517+U5517+2*'Read Me'!$B$13)*(1+'Read Me'!$B$12),-1)</f>
        <v/>
      </c>
      <c r="W5517" s="17">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K-I-0110</t>
        </is>
      </c>
      <c r="B5518" s="12" t="inlineStr">
        <is>
          <t>K</t>
        </is>
      </c>
      <c r="C5518" s="12" t="inlineStr">
        <is>
          <t>Fuel supply (adjacent market)</t>
        </is>
      </c>
      <c r="D5518" s="12" t="inlineStr">
        <is>
          <t>Home run JB-LNG-T3-DI01 to the control / marshalling room</t>
        </is>
      </c>
      <c r="E5518" s="12" t="inlineStr"/>
      <c r="F5518" s="12" t="inlineStr">
        <is>
          <t>LNG 17: LNG e-house (13.8 kV / 480 V)</t>
        </is>
      </c>
      <c r="G5518" s="12" t="inlineStr">
        <is>
          <t>JB-LNG-T3-DI01</t>
        </is>
      </c>
      <c r="H5518" s="12" t="inlineStr">
        <is>
          <t>LNG 11: tank 3, Chart HS 50000 (51,780 gal)</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7" t="n">
        <v>250</v>
      </c>
      <c r="U5518" s="17" t="n">
        <v>32</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K-I-0111</t>
        </is>
      </c>
      <c r="B5519" s="12" t="inlineStr">
        <is>
          <t>K</t>
        </is>
      </c>
      <c r="C5519" s="12" t="inlineStr">
        <is>
          <t>Fuel supply (adjacent market)</t>
        </is>
      </c>
      <c r="D5519" s="12" t="inlineStr">
        <is>
          <t>Analog instrument to JB JB-LNG-T4-AI01: 4 x 1 pr (field cables)</t>
        </is>
      </c>
      <c r="E5519" s="12" t="inlineStr">
        <is>
          <t>LNG-T4</t>
        </is>
      </c>
      <c r="F5519" s="12" t="inlineStr">
        <is>
          <t>LNG 11: tank 4, Chart HS 50000 (51,780 gal)</t>
        </is>
      </c>
      <c r="G5519" s="12" t="inlineStr">
        <is>
          <t>JB-LNG-T4-AI01</t>
        </is>
      </c>
      <c r="H5519" s="12" t="inlineStr">
        <is>
          <t>LNG 11: tank 4, Chart HS 50000 (51,780 gal)</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4</v>
      </c>
      <c r="O5519" s="12" t="n">
        <v>1</v>
      </c>
      <c r="P5519" s="12" t="n"/>
      <c r="Q5519" s="12" t="n"/>
      <c r="R5519" s="12" t="n"/>
      <c r="S5519" s="12" t="inlineStr">
        <is>
          <t>Tray / conduit</t>
        </is>
      </c>
      <c r="T5519" s="17" t="n">
        <v>77</v>
      </c>
      <c r="U5519" s="17" t="n">
        <v>10</v>
      </c>
      <c r="V5519" s="17">
        <f>ROUNDUP((T5519+U5519+2*'Read Me'!$B$13)*(1+'Read Me'!$B$12),-1)</f>
        <v/>
      </c>
      <c r="W5519" s="17">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K-I-0112</t>
        </is>
      </c>
      <c r="B5520" s="12" t="inlineStr">
        <is>
          <t>K</t>
        </is>
      </c>
      <c r="C5520" s="12" t="inlineStr">
        <is>
          <t>Fuel supply (adjacent market)</t>
        </is>
      </c>
      <c r="D5520" s="12" t="inlineStr">
        <is>
          <t>Home run JB-LNG-T4-AI01 to the control / marshalling room</t>
        </is>
      </c>
      <c r="E5520" s="12" t="inlineStr"/>
      <c r="F5520" s="12" t="inlineStr">
        <is>
          <t>LNG 17: LNG e-house (13.8 kV / 480 V)</t>
        </is>
      </c>
      <c r="G5520" s="12" t="inlineStr">
        <is>
          <t>JB-LNG-T4-AI01</t>
        </is>
      </c>
      <c r="H5520" s="12" t="inlineStr">
        <is>
          <t>LNG 11: tank 4, Chart HS 50000 (51,780 gal)</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7" t="n">
        <v>270</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K-I-0113</t>
        </is>
      </c>
      <c r="B5521" s="12" t="inlineStr">
        <is>
          <t>K</t>
        </is>
      </c>
      <c r="C5521" s="12" t="inlineStr">
        <is>
          <t>Fuel supply (adjacent market)</t>
        </is>
      </c>
      <c r="D5521" s="12" t="inlineStr">
        <is>
          <t>Discrete device to JB JB-LNG-T4-DI01: 4 x 1 pr (field cables)</t>
        </is>
      </c>
      <c r="E5521" s="12" t="inlineStr">
        <is>
          <t>LNG-T4</t>
        </is>
      </c>
      <c r="F5521" s="12" t="inlineStr">
        <is>
          <t>LNG 11: tank 4, Chart HS 50000 (51,780 gal)</t>
        </is>
      </c>
      <c r="G5521" s="12" t="inlineStr">
        <is>
          <t>JB-LNG-T4-DI01</t>
        </is>
      </c>
      <c r="H5521" s="12" t="inlineStr">
        <is>
          <t>LNG 11: tank 4, Chart HS 50000 (51,780 gal)</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4</v>
      </c>
      <c r="O5521" s="12" t="n">
        <v>1</v>
      </c>
      <c r="P5521" s="12" t="n"/>
      <c r="Q5521" s="12" t="n"/>
      <c r="R5521" s="12" t="n"/>
      <c r="S5521" s="12" t="inlineStr">
        <is>
          <t>Tray / conduit</t>
        </is>
      </c>
      <c r="T5521" s="17" t="n">
        <v>77</v>
      </c>
      <c r="U5521" s="17" t="n">
        <v>10</v>
      </c>
      <c r="V5521" s="17">
        <f>ROUNDUP((T5521+U5521+2*'Read Me'!$B$13)*(1+'Read Me'!$B$12),-1)</f>
        <v/>
      </c>
      <c r="W5521" s="17">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K-I-0114</t>
        </is>
      </c>
      <c r="B5522" s="12" t="inlineStr">
        <is>
          <t>K</t>
        </is>
      </c>
      <c r="C5522" s="12" t="inlineStr">
        <is>
          <t>Fuel supply (adjacent market)</t>
        </is>
      </c>
      <c r="D5522" s="12" t="inlineStr">
        <is>
          <t>Home run JB-LNG-T4-DI01 to the control / marshalling room</t>
        </is>
      </c>
      <c r="E5522" s="12" t="inlineStr"/>
      <c r="F5522" s="12" t="inlineStr">
        <is>
          <t>LNG 17: LNG e-house (13.8 kV / 480 V)</t>
        </is>
      </c>
      <c r="G5522" s="12" t="inlineStr">
        <is>
          <t>JB-LNG-T4-DI01</t>
        </is>
      </c>
      <c r="H5522" s="12" t="inlineStr">
        <is>
          <t>LNG 11: tank 4, Chart HS 50000 (51,780 gal)</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7" t="n">
        <v>270</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K-I-0115</t>
        </is>
      </c>
      <c r="B5523" s="12" t="inlineStr">
        <is>
          <t>K</t>
        </is>
      </c>
      <c r="C5523" s="12" t="inlineStr">
        <is>
          <t>Fuel supply (adjacent market)</t>
        </is>
      </c>
      <c r="D5523" s="12" t="inlineStr">
        <is>
          <t>Analog instrument to JB JB-LNG-T5-AI01: 4 x 1 pr (field cables)</t>
        </is>
      </c>
      <c r="E5523" s="12" t="inlineStr">
        <is>
          <t>LNG-T5</t>
        </is>
      </c>
      <c r="F5523" s="12" t="inlineStr">
        <is>
          <t>LNG 11: tank 5, Chart HS 50000 (51,780 gal)</t>
        </is>
      </c>
      <c r="G5523" s="12" t="inlineStr">
        <is>
          <t>JB-LNG-T5-AI01</t>
        </is>
      </c>
      <c r="H5523" s="12" t="inlineStr">
        <is>
          <t>LNG 11: tank 5, Chart HS 50000 (51,780 gal)</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4</v>
      </c>
      <c r="O5523" s="12" t="n">
        <v>1</v>
      </c>
      <c r="P5523" s="12" t="n"/>
      <c r="Q5523" s="12" t="n"/>
      <c r="R5523" s="12" t="n"/>
      <c r="S5523" s="12" t="inlineStr">
        <is>
          <t>Tray / conduit</t>
        </is>
      </c>
      <c r="T5523" s="17" t="n">
        <v>77</v>
      </c>
      <c r="U5523" s="17" t="n">
        <v>10</v>
      </c>
      <c r="V5523" s="17">
        <f>ROUNDUP((T5523+U5523+2*'Read Me'!$B$13)*(1+'Read Me'!$B$12),-1)</f>
        <v/>
      </c>
      <c r="W5523" s="17">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K-I-0116</t>
        </is>
      </c>
      <c r="B5524" s="12" t="inlineStr">
        <is>
          <t>K</t>
        </is>
      </c>
      <c r="C5524" s="12" t="inlineStr">
        <is>
          <t>Fuel supply (adjacent market)</t>
        </is>
      </c>
      <c r="D5524" s="12" t="inlineStr">
        <is>
          <t>Home run JB-LNG-T5-AI01 to the control / marshalling room</t>
        </is>
      </c>
      <c r="E5524" s="12" t="inlineStr"/>
      <c r="F5524" s="12" t="inlineStr">
        <is>
          <t>LNG 17: LNG e-house (13.8 kV / 480 V)</t>
        </is>
      </c>
      <c r="G5524" s="12" t="inlineStr">
        <is>
          <t>JB-LNG-T5-AI01</t>
        </is>
      </c>
      <c r="H5524" s="12" t="inlineStr">
        <is>
          <t>LNG 11: tank 5, Chart HS 50000 (51,780 gal)</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7" t="n">
        <v>290</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K-I-0117</t>
        </is>
      </c>
      <c r="B5525" s="12" t="inlineStr">
        <is>
          <t>K</t>
        </is>
      </c>
      <c r="C5525" s="12" t="inlineStr">
        <is>
          <t>Fuel supply (adjacent market)</t>
        </is>
      </c>
      <c r="D5525" s="12" t="inlineStr">
        <is>
          <t>Discrete device to JB JB-LNG-T5-DI01: 4 x 1 pr (field cables)</t>
        </is>
      </c>
      <c r="E5525" s="12" t="inlineStr">
        <is>
          <t>LNG-T5</t>
        </is>
      </c>
      <c r="F5525" s="12" t="inlineStr">
        <is>
          <t>LNG 11: tank 5, Chart HS 50000 (51,780 gal)</t>
        </is>
      </c>
      <c r="G5525" s="12" t="inlineStr">
        <is>
          <t>JB-LNG-T5-DI01</t>
        </is>
      </c>
      <c r="H5525" s="12" t="inlineStr">
        <is>
          <t>LNG 11: tank 5, Chart HS 50000 (51,780 gal)</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4</v>
      </c>
      <c r="O5525" s="12" t="n">
        <v>1</v>
      </c>
      <c r="P5525" s="12" t="n"/>
      <c r="Q5525" s="12" t="n"/>
      <c r="R5525" s="12" t="n"/>
      <c r="S5525" s="12" t="inlineStr">
        <is>
          <t>Tray / conduit</t>
        </is>
      </c>
      <c r="T5525" s="17" t="n">
        <v>77</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K-I-0118</t>
        </is>
      </c>
      <c r="B5526" s="12" t="inlineStr">
        <is>
          <t>K</t>
        </is>
      </c>
      <c r="C5526" s="12" t="inlineStr">
        <is>
          <t>Fuel supply (adjacent market)</t>
        </is>
      </c>
      <c r="D5526" s="12" t="inlineStr">
        <is>
          <t>Home run JB-LNG-T5-DI01 to the control / marshalling room</t>
        </is>
      </c>
      <c r="E5526" s="12" t="inlineStr"/>
      <c r="F5526" s="12" t="inlineStr">
        <is>
          <t>LNG 17: LNG e-house (13.8 kV / 480 V)</t>
        </is>
      </c>
      <c r="G5526" s="12" t="inlineStr">
        <is>
          <t>JB-LNG-T5-DI01</t>
        </is>
      </c>
      <c r="H5526" s="12" t="inlineStr">
        <is>
          <t>LNG 11: tank 5, Chart HS 50000 (51,780 gal)</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7" t="n">
        <v>290</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K-I-0119</t>
        </is>
      </c>
      <c r="B5527" s="12" t="inlineStr">
        <is>
          <t>K</t>
        </is>
      </c>
      <c r="C5527" s="12" t="inlineStr">
        <is>
          <t>Fuel supply (adjacent market)</t>
        </is>
      </c>
      <c r="D5527" s="12" t="inlineStr">
        <is>
          <t>Analog instrument to JB JB-LNG-T6-AI01: 4 x 1 pr (field cables)</t>
        </is>
      </c>
      <c r="E5527" s="12" t="inlineStr">
        <is>
          <t>LNG-T6</t>
        </is>
      </c>
      <c r="F5527" s="12" t="inlineStr">
        <is>
          <t>LNG 11: tank 6, Chart HS 50000 (51,780 gal)</t>
        </is>
      </c>
      <c r="G5527" s="12" t="inlineStr">
        <is>
          <t>JB-LNG-T6-AI01</t>
        </is>
      </c>
      <c r="H5527" s="12" t="inlineStr">
        <is>
          <t>LNG 11: tank 6, Chart HS 50000 (51,780 gal)</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4</v>
      </c>
      <c r="O5527" s="12" t="n">
        <v>1</v>
      </c>
      <c r="P5527" s="12" t="n"/>
      <c r="Q5527" s="12" t="n"/>
      <c r="R5527" s="12" t="n"/>
      <c r="S5527" s="12" t="inlineStr">
        <is>
          <t>Tray / conduit</t>
        </is>
      </c>
      <c r="T5527" s="17" t="n">
        <v>77</v>
      </c>
      <c r="U5527" s="17" t="n">
        <v>10</v>
      </c>
      <c r="V5527" s="17">
        <f>ROUNDUP((T5527+U5527+2*'Read Me'!$B$13)*(1+'Read Me'!$B$12),-1)</f>
        <v/>
      </c>
      <c r="W5527" s="17">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K-I-0120</t>
        </is>
      </c>
      <c r="B5528" s="12" t="inlineStr">
        <is>
          <t>K</t>
        </is>
      </c>
      <c r="C5528" s="12" t="inlineStr">
        <is>
          <t>Fuel supply (adjacent market)</t>
        </is>
      </c>
      <c r="D5528" s="12" t="inlineStr">
        <is>
          <t>Home run JB-LNG-T6-AI01 to the control / marshalling room</t>
        </is>
      </c>
      <c r="E5528" s="12" t="inlineStr"/>
      <c r="F5528" s="12" t="inlineStr">
        <is>
          <t>LNG 17: LNG e-house (13.8 kV / 480 V)</t>
        </is>
      </c>
      <c r="G5528" s="12" t="inlineStr">
        <is>
          <t>JB-LNG-T6-AI01</t>
        </is>
      </c>
      <c r="H5528" s="12" t="inlineStr">
        <is>
          <t>LNG 11: tank 6, Chart HS 50000 (51,780 gal)</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7" t="n">
        <v>310</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K-I-0121</t>
        </is>
      </c>
      <c r="B5529" s="12" t="inlineStr">
        <is>
          <t>K</t>
        </is>
      </c>
      <c r="C5529" s="12" t="inlineStr">
        <is>
          <t>Fuel supply (adjacent market)</t>
        </is>
      </c>
      <c r="D5529" s="12" t="inlineStr">
        <is>
          <t>Discrete device to JB JB-LNG-T6-DI01: 4 x 1 pr (field cables)</t>
        </is>
      </c>
      <c r="E5529" s="12" t="inlineStr">
        <is>
          <t>LNG-T6</t>
        </is>
      </c>
      <c r="F5529" s="12" t="inlineStr">
        <is>
          <t>LNG 11: tank 6, Chart HS 50000 (51,780 gal)</t>
        </is>
      </c>
      <c r="G5529" s="12" t="inlineStr">
        <is>
          <t>JB-LNG-T6-DI01</t>
        </is>
      </c>
      <c r="H5529" s="12" t="inlineStr">
        <is>
          <t>LNG 11: tank 6, Chart HS 50000 (51,780 gal)</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4</v>
      </c>
      <c r="O5529" s="12" t="n">
        <v>1</v>
      </c>
      <c r="P5529" s="12" t="n"/>
      <c r="Q5529" s="12" t="n"/>
      <c r="R5529" s="12" t="n"/>
      <c r="S5529" s="12" t="inlineStr">
        <is>
          <t>Tray / conduit</t>
        </is>
      </c>
      <c r="T5529" s="17" t="n">
        <v>77</v>
      </c>
      <c r="U5529" s="17" t="n">
        <v>10</v>
      </c>
      <c r="V5529" s="17">
        <f>ROUNDUP((T5529+U5529+2*'Read Me'!$B$13)*(1+'Read Me'!$B$12),-1)</f>
        <v/>
      </c>
      <c r="W5529" s="17">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K-I-0122</t>
        </is>
      </c>
      <c r="B5530" s="12" t="inlineStr">
        <is>
          <t>K</t>
        </is>
      </c>
      <c r="C5530" s="12" t="inlineStr">
        <is>
          <t>Fuel supply (adjacent market)</t>
        </is>
      </c>
      <c r="D5530" s="12" t="inlineStr">
        <is>
          <t>Home run JB-LNG-T6-DI01 to the control / marshalling room</t>
        </is>
      </c>
      <c r="E5530" s="12" t="inlineStr"/>
      <c r="F5530" s="12" t="inlineStr">
        <is>
          <t>LNG 17: LNG e-house (13.8 kV / 480 V)</t>
        </is>
      </c>
      <c r="G5530" s="12" t="inlineStr">
        <is>
          <t>JB-LNG-T6-DI01</t>
        </is>
      </c>
      <c r="H5530" s="12" t="inlineStr">
        <is>
          <t>LNG 11: tank 6, Chart HS 50000 (51,780 gal)</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7" t="n">
        <v>310</v>
      </c>
      <c r="U5530" s="17" t="n">
        <v>32</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K-I-0123</t>
        </is>
      </c>
      <c r="B5531" s="12" t="inlineStr">
        <is>
          <t>K</t>
        </is>
      </c>
      <c r="C5531" s="12" t="inlineStr">
        <is>
          <t>Fuel supply (adjacent market)</t>
        </is>
      </c>
      <c r="D5531" s="12" t="inlineStr">
        <is>
          <t>Analog instrument to JB JB-LNG-T7-AI01: 4 x 1 pr (field cables)</t>
        </is>
      </c>
      <c r="E5531" s="12" t="inlineStr">
        <is>
          <t>LNG-T7</t>
        </is>
      </c>
      <c r="F5531" s="12" t="inlineStr">
        <is>
          <t>LNG 11: tank 7, Chart HS 50000 (51,780 gal)</t>
        </is>
      </c>
      <c r="G5531" s="12" t="inlineStr">
        <is>
          <t>JB-LNG-T7-AI01</t>
        </is>
      </c>
      <c r="H5531" s="12" t="inlineStr">
        <is>
          <t>LNG 11: tank 7, Chart HS 50000 (51,780 gal)</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4</v>
      </c>
      <c r="O5531" s="12" t="n">
        <v>1</v>
      </c>
      <c r="P5531" s="12" t="n"/>
      <c r="Q5531" s="12" t="n"/>
      <c r="R5531" s="12" t="n"/>
      <c r="S5531" s="12" t="inlineStr">
        <is>
          <t>Tray / conduit</t>
        </is>
      </c>
      <c r="T5531" s="17" t="n">
        <v>77</v>
      </c>
      <c r="U5531" s="17" t="n">
        <v>10</v>
      </c>
      <c r="V5531" s="17">
        <f>ROUNDUP((T5531+U5531+2*'Read Me'!$B$13)*(1+'Read Me'!$B$12),-1)</f>
        <v/>
      </c>
      <c r="W5531" s="17">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K-I-0124</t>
        </is>
      </c>
      <c r="B5532" s="12" t="inlineStr">
        <is>
          <t>K</t>
        </is>
      </c>
      <c r="C5532" s="12" t="inlineStr">
        <is>
          <t>Fuel supply (adjacent market)</t>
        </is>
      </c>
      <c r="D5532" s="12" t="inlineStr">
        <is>
          <t>Home run JB-LNG-T7-AI01 to the control / marshalling room</t>
        </is>
      </c>
      <c r="E5532" s="12" t="inlineStr"/>
      <c r="F5532" s="12" t="inlineStr">
        <is>
          <t>LNG 17: LNG e-house (13.8 kV / 480 V)</t>
        </is>
      </c>
      <c r="G5532" s="12" t="inlineStr">
        <is>
          <t>JB-LNG-T7-AI01</t>
        </is>
      </c>
      <c r="H5532" s="12" t="inlineStr">
        <is>
          <t>LNG 11: tank 7, Chart HS 50000 (51,780 gal)</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7" t="n">
        <v>330</v>
      </c>
      <c r="U5532" s="17" t="n">
        <v>32</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K-I-0125</t>
        </is>
      </c>
      <c r="B5533" s="12" t="inlineStr">
        <is>
          <t>K</t>
        </is>
      </c>
      <c r="C5533" s="12" t="inlineStr">
        <is>
          <t>Fuel supply (adjacent market)</t>
        </is>
      </c>
      <c r="D5533" s="12" t="inlineStr">
        <is>
          <t>Discrete device to JB JB-LNG-T7-DI01: 4 x 1 pr (field cables)</t>
        </is>
      </c>
      <c r="E5533" s="12" t="inlineStr">
        <is>
          <t>LNG-T7</t>
        </is>
      </c>
      <c r="F5533" s="12" t="inlineStr">
        <is>
          <t>LNG 11: tank 7, Chart HS 50000 (51,780 gal)</t>
        </is>
      </c>
      <c r="G5533" s="12" t="inlineStr">
        <is>
          <t>JB-LNG-T7-DI01</t>
        </is>
      </c>
      <c r="H5533" s="12" t="inlineStr">
        <is>
          <t>LNG 11: tank 7, Chart HS 50000 (51,780 gal)</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4</v>
      </c>
      <c r="O5533" s="12" t="n">
        <v>1</v>
      </c>
      <c r="P5533" s="12" t="n"/>
      <c r="Q5533" s="12" t="n"/>
      <c r="R5533" s="12" t="n"/>
      <c r="S5533" s="12" t="inlineStr">
        <is>
          <t>Tray / conduit</t>
        </is>
      </c>
      <c r="T5533" s="17" t="n">
        <v>77</v>
      </c>
      <c r="U5533" s="17" t="n">
        <v>10</v>
      </c>
      <c r="V5533" s="17">
        <f>ROUNDUP((T5533+U5533+2*'Read Me'!$B$13)*(1+'Read Me'!$B$12),-1)</f>
        <v/>
      </c>
      <c r="W5533" s="17">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K-I-0126</t>
        </is>
      </c>
      <c r="B5534" s="12" t="inlineStr">
        <is>
          <t>K</t>
        </is>
      </c>
      <c r="C5534" s="12" t="inlineStr">
        <is>
          <t>Fuel supply (adjacent market)</t>
        </is>
      </c>
      <c r="D5534" s="12" t="inlineStr">
        <is>
          <t>Home run JB-LNG-T7-DI01 to the control / marshalling room</t>
        </is>
      </c>
      <c r="E5534" s="12" t="inlineStr"/>
      <c r="F5534" s="12" t="inlineStr">
        <is>
          <t>LNG 17: LNG e-house (13.8 kV / 480 V)</t>
        </is>
      </c>
      <c r="G5534" s="12" t="inlineStr">
        <is>
          <t>JB-LNG-T7-DI01</t>
        </is>
      </c>
      <c r="H5534" s="12" t="inlineStr">
        <is>
          <t>LNG 11: tank 7, Chart HS 50000 (51,780 gal)</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7" t="n">
        <v>330</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K-I-0127</t>
        </is>
      </c>
      <c r="B5535" s="12" t="inlineStr">
        <is>
          <t>K</t>
        </is>
      </c>
      <c r="C5535" s="12" t="inlineStr">
        <is>
          <t>Fuel supply (adjacent market)</t>
        </is>
      </c>
      <c r="D5535" s="12" t="inlineStr">
        <is>
          <t>Analog instrument to JB JB-LNG-T8-AI01: 4 x 1 pr (field cables)</t>
        </is>
      </c>
      <c r="E5535" s="12" t="inlineStr">
        <is>
          <t>LNG-T8</t>
        </is>
      </c>
      <c r="F5535" s="12" t="inlineStr">
        <is>
          <t>LNG 11: tank 8, Chart HS 50000 (51,780 gal)</t>
        </is>
      </c>
      <c r="G5535" s="12" t="inlineStr">
        <is>
          <t>JB-LNG-T8-AI01</t>
        </is>
      </c>
      <c r="H5535" s="12" t="inlineStr">
        <is>
          <t>LNG 11: tank 8, Chart HS 50000 (51,780 gal)</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4</v>
      </c>
      <c r="O5535" s="12" t="n">
        <v>1</v>
      </c>
      <c r="P5535" s="12" t="n"/>
      <c r="Q5535" s="12" t="n"/>
      <c r="R5535" s="12" t="n"/>
      <c r="S5535" s="12" t="inlineStr">
        <is>
          <t>Tray / conduit</t>
        </is>
      </c>
      <c r="T5535" s="17" t="n">
        <v>77</v>
      </c>
      <c r="U5535" s="17" t="n">
        <v>10</v>
      </c>
      <c r="V5535" s="17">
        <f>ROUNDUP((T5535+U5535+2*'Read Me'!$B$13)*(1+'Read Me'!$B$12),-1)</f>
        <v/>
      </c>
      <c r="W5535" s="17">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K-I-0128</t>
        </is>
      </c>
      <c r="B5536" s="12" t="inlineStr">
        <is>
          <t>K</t>
        </is>
      </c>
      <c r="C5536" s="12" t="inlineStr">
        <is>
          <t>Fuel supply (adjacent market)</t>
        </is>
      </c>
      <c r="D5536" s="12" t="inlineStr">
        <is>
          <t>Home run JB-LNG-T8-AI01 to the control / marshalling room</t>
        </is>
      </c>
      <c r="E5536" s="12" t="inlineStr"/>
      <c r="F5536" s="12" t="inlineStr">
        <is>
          <t>LNG 17: LNG e-house (13.8 kV / 480 V)</t>
        </is>
      </c>
      <c r="G5536" s="12" t="inlineStr">
        <is>
          <t>JB-LNG-T8-AI01</t>
        </is>
      </c>
      <c r="H5536" s="12" t="inlineStr">
        <is>
          <t>LNG 11: tank 8, Chart HS 50000 (51,780 gal)</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7" t="n">
        <v>350</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K-I-0129</t>
        </is>
      </c>
      <c r="B5537" s="12" t="inlineStr">
        <is>
          <t>K</t>
        </is>
      </c>
      <c r="C5537" s="12" t="inlineStr">
        <is>
          <t>Fuel supply (adjacent market)</t>
        </is>
      </c>
      <c r="D5537" s="12" t="inlineStr">
        <is>
          <t>Discrete device to JB JB-LNG-T8-DI01: 4 x 1 pr (field cables)</t>
        </is>
      </c>
      <c r="E5537" s="12" t="inlineStr">
        <is>
          <t>LNG-T8</t>
        </is>
      </c>
      <c r="F5537" s="12" t="inlineStr">
        <is>
          <t>LNG 11: tank 8, Chart HS 50000 (51,780 gal)</t>
        </is>
      </c>
      <c r="G5537" s="12" t="inlineStr">
        <is>
          <t>JB-LNG-T8-DI01</t>
        </is>
      </c>
      <c r="H5537" s="12" t="inlineStr">
        <is>
          <t>LNG 11: tank 8,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7" t="n">
        <v>77</v>
      </c>
      <c r="U5537" s="17" t="n">
        <v>10</v>
      </c>
      <c r="V5537" s="17">
        <f>ROUNDUP((T5537+U5537+2*'Read Me'!$B$13)*(1+'Read Me'!$B$12),-1)</f>
        <v/>
      </c>
      <c r="W5537" s="17">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K-I-0130</t>
        </is>
      </c>
      <c r="B5538" s="12" t="inlineStr">
        <is>
          <t>K</t>
        </is>
      </c>
      <c r="C5538" s="12" t="inlineStr">
        <is>
          <t>Fuel supply (adjacent market)</t>
        </is>
      </c>
      <c r="D5538" s="12" t="inlineStr">
        <is>
          <t>Home run JB-LNG-T8-DI01 to the control / marshalling room</t>
        </is>
      </c>
      <c r="E5538" s="12" t="inlineStr"/>
      <c r="F5538" s="12" t="inlineStr">
        <is>
          <t>LNG 17: LNG e-house (13.8 kV / 480 V)</t>
        </is>
      </c>
      <c r="G5538" s="12" t="inlineStr">
        <is>
          <t>JB-LNG-T8-DI01</t>
        </is>
      </c>
      <c r="H5538" s="12" t="inlineStr">
        <is>
          <t>LNG 11: tank 8,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7" t="n">
        <v>350</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K-I-0131</t>
        </is>
      </c>
      <c r="B5539" s="12" t="inlineStr">
        <is>
          <t>K</t>
        </is>
      </c>
      <c r="C5539" s="12" t="inlineStr">
        <is>
          <t>Fuel supply (adjacent market)</t>
        </is>
      </c>
      <c r="D5539" s="12" t="inlineStr">
        <is>
          <t>Analog instrument to JB JB-LNG 12: spill impo-AI01: 12 x 1 pr (field cables)</t>
        </is>
      </c>
      <c r="E5539" s="12" t="inlineStr"/>
      <c r="F5539" s="12" t="inlineStr">
        <is>
          <t>LNG 12: spill impoundment (NFPA 59A, to verify)</t>
        </is>
      </c>
      <c r="G5539" s="12" t="inlineStr">
        <is>
          <t>JB-LNG 12: spill impo-AI01</t>
        </is>
      </c>
      <c r="H5539" s="12" t="inlineStr">
        <is>
          <t>LNG 12: spill impoundment (NFPA 59A, to verify)</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7" t="n">
        <v>170</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K-I-0132</t>
        </is>
      </c>
      <c r="B5540" s="12" t="inlineStr">
        <is>
          <t>K</t>
        </is>
      </c>
      <c r="C5540" s="12" t="inlineStr">
        <is>
          <t>Fuel supply (adjacent market)</t>
        </is>
      </c>
      <c r="D5540" s="12" t="inlineStr">
        <is>
          <t>Home run JB-LNG 12: spill impo-AI01 to the control / marshalling room</t>
        </is>
      </c>
      <c r="E5540" s="12" t="inlineStr"/>
      <c r="F5540" s="12" t="inlineStr">
        <is>
          <t>LNG 17: LNG e-house (13.8 kV / 480 V)</t>
        </is>
      </c>
      <c r="G5540" s="12" t="inlineStr">
        <is>
          <t>JB-LNG 12: spill impo-AI01</t>
        </is>
      </c>
      <c r="H5540" s="12" t="inlineStr">
        <is>
          <t>LNG 12: spill impoundment (NFPA 59A, to verify)</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7" t="n">
        <v>230</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K-I-0133</t>
        </is>
      </c>
      <c r="B5541" s="12" t="inlineStr">
        <is>
          <t>K</t>
        </is>
      </c>
      <c r="C5541" s="12" t="inlineStr">
        <is>
          <t>Fuel supply (adjacent market)</t>
        </is>
      </c>
      <c r="D5541" s="12" t="inlineStr">
        <is>
          <t>Discrete device to JB JB-LNG 12: spill impo-DI01: 12 x 1 pr (field cables)</t>
        </is>
      </c>
      <c r="E5541" s="12" t="inlineStr"/>
      <c r="F5541" s="12" t="inlineStr">
        <is>
          <t>LNG 12: spill impoundment (NFPA 59A, to verify)</t>
        </is>
      </c>
      <c r="G5541" s="12" t="inlineStr">
        <is>
          <t>JB-LNG 12: spill impo-DI01</t>
        </is>
      </c>
      <c r="H5541" s="12" t="inlineStr">
        <is>
          <t>LNG 12: spill impoundment (NFPA 59A, to verify)</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7" t="n">
        <v>170</v>
      </c>
      <c r="U5541" s="17" t="n">
        <v>10</v>
      </c>
      <c r="V5541" s="17">
        <f>ROUNDUP((T5541+U5541+2*'Read Me'!$B$13)*(1+'Read Me'!$B$12),-1)</f>
        <v/>
      </c>
      <c r="W5541" s="17">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K-I-0134</t>
        </is>
      </c>
      <c r="B5542" s="12" t="inlineStr">
        <is>
          <t>K</t>
        </is>
      </c>
      <c r="C5542" s="12" t="inlineStr">
        <is>
          <t>Fuel supply (adjacent market)</t>
        </is>
      </c>
      <c r="D5542" s="12" t="inlineStr">
        <is>
          <t>Home run JB-LNG 12: spill impo-DI01 to the control / marshalling room</t>
        </is>
      </c>
      <c r="E5542" s="12" t="inlineStr"/>
      <c r="F5542" s="12" t="inlineStr">
        <is>
          <t>LNG 17: LNG e-house (13.8 kV / 480 V)</t>
        </is>
      </c>
      <c r="G5542" s="12" t="inlineStr">
        <is>
          <t>JB-LNG 12: spill impo-DI01</t>
        </is>
      </c>
      <c r="H5542" s="12" t="inlineStr">
        <is>
          <t>LNG 12: spill impoundment (NFPA 59A, to verify)</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7" t="n">
        <v>230</v>
      </c>
      <c r="U5542" s="17" t="n">
        <v>32</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K-I-0135</t>
        </is>
      </c>
      <c r="B5543" s="12" t="inlineStr">
        <is>
          <t>K</t>
        </is>
      </c>
      <c r="C5543" s="12" t="inlineStr">
        <is>
          <t>Fuel supply (adjacent market)</t>
        </is>
      </c>
      <c r="D5543" s="12" t="inlineStr">
        <is>
          <t>Analog instrument to JB JB-LNG 13: send-out p-AI01: 12 x 1 pr (field cables)</t>
        </is>
      </c>
      <c r="E5543" s="12" t="inlineStr"/>
      <c r="F5543" s="12" t="inlineStr">
        <is>
          <t>LNG 13: send-out pumps 2 x 100%</t>
        </is>
      </c>
      <c r="G5543" s="12" t="inlineStr">
        <is>
          <t>JB-LNG 13: send-out p-AI01</t>
        </is>
      </c>
      <c r="H5543" s="12" t="inlineStr">
        <is>
          <t>LNG 13: send-out pumps 2 x 100%</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7" t="n">
        <v>63</v>
      </c>
      <c r="U5543" s="17" t="n">
        <v>10</v>
      </c>
      <c r="V5543" s="17">
        <f>ROUNDUP((T5543+U5543+2*'Read Me'!$B$13)*(1+'Read Me'!$B$12),-1)</f>
        <v/>
      </c>
      <c r="W5543" s="17">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K-I-0136</t>
        </is>
      </c>
      <c r="B5544" s="12" t="inlineStr">
        <is>
          <t>K</t>
        </is>
      </c>
      <c r="C5544" s="12" t="inlineStr">
        <is>
          <t>Fuel supply (adjacent market)</t>
        </is>
      </c>
      <c r="D5544" s="12" t="inlineStr">
        <is>
          <t>Home run JB-LNG 13: send-out p-AI01 to the control / marshalling room</t>
        </is>
      </c>
      <c r="E5544" s="12" t="inlineStr"/>
      <c r="F5544" s="12" t="inlineStr">
        <is>
          <t>LNG 17: LNG e-house (13.8 kV / 480 V)</t>
        </is>
      </c>
      <c r="G5544" s="12" t="inlineStr">
        <is>
          <t>JB-LNG 13: send-out p-AI01</t>
        </is>
      </c>
      <c r="H5544" s="12" t="inlineStr">
        <is>
          <t>LNG 13: send-out pumps 2 x 100%</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7" t="n">
        <v>110</v>
      </c>
      <c r="U5544" s="17" t="n">
        <v>32</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K-I-0137</t>
        </is>
      </c>
      <c r="B5545" s="12" t="inlineStr">
        <is>
          <t>K</t>
        </is>
      </c>
      <c r="C5545" s="12" t="inlineStr">
        <is>
          <t>Fuel supply (adjacent market)</t>
        </is>
      </c>
      <c r="D5545" s="12" t="inlineStr">
        <is>
          <t>Discrete device to JB JB-LNG 13: send-out p-DI01: 12 x 1 pr (field cables)</t>
        </is>
      </c>
      <c r="E5545" s="12" t="inlineStr"/>
      <c r="F5545" s="12" t="inlineStr">
        <is>
          <t>LNG 13: send-out pumps 2 x 100%</t>
        </is>
      </c>
      <c r="G5545" s="12" t="inlineStr">
        <is>
          <t>JB-LNG 13: send-out p-DI01</t>
        </is>
      </c>
      <c r="H5545" s="12" t="inlineStr">
        <is>
          <t>LNG 13: send-out pumps 2 x 100%</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7" t="n">
        <v>63</v>
      </c>
      <c r="U5545" s="17" t="n">
        <v>10</v>
      </c>
      <c r="V5545" s="17">
        <f>ROUNDUP((T5545+U5545+2*'Read Me'!$B$13)*(1+'Read Me'!$B$12),-1)</f>
        <v/>
      </c>
      <c r="W5545" s="17">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K-I-0138</t>
        </is>
      </c>
      <c r="B5546" s="12" t="inlineStr">
        <is>
          <t>K</t>
        </is>
      </c>
      <c r="C5546" s="12" t="inlineStr">
        <is>
          <t>Fuel supply (adjacent market)</t>
        </is>
      </c>
      <c r="D5546" s="12" t="inlineStr">
        <is>
          <t>Home run JB-LNG 13: send-out p-DI01 to the control / marshalling room</t>
        </is>
      </c>
      <c r="E5546" s="12" t="inlineStr"/>
      <c r="F5546" s="12" t="inlineStr">
        <is>
          <t>LNG 17: LNG e-house (13.8 kV / 480 V)</t>
        </is>
      </c>
      <c r="G5546" s="12" t="inlineStr">
        <is>
          <t>JB-LNG 13: send-out p-DI01</t>
        </is>
      </c>
      <c r="H5546" s="12" t="inlineStr">
        <is>
          <t>LNG 13: send-out pumps 2 x 100%</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7" t="n">
        <v>110</v>
      </c>
      <c r="U5546" s="17" t="n">
        <v>32</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K-I-0139</t>
        </is>
      </c>
      <c r="B5547" s="12" t="inlineStr">
        <is>
          <t>K</t>
        </is>
      </c>
      <c r="C5547" s="12" t="inlineStr">
        <is>
          <t>Fuel supply (adjacent market)</t>
        </is>
      </c>
      <c r="D5547" s="12" t="inlineStr">
        <is>
          <t>Analog instrument to JB JB-LNG 14: vaporizers-AI01: 12 x 1 pr (field cables)</t>
        </is>
      </c>
      <c r="E5547" s="12" t="inlineStr"/>
      <c r="F5547" s="12" t="inlineStr">
        <is>
          <t>LNG 14: vaporizers + glycol heater</t>
        </is>
      </c>
      <c r="G5547" s="12" t="inlineStr">
        <is>
          <t>JB-LNG 14: vaporizers-AI01</t>
        </is>
      </c>
      <c r="H5547" s="12" t="inlineStr">
        <is>
          <t>LNG 14: vaporizers + glycol heater</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7" t="n">
        <v>122</v>
      </c>
      <c r="U5547" s="17" t="n">
        <v>10</v>
      </c>
      <c r="V5547" s="17">
        <f>ROUNDUP((T5547+U5547+2*'Read Me'!$B$13)*(1+'Read Me'!$B$12),-1)</f>
        <v/>
      </c>
      <c r="W5547" s="17">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K-I-0140</t>
        </is>
      </c>
      <c r="B5548" s="12" t="inlineStr">
        <is>
          <t>K</t>
        </is>
      </c>
      <c r="C5548" s="12" t="inlineStr">
        <is>
          <t>Fuel supply (adjacent market)</t>
        </is>
      </c>
      <c r="D5548" s="12" t="inlineStr">
        <is>
          <t>Home run JB-LNG 14: vaporizers-AI01 to the control / marshalling room</t>
        </is>
      </c>
      <c r="E5548" s="12" t="inlineStr"/>
      <c r="F5548" s="12" t="inlineStr">
        <is>
          <t>LNG 17: LNG e-house (13.8 kV / 480 V)</t>
        </is>
      </c>
      <c r="G5548" s="12" t="inlineStr">
        <is>
          <t>JB-LNG 14: vaporizers-AI01</t>
        </is>
      </c>
      <c r="H5548" s="12" t="inlineStr">
        <is>
          <t>LNG 14: vaporizers + glycol heater</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7" t="n">
        <v>259</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K-I-0141</t>
        </is>
      </c>
      <c r="B5549" s="12" t="inlineStr">
        <is>
          <t>K</t>
        </is>
      </c>
      <c r="C5549" s="12" t="inlineStr">
        <is>
          <t>Fuel supply (adjacent market)</t>
        </is>
      </c>
      <c r="D5549" s="12" t="inlineStr">
        <is>
          <t>Discrete device to JB JB-LNG 14: vaporizers-DI01: 12 x 1 pr (field cables)</t>
        </is>
      </c>
      <c r="E5549" s="12" t="inlineStr"/>
      <c r="F5549" s="12" t="inlineStr">
        <is>
          <t>LNG 14: vaporizers + glycol heater</t>
        </is>
      </c>
      <c r="G5549" s="12" t="inlineStr">
        <is>
          <t>JB-LNG 14: vaporizers-DI01</t>
        </is>
      </c>
      <c r="H5549" s="12" t="inlineStr">
        <is>
          <t>LNG 14: vaporizers + glycol heater</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7" t="n">
        <v>122</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K-I-0142</t>
        </is>
      </c>
      <c r="B5550" s="12" t="inlineStr">
        <is>
          <t>K</t>
        </is>
      </c>
      <c r="C5550" s="12" t="inlineStr">
        <is>
          <t>Fuel supply (adjacent market)</t>
        </is>
      </c>
      <c r="D5550" s="12" t="inlineStr">
        <is>
          <t>Home run JB-LNG 14: vaporizers-DI01 to the control / marshalling room</t>
        </is>
      </c>
      <c r="E5550" s="12" t="inlineStr"/>
      <c r="F5550" s="12" t="inlineStr">
        <is>
          <t>LNG 17: LNG e-house (13.8 kV / 480 V)</t>
        </is>
      </c>
      <c r="G5550" s="12" t="inlineStr">
        <is>
          <t>JB-LNG 14: vaporizers-DI01</t>
        </is>
      </c>
      <c r="H5550" s="12" t="inlineStr">
        <is>
          <t>LNG 14: vaporizers + glycol heater</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7" t="n">
        <v>259</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K-I-0143</t>
        </is>
      </c>
      <c r="B5551" s="12" t="inlineStr">
        <is>
          <t>K</t>
        </is>
      </c>
      <c r="C5551" s="12" t="inlineStr">
        <is>
          <t>Fuel supply (adjacent market)</t>
        </is>
      </c>
      <c r="D5551" s="12" t="inlineStr">
        <is>
          <t>Analog instrument to JB JB-LNG 15: boil-off g-AI01: 12 x 1 pr (field cables)</t>
        </is>
      </c>
      <c r="E5551" s="12" t="inlineStr"/>
      <c r="F5551" s="12" t="inlineStr">
        <is>
          <t>LNG 15: boil-off gas compressor</t>
        </is>
      </c>
      <c r="G5551" s="12" t="inlineStr">
        <is>
          <t>JB-LNG 15: boil-off g-AI01</t>
        </is>
      </c>
      <c r="H5551" s="12" t="inlineStr">
        <is>
          <t>LNG 15: boil-off gas compressor</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12</v>
      </c>
      <c r="O5551" s="12" t="n">
        <v>1</v>
      </c>
      <c r="P5551" s="12" t="n"/>
      <c r="Q5551" s="12" t="n"/>
      <c r="R5551" s="12" t="n"/>
      <c r="S5551" s="12" t="inlineStr">
        <is>
          <t>Tray / conduit</t>
        </is>
      </c>
      <c r="T5551" s="17" t="n">
        <v>67</v>
      </c>
      <c r="U5551" s="17" t="n">
        <v>10</v>
      </c>
      <c r="V5551" s="17">
        <f>ROUNDUP((T5551+U5551+2*'Read Me'!$B$13)*(1+'Read Me'!$B$12),-1)</f>
        <v/>
      </c>
      <c r="W5551" s="17">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K-I-0144</t>
        </is>
      </c>
      <c r="B5552" s="12" t="inlineStr">
        <is>
          <t>K</t>
        </is>
      </c>
      <c r="C5552" s="12" t="inlineStr">
        <is>
          <t>Fuel supply (adjacent market)</t>
        </is>
      </c>
      <c r="D5552" s="12" t="inlineStr">
        <is>
          <t>Home run JB-LNG 15: boil-off g-AI01 to the control / marshalling room</t>
        </is>
      </c>
      <c r="E5552" s="12" t="inlineStr"/>
      <c r="F5552" s="12" t="inlineStr">
        <is>
          <t>LNG 17: LNG e-house (13.8 kV / 480 V)</t>
        </is>
      </c>
      <c r="G5552" s="12" t="inlineStr">
        <is>
          <t>JB-LNG 15: boil-off g-AI01</t>
        </is>
      </c>
      <c r="H5552" s="12" t="inlineStr">
        <is>
          <t>LNG 15: boil-off gas compressor</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7" t="n">
        <v>25</v>
      </c>
      <c r="U5552" s="17" t="n">
        <v>54</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K-I-0145</t>
        </is>
      </c>
      <c r="B5553" s="12" t="inlineStr">
        <is>
          <t>K</t>
        </is>
      </c>
      <c r="C5553" s="12" t="inlineStr">
        <is>
          <t>Fuel supply (adjacent market)</t>
        </is>
      </c>
      <c r="D5553" s="12" t="inlineStr">
        <is>
          <t>Discrete device to JB JB-LNG 15: boil-off g-DI01: 12 x 1 pr (field cables)</t>
        </is>
      </c>
      <c r="E5553" s="12" t="inlineStr"/>
      <c r="F5553" s="12" t="inlineStr">
        <is>
          <t>LNG 15: boil-off gas compressor</t>
        </is>
      </c>
      <c r="G5553" s="12" t="inlineStr">
        <is>
          <t>JB-LNG 15: boil-off g-DI01</t>
        </is>
      </c>
      <c r="H5553" s="12" t="inlineStr">
        <is>
          <t>LNG 15: boil-off gas compressor</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12</v>
      </c>
      <c r="O5553" s="12" t="n">
        <v>1</v>
      </c>
      <c r="P5553" s="12" t="n"/>
      <c r="Q5553" s="12" t="n"/>
      <c r="R5553" s="12" t="n"/>
      <c r="S5553" s="12" t="inlineStr">
        <is>
          <t>Tray / conduit</t>
        </is>
      </c>
      <c r="T5553" s="17" t="n">
        <v>67</v>
      </c>
      <c r="U5553" s="17" t="n">
        <v>10</v>
      </c>
      <c r="V5553" s="17">
        <f>ROUNDUP((T5553+U5553+2*'Read Me'!$B$13)*(1+'Read Me'!$B$12),-1)</f>
        <v/>
      </c>
      <c r="W5553" s="17">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K-I-0146</t>
        </is>
      </c>
      <c r="B5554" s="12" t="inlineStr">
        <is>
          <t>K</t>
        </is>
      </c>
      <c r="C5554" s="12" t="inlineStr">
        <is>
          <t>Fuel supply (adjacent market)</t>
        </is>
      </c>
      <c r="D5554" s="12" t="inlineStr">
        <is>
          <t>Home run JB-LNG 15: boil-off g-DI01 to the control / marshalling room</t>
        </is>
      </c>
      <c r="E5554" s="12" t="inlineStr"/>
      <c r="F5554" s="12" t="inlineStr">
        <is>
          <t>LNG 17: LNG e-house (13.8 kV / 480 V)</t>
        </is>
      </c>
      <c r="G5554" s="12" t="inlineStr">
        <is>
          <t>JB-LNG 15: boil-off g-DI01</t>
        </is>
      </c>
      <c r="H5554" s="12" t="inlineStr">
        <is>
          <t>LNG 15: boil-off gas compressor</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7" t="n">
        <v>25</v>
      </c>
      <c r="U5554" s="17" t="n">
        <v>54</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K-I-0147</t>
        </is>
      </c>
      <c r="B5555" s="12" t="inlineStr">
        <is>
          <t>K</t>
        </is>
      </c>
      <c r="C5555" s="12" t="inlineStr">
        <is>
          <t>Fuel supply (adjacent market)</t>
        </is>
      </c>
      <c r="D5555" s="12" t="inlineStr">
        <is>
          <t>Analog instrument to JB JB-LNG 16: send-out m-AI01: 12 x 1 pr (field cables)</t>
        </is>
      </c>
      <c r="E5555" s="12" t="inlineStr"/>
      <c r="F5555" s="12" t="inlineStr">
        <is>
          <t>LNG 16: send-out metering + pressure control</t>
        </is>
      </c>
      <c r="G5555" s="12" t="inlineStr">
        <is>
          <t>JB-LNG 16: send-out m-AI01</t>
        </is>
      </c>
      <c r="H5555" s="12" t="inlineStr">
        <is>
          <t>LNG 16: send-out metering + pressure control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12</v>
      </c>
      <c r="O5555" s="12" t="n">
        <v>1</v>
      </c>
      <c r="P5555" s="12" t="n"/>
      <c r="Q5555" s="12" t="n"/>
      <c r="R5555" s="12" t="n"/>
      <c r="S5555" s="12" t="inlineStr">
        <is>
          <t>Tray / conduit</t>
        </is>
      </c>
      <c r="T5555" s="17" t="n">
        <v>74</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K-I-0148</t>
        </is>
      </c>
      <c r="B5556" s="12" t="inlineStr">
        <is>
          <t>K</t>
        </is>
      </c>
      <c r="C5556" s="12" t="inlineStr">
        <is>
          <t>Fuel supply (adjacent market)</t>
        </is>
      </c>
      <c r="D5556" s="12" t="inlineStr">
        <is>
          <t>Home run JB-LNG 16: send-out m-AI01 to the control / marshalling room</t>
        </is>
      </c>
      <c r="E5556" s="12" t="inlineStr"/>
      <c r="F5556" s="12" t="inlineStr">
        <is>
          <t>LNG 17: LNG e-house (13.8 kV / 480 V)</t>
        </is>
      </c>
      <c r="G5556" s="12" t="inlineStr">
        <is>
          <t>JB-LNG 16: send-out m-AI01</t>
        </is>
      </c>
      <c r="H5556" s="12" t="inlineStr">
        <is>
          <t>LNG 16: send-out metering + pressure control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7" t="n">
        <v>20</v>
      </c>
      <c r="U5556" s="17" t="n">
        <v>32</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K-I-0149</t>
        </is>
      </c>
      <c r="B5557" s="12" t="inlineStr">
        <is>
          <t>K</t>
        </is>
      </c>
      <c r="C5557" s="12" t="inlineStr">
        <is>
          <t>Fuel supply (adjacent market)</t>
        </is>
      </c>
      <c r="D5557" s="12" t="inlineStr">
        <is>
          <t>Discrete device to JB JB-LNG 16: send-out m-DI01: 12 x 1 pr (field cables)</t>
        </is>
      </c>
      <c r="E5557" s="12" t="inlineStr"/>
      <c r="F5557" s="12" t="inlineStr">
        <is>
          <t>LNG 16: send-out metering + pressure control</t>
        </is>
      </c>
      <c r="G5557" s="12" t="inlineStr">
        <is>
          <t>JB-LNG 16: send-out m-DI01</t>
        </is>
      </c>
      <c r="H5557" s="12" t="inlineStr">
        <is>
          <t>LNG 16: send-out metering + pressure control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7" t="n">
        <v>74</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K-I-0150</t>
        </is>
      </c>
      <c r="B5558" s="12" t="inlineStr">
        <is>
          <t>K</t>
        </is>
      </c>
      <c r="C5558" s="12" t="inlineStr">
        <is>
          <t>Fuel supply (adjacent market)</t>
        </is>
      </c>
      <c r="D5558" s="12" t="inlineStr">
        <is>
          <t>Home run JB-LNG 16: send-out m-DI01 to the control / marshalling room</t>
        </is>
      </c>
      <c r="E5558" s="12" t="inlineStr"/>
      <c r="F5558" s="12" t="inlineStr">
        <is>
          <t>LNG 17: LNG e-house (13.8 kV / 480 V)</t>
        </is>
      </c>
      <c r="G5558" s="12" t="inlineStr">
        <is>
          <t>JB-LNG 16: send-out m-DI01</t>
        </is>
      </c>
      <c r="H5558" s="12" t="inlineStr">
        <is>
          <t>LNG 16: send-out metering + pressure control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7" t="n">
        <v>20</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K-I-0151</t>
        </is>
      </c>
      <c r="B5559" s="12" t="inlineStr">
        <is>
          <t>K</t>
        </is>
      </c>
      <c r="C5559" s="12" t="inlineStr">
        <is>
          <t>Fuel supply (adjacent market)</t>
        </is>
      </c>
      <c r="D5559" s="12" t="inlineStr">
        <is>
          <t>Analog instrument to JB JB-LNG 17: LNG e-hous-AI01: 12 x 1 pr (field cables)</t>
        </is>
      </c>
      <c r="E5559" s="12" t="inlineStr"/>
      <c r="F5559" s="12" t="inlineStr">
        <is>
          <t>LNG 17: LNG e-house (13.8 kV / 480 V)</t>
        </is>
      </c>
      <c r="G5559" s="12" t="inlineStr">
        <is>
          <t>JB-LNG 17: LNG e-hous-AI01</t>
        </is>
      </c>
      <c r="H5559" s="12" t="inlineStr">
        <is>
          <t>LNG 17: LNG e-house (13.8 kV / 480 V)</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12</v>
      </c>
      <c r="O5559" s="12" t="n">
        <v>1</v>
      </c>
      <c r="P5559" s="12" t="n"/>
      <c r="Q5559" s="12" t="n"/>
      <c r="R5559" s="12" t="n"/>
      <c r="S5559" s="12" t="inlineStr">
        <is>
          <t>Tray / conduit</t>
        </is>
      </c>
      <c r="T5559" s="17" t="n">
        <v>58</v>
      </c>
      <c r="U5559" s="17" t="n">
        <v>10</v>
      </c>
      <c r="V5559" s="17">
        <f>ROUNDUP((T5559+U5559+2*'Read Me'!$B$13)*(1+'Read Me'!$B$12),-1)</f>
        <v/>
      </c>
      <c r="W5559" s="17">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K-I-0152</t>
        </is>
      </c>
      <c r="B5560" s="12" t="inlineStr">
        <is>
          <t>K</t>
        </is>
      </c>
      <c r="C5560" s="12" t="inlineStr">
        <is>
          <t>Fuel supply (adjacent market)</t>
        </is>
      </c>
      <c r="D5560" s="12" t="inlineStr">
        <is>
          <t>Home run JB-LNG 17: LNG e-hous-AI01 to the control / marshalling room</t>
        </is>
      </c>
      <c r="E5560" s="12" t="inlineStr"/>
      <c r="F5560" s="12" t="inlineStr">
        <is>
          <t>LNG 17: LNG e-house (13.8 kV / 480 V)</t>
        </is>
      </c>
      <c r="G5560" s="12" t="inlineStr">
        <is>
          <t>JB-LNG 17: LNG e-hous-AI01</t>
        </is>
      </c>
      <c r="H5560" s="12" t="inlineStr">
        <is>
          <t>LNG 17: LNG e-house (13.8 kV / 480 V)</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Tray</t>
        </is>
      </c>
      <c r="T5560" s="17" t="n">
        <v>0</v>
      </c>
      <c r="U5560" s="17" t="n">
        <v>32</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K-I-0153</t>
        </is>
      </c>
      <c r="B5561" s="12" t="inlineStr">
        <is>
          <t>K</t>
        </is>
      </c>
      <c r="C5561" s="12" t="inlineStr">
        <is>
          <t>Fuel supply (adjacent market)</t>
        </is>
      </c>
      <c r="D5561" s="12" t="inlineStr">
        <is>
          <t>Discrete device to JB JB-LNG 17: LNG e-hous-DI01: 12 x 1 pr (field cables)</t>
        </is>
      </c>
      <c r="E5561" s="12" t="inlineStr"/>
      <c r="F5561" s="12" t="inlineStr">
        <is>
          <t>LNG 17: LNG e-house (13.8 kV / 480 V)</t>
        </is>
      </c>
      <c r="G5561" s="12" t="inlineStr">
        <is>
          <t>JB-LNG 17: LNG e-hous-DI01</t>
        </is>
      </c>
      <c r="H5561" s="12" t="inlineStr">
        <is>
          <t>LNG 17: LNG e-house (13.8 kV / 480 V)</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12</v>
      </c>
      <c r="O5561" s="12" t="n">
        <v>1</v>
      </c>
      <c r="P5561" s="12" t="n"/>
      <c r="Q5561" s="12" t="n"/>
      <c r="R5561" s="12" t="n"/>
      <c r="S5561" s="12" t="inlineStr">
        <is>
          <t>Tray / conduit</t>
        </is>
      </c>
      <c r="T5561" s="17" t="n">
        <v>58</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K-I-0154</t>
        </is>
      </c>
      <c r="B5562" s="12" t="inlineStr">
        <is>
          <t>K</t>
        </is>
      </c>
      <c r="C5562" s="12" t="inlineStr">
        <is>
          <t>Fuel supply (adjacent market)</t>
        </is>
      </c>
      <c r="D5562" s="12" t="inlineStr">
        <is>
          <t>Home run JB-LNG 17: LNG e-hous-DI01 to the control / marshalling room</t>
        </is>
      </c>
      <c r="E5562" s="12" t="inlineStr"/>
      <c r="F5562" s="12" t="inlineStr">
        <is>
          <t>LNG 17: LNG e-house (13.8 kV / 480 V)</t>
        </is>
      </c>
      <c r="G5562" s="12" t="inlineStr">
        <is>
          <t>JB-LNG 17: LNG e-hous-DI01</t>
        </is>
      </c>
      <c r="H5562" s="12" t="inlineStr">
        <is>
          <t>LNG 17: LNG e-house (13.8 kV / 480 V)</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Tray</t>
        </is>
      </c>
      <c r="T5562" s="17" t="n">
        <v>0</v>
      </c>
      <c r="U5562" s="17" t="n">
        <v>32</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K-I-0155</t>
        </is>
      </c>
      <c r="B5563" s="12" t="inlineStr">
        <is>
          <t>K</t>
        </is>
      </c>
      <c r="C5563" s="12" t="inlineStr">
        <is>
          <t>Fuel supply (adjacent market)</t>
        </is>
      </c>
      <c r="D5563" s="12" t="inlineStr">
        <is>
          <t>Analog instrument to JB JB-LNG 18: vent stack-AI01: 12 x 1 pr (field cables)</t>
        </is>
      </c>
      <c r="E5563" s="12" t="inlineStr"/>
      <c r="F5563" s="12" t="inlineStr">
        <is>
          <t>LNG 18: vent stack</t>
        </is>
      </c>
      <c r="G5563" s="12" t="inlineStr">
        <is>
          <t>JB-LNG 18: vent stack-AI01</t>
        </is>
      </c>
      <c r="H5563" s="12" t="inlineStr">
        <is>
          <t>LNG 18: vent stack</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12</v>
      </c>
      <c r="O5563" s="12" t="n">
        <v>1</v>
      </c>
      <c r="P5563" s="12" t="n"/>
      <c r="Q5563" s="12" t="n"/>
      <c r="R5563" s="12" t="n"/>
      <c r="S5563" s="12" t="inlineStr">
        <is>
          <t>Tray / conduit</t>
        </is>
      </c>
      <c r="T5563" s="17" t="n">
        <v>55</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K-I-0156</t>
        </is>
      </c>
      <c r="B5564" s="12" t="inlineStr">
        <is>
          <t>K</t>
        </is>
      </c>
      <c r="C5564" s="12" t="inlineStr">
        <is>
          <t>Fuel supply (adjacent market)</t>
        </is>
      </c>
      <c r="D5564" s="12" t="inlineStr">
        <is>
          <t>Home run JB-LNG 18: vent stack-AI01 to the control / marshalling room</t>
        </is>
      </c>
      <c r="E5564" s="12" t="inlineStr"/>
      <c r="F5564" s="12" t="inlineStr">
        <is>
          <t>LNG 17: LNG e-house (13.8 kV / 480 V)</t>
        </is>
      </c>
      <c r="G5564" s="12" t="inlineStr">
        <is>
          <t>JB-LNG 18: vent stack-AI01</t>
        </is>
      </c>
      <c r="H5564" s="12" t="inlineStr">
        <is>
          <t>LNG 18: vent stack</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7" t="n">
        <v>25</v>
      </c>
      <c r="U5564" s="17" t="n">
        <v>117</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K-I-0157</t>
        </is>
      </c>
      <c r="B5565" s="12" t="inlineStr">
        <is>
          <t>K</t>
        </is>
      </c>
      <c r="C5565" s="12" t="inlineStr">
        <is>
          <t>Fuel supply (adjacent market)</t>
        </is>
      </c>
      <c r="D5565" s="12" t="inlineStr">
        <is>
          <t>Discrete device to JB JB-LNG 18: vent stack-DI01: 12 x 1 pr (field cables)</t>
        </is>
      </c>
      <c r="E5565" s="12" t="inlineStr"/>
      <c r="F5565" s="12" t="inlineStr">
        <is>
          <t>LNG 18: vent stack</t>
        </is>
      </c>
      <c r="G5565" s="12" t="inlineStr">
        <is>
          <t>JB-LNG 18: vent stack-DI01</t>
        </is>
      </c>
      <c r="H5565" s="12" t="inlineStr">
        <is>
          <t>LNG 18: vent stack</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12</v>
      </c>
      <c r="O5565" s="12" t="n">
        <v>1</v>
      </c>
      <c r="P5565" s="12" t="n"/>
      <c r="Q5565" s="12" t="n"/>
      <c r="R5565" s="12" t="n"/>
      <c r="S5565" s="12" t="inlineStr">
        <is>
          <t>Tray / conduit</t>
        </is>
      </c>
      <c r="T5565" s="17" t="n">
        <v>55</v>
      </c>
      <c r="U5565" s="17" t="n">
        <v>10</v>
      </c>
      <c r="V5565" s="17">
        <f>ROUNDUP((T5565+U5565+2*'Read Me'!$B$13)*(1+'Read Me'!$B$12),-1)</f>
        <v/>
      </c>
      <c r="W5565" s="17">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K-I-0158</t>
        </is>
      </c>
      <c r="B5566" s="12" t="inlineStr">
        <is>
          <t>K</t>
        </is>
      </c>
      <c r="C5566" s="12" t="inlineStr">
        <is>
          <t>Fuel supply (adjacent market)</t>
        </is>
      </c>
      <c r="D5566" s="12" t="inlineStr">
        <is>
          <t>Home run JB-LNG 18: vent stack-DI01 to the control / marshalling room</t>
        </is>
      </c>
      <c r="E5566" s="12" t="inlineStr"/>
      <c r="F5566" s="12" t="inlineStr">
        <is>
          <t>LNG 17: LNG e-house (13.8 kV / 480 V)</t>
        </is>
      </c>
      <c r="G5566" s="12" t="inlineStr">
        <is>
          <t>JB-LNG 18: vent stack-DI01</t>
        </is>
      </c>
      <c r="H5566" s="12" t="inlineStr">
        <is>
          <t>LNG 18: vent stack</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7" t="n">
        <v>25</v>
      </c>
      <c r="U5566" s="17" t="n">
        <v>117</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K-I-0159</t>
        </is>
      </c>
      <c r="B5567" s="12" t="inlineStr">
        <is>
          <t>K</t>
        </is>
      </c>
      <c r="C5567" s="12" t="inlineStr">
        <is>
          <t>Fuel supply (adjacent market)</t>
        </is>
      </c>
      <c r="D5567" s="12" t="inlineStr">
        <is>
          <t>Instrumentation</t>
        </is>
      </c>
      <c r="E5567" s="12" t="inlineStr"/>
      <c r="F5567" s="12" t="inlineStr">
        <is>
          <t>LNG 17: LNG e-house (13.8 kV / 480 V)</t>
        </is>
      </c>
      <c r="G5567" s="12" t="inlineStr"/>
      <c r="H5567" s="12" t="inlineStr">
        <is>
          <t>LNG impoundment sump pump</t>
        </is>
      </c>
      <c r="I5567" s="12" t="inlineStr">
        <is>
          <t>Instrumentation</t>
        </is>
      </c>
      <c r="J5567" s="12" t="inlineStr">
        <is>
          <t>Instrumentation ITC / PLTC, IS, #18 shielded pairs, blue jacket</t>
        </is>
      </c>
      <c r="K5567" s="12" t="inlineStr">
        <is>
          <t>ITC|4 pr|18</t>
        </is>
      </c>
      <c r="L5567" s="12" t="inlineStr">
        <is>
          <t>4 pr</t>
        </is>
      </c>
      <c r="M5567" s="12" t="inlineStr">
        <is>
          <t>18</t>
        </is>
      </c>
      <c r="N5567" s="12" t="n">
        <v>1</v>
      </c>
      <c r="O5567" s="12" t="n">
        <v>1</v>
      </c>
      <c r="P5567" s="12" t="n"/>
      <c r="Q5567" s="12" t="n"/>
      <c r="R5567" s="12" t="n"/>
      <c r="S5567" s="12" t="inlineStr">
        <is>
          <t>Duct bank</t>
        </is>
      </c>
      <c r="T5567" s="17" t="n">
        <v>334</v>
      </c>
      <c r="U5567" s="17" t="n">
        <v>32</v>
      </c>
      <c r="V5567" s="17">
        <f>ROUNDUP((T5567+U5567+2*'Read Me'!$B$13)*(1+'Read Me'!$B$12),-1)</f>
        <v/>
      </c>
      <c r="W5567" s="17">
        <f>V5567*N5567*O5567</f>
        <v/>
      </c>
      <c r="X5567" s="12">
        <f>IF(LEFT(I5567,2)="MV",2*N5567*IF(L5567="1/C",O5567,1),0)</f>
        <v/>
      </c>
      <c r="Y5567" s="12">
        <f>IF(OR(LEFT(K5567,4)="LVAX",LEFT(K5567,6)="MV15AX",LEFT(K5567,4)="CTAX",LEFT(K5567,2)="W|"),2*N5567*O5567,0)</f>
        <v/>
      </c>
      <c r="Z5567" s="12" t="inlineStr"/>
      <c r="AA5567" s="12">
        <f>N5567*O5567</f>
        <v/>
      </c>
    </row>
    <row r="5568">
      <c r="A5568" s="12" t="inlineStr">
        <is>
          <t>K-I-0160</t>
        </is>
      </c>
      <c r="B5568" s="12" t="inlineStr">
        <is>
          <t>K</t>
        </is>
      </c>
      <c r="C5568" s="12" t="inlineStr">
        <is>
          <t>Fuel supply (adjacent market)</t>
        </is>
      </c>
      <c r="D5568" s="12" t="inlineStr">
        <is>
          <t>Instrumentation</t>
        </is>
      </c>
      <c r="E5568" s="12" t="inlineStr"/>
      <c r="F5568" s="12" t="inlineStr">
        <is>
          <t>LNG 17: LNG e-house (13.8 kV / 480 V)</t>
        </is>
      </c>
      <c r="G5568" s="12" t="inlineStr"/>
      <c r="H5568" s="12" t="inlineStr">
        <is>
          <t>M&amp;R 1: pig receiver, lateral terminus</t>
        </is>
      </c>
      <c r="I5568" s="12" t="inlineStr">
        <is>
          <t>Instrumentation</t>
        </is>
      </c>
      <c r="J5568" s="12" t="inlineStr">
        <is>
          <t>Instrumentation ITC / PLTC, IS, #18 shielded pairs, blue jacket</t>
        </is>
      </c>
      <c r="K5568" s="12" t="inlineStr">
        <is>
          <t>ITC|4 pr|18</t>
        </is>
      </c>
      <c r="L5568" s="12" t="inlineStr">
        <is>
          <t>4 pr</t>
        </is>
      </c>
      <c r="M5568" s="12" t="inlineStr">
        <is>
          <t>18</t>
        </is>
      </c>
      <c r="N5568" s="12" t="n">
        <v>1</v>
      </c>
      <c r="O5568" s="12" t="n">
        <v>1</v>
      </c>
      <c r="P5568" s="12" t="n"/>
      <c r="Q5568" s="12" t="n"/>
      <c r="R5568" s="12" t="n"/>
      <c r="S5568" s="12" t="inlineStr">
        <is>
          <t>Duct bank</t>
        </is>
      </c>
      <c r="T5568" s="17" t="n">
        <v>773</v>
      </c>
      <c r="U5568" s="17" t="n">
        <v>37</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K-I-0161</t>
        </is>
      </c>
      <c r="B5569" s="12" t="inlineStr">
        <is>
          <t>K</t>
        </is>
      </c>
      <c r="C5569" s="12" t="inlineStr">
        <is>
          <t>Fuel supply (adjacent market)</t>
        </is>
      </c>
      <c r="D5569" s="12" t="inlineStr">
        <is>
          <t>Discrete device to JB JB-M&amp;R 2: insulating -DI01: 8 x 1 pr (field cables)</t>
        </is>
      </c>
      <c r="E5569" s="12" t="inlineStr"/>
      <c r="F5569" s="12" t="inlineStr">
        <is>
          <t>M&amp;R 2: insulating joint + ESD valve</t>
        </is>
      </c>
      <c r="G5569" s="12" t="inlineStr">
        <is>
          <t>JB-M&amp;R 2: insulating -DI01</t>
        </is>
      </c>
      <c r="H5569" s="12" t="inlineStr">
        <is>
          <t>M&amp;R 2: insulating joint + ESD valve</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8</v>
      </c>
      <c r="O5569" s="12" t="n">
        <v>1</v>
      </c>
      <c r="P5569" s="12" t="n"/>
      <c r="Q5569" s="12" t="n"/>
      <c r="R5569" s="12" t="n"/>
      <c r="S5569" s="12" t="inlineStr">
        <is>
          <t>Tray / conduit</t>
        </is>
      </c>
      <c r="T5569" s="17" t="n">
        <v>40</v>
      </c>
      <c r="U5569" s="17" t="n">
        <v>10</v>
      </c>
      <c r="V5569" s="17">
        <f>ROUNDUP((T5569+U5569+2*'Read Me'!$B$13)*(1+'Read Me'!$B$12),-1)</f>
        <v/>
      </c>
      <c r="W5569" s="17">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K-I-0162</t>
        </is>
      </c>
      <c r="B5570" s="12" t="inlineStr">
        <is>
          <t>K</t>
        </is>
      </c>
      <c r="C5570" s="12" t="inlineStr">
        <is>
          <t>Fuel supply (adjacent market)</t>
        </is>
      </c>
      <c r="D5570" s="12" t="inlineStr">
        <is>
          <t>Home run JB-M&amp;R 2: insulating -DI01 to the control / marshalling room</t>
        </is>
      </c>
      <c r="E5570" s="12" t="inlineStr"/>
      <c r="F5570" s="12" t="inlineStr">
        <is>
          <t>LNG 17: LNG e-house (13.8 kV / 480 V)</t>
        </is>
      </c>
      <c r="G5570" s="12" t="inlineStr">
        <is>
          <t>JB-M&amp;R 2: insulating -DI01</t>
        </is>
      </c>
      <c r="H5570" s="12" t="inlineStr">
        <is>
          <t>M&amp;R 2: insulating joint + ESD valve</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7" t="n">
        <v>758</v>
      </c>
      <c r="U5570" s="17" t="n">
        <v>32</v>
      </c>
      <c r="V5570" s="17">
        <f>ROUNDUP((T5570+U5570+2*'Read Me'!$B$13)*(1+'Read Me'!$B$12),-1)</f>
        <v/>
      </c>
      <c r="W5570" s="17">
        <f>V5570*N5570*O5570</f>
        <v/>
      </c>
      <c r="X5570" s="12">
        <f>IF(LEFT(I5570,2)="MV",2*N5570*IF(L5570="1/C",O5570,1),0)</f>
        <v/>
      </c>
      <c r="Y5570" s="12">
        <f>IF(OR(LEFT(K5570,4)="LVAX",LEFT(K5570,6)="MV15AX",LEFT(K5570,4)="CTAX",LEFT(K5570,2)="W|"),2*N5570*O5570,0)</f>
        <v/>
      </c>
      <c r="Z5570" s="12" t="inlineStr"/>
      <c r="AA5570" s="12">
        <f>N5570*O5570</f>
        <v/>
      </c>
    </row>
    <row r="5571">
      <c r="A5571" s="12" t="inlineStr">
        <is>
          <t>K-I-0163</t>
        </is>
      </c>
      <c r="B5571" s="12" t="inlineStr">
        <is>
          <t>K</t>
        </is>
      </c>
      <c r="C5571" s="12" t="inlineStr">
        <is>
          <t>Fuel supply (adjacent market)</t>
        </is>
      </c>
      <c r="D5571" s="12" t="inlineStr">
        <is>
          <t>Analog instrument to JB JB-M&amp;R 3: horizontal -AI01: 8 x 1 pr (field cables)</t>
        </is>
      </c>
      <c r="E5571" s="12" t="inlineStr"/>
      <c r="F5571" s="12" t="inlineStr">
        <is>
          <t>M&amp;R 3: horizontal filter-separator</t>
        </is>
      </c>
      <c r="G5571" s="12" t="inlineStr">
        <is>
          <t>JB-M&amp;R 3: horizontal -AI01</t>
        </is>
      </c>
      <c r="H5571" s="12" t="inlineStr">
        <is>
          <t>M&amp;R 3: horizontal filter-separator</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8</v>
      </c>
      <c r="O5571" s="12" t="n">
        <v>1</v>
      </c>
      <c r="P5571" s="12" t="n"/>
      <c r="Q5571" s="12" t="n"/>
      <c r="R5571" s="12" t="n"/>
      <c r="S5571" s="12" t="inlineStr">
        <is>
          <t>Tray / conduit</t>
        </is>
      </c>
      <c r="T5571" s="17" t="n">
        <v>53</v>
      </c>
      <c r="U5571" s="17" t="n">
        <v>10</v>
      </c>
      <c r="V5571" s="17">
        <f>ROUNDUP((T5571+U5571+2*'Read Me'!$B$13)*(1+'Read Me'!$B$12),-1)</f>
        <v/>
      </c>
      <c r="W5571" s="17">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K-I-0164</t>
        </is>
      </c>
      <c r="B5572" s="12" t="inlineStr">
        <is>
          <t>K</t>
        </is>
      </c>
      <c r="C5572" s="12" t="inlineStr">
        <is>
          <t>Fuel supply (adjacent market)</t>
        </is>
      </c>
      <c r="D5572" s="12" t="inlineStr">
        <is>
          <t>Home run JB-M&amp;R 3: horizontal -AI01 to the control / marshalling room</t>
        </is>
      </c>
      <c r="E5572" s="12" t="inlineStr"/>
      <c r="F5572" s="12" t="inlineStr">
        <is>
          <t>LNG 17: LNG e-house (13.8 kV / 480 V)</t>
        </is>
      </c>
      <c r="G5572" s="12" t="inlineStr">
        <is>
          <t>JB-M&amp;R 3: horizontal -AI01</t>
        </is>
      </c>
      <c r="H5572" s="12" t="inlineStr">
        <is>
          <t>M&amp;R 3: horizontal filter-separator</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7" t="n">
        <v>797</v>
      </c>
      <c r="U5572" s="17" t="n">
        <v>32</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K-I-0165</t>
        </is>
      </c>
      <c r="B5573" s="12" t="inlineStr">
        <is>
          <t>K</t>
        </is>
      </c>
      <c r="C5573" s="12" t="inlineStr">
        <is>
          <t>Fuel supply (adjacent market)</t>
        </is>
      </c>
      <c r="D5573" s="12" t="inlineStr">
        <is>
          <t>Discrete device to JB JB-M&amp;R 3: horizontal -DI01: 12 x 1 pr (field cables)</t>
        </is>
      </c>
      <c r="E5573" s="12" t="inlineStr"/>
      <c r="F5573" s="12" t="inlineStr">
        <is>
          <t>M&amp;R 3: horizontal filter-separator</t>
        </is>
      </c>
      <c r="G5573" s="12" t="inlineStr">
        <is>
          <t>JB-M&amp;R 3: horizontal -DI01</t>
        </is>
      </c>
      <c r="H5573" s="12" t="inlineStr">
        <is>
          <t>M&amp;R 3: horizontal filter-separator</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7" t="n">
        <v>53</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K-I-0166</t>
        </is>
      </c>
      <c r="B5574" s="12" t="inlineStr">
        <is>
          <t>K</t>
        </is>
      </c>
      <c r="C5574" s="12" t="inlineStr">
        <is>
          <t>Fuel supply (adjacent market)</t>
        </is>
      </c>
      <c r="D5574" s="12" t="inlineStr">
        <is>
          <t>Home run JB-M&amp;R 3: horizontal -DI01 to the control / marshalling room</t>
        </is>
      </c>
      <c r="E5574" s="12" t="inlineStr"/>
      <c r="F5574" s="12" t="inlineStr">
        <is>
          <t>LNG 17: LNG e-house (13.8 kV / 480 V)</t>
        </is>
      </c>
      <c r="G5574" s="12" t="inlineStr">
        <is>
          <t>JB-M&amp;R 3: horizontal -DI01</t>
        </is>
      </c>
      <c r="H5574" s="12" t="inlineStr">
        <is>
          <t>M&amp;R 3: horizontal filter-separator</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7" t="n">
        <v>797</v>
      </c>
      <c r="U5574" s="17" t="n">
        <v>32</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K-I-0167</t>
        </is>
      </c>
      <c r="B5575" s="12" t="inlineStr">
        <is>
          <t>K</t>
        </is>
      </c>
      <c r="C5575" s="12" t="inlineStr">
        <is>
          <t>Fuel supply (adjacent market)</t>
        </is>
      </c>
      <c r="D5575" s="12" t="inlineStr">
        <is>
          <t>Instrumentation</t>
        </is>
      </c>
      <c r="E5575" s="12" t="inlineStr"/>
      <c r="F5575" s="12" t="inlineStr">
        <is>
          <t>LNG 17: LNG e-house (13.8 kV / 480 V)</t>
        </is>
      </c>
      <c r="G5575" s="12" t="inlineStr"/>
      <c r="H5575" s="12" t="inlineStr">
        <is>
          <t>M&amp;R 4: line heater 1 (water bath)</t>
        </is>
      </c>
      <c r="I5575" s="12" t="inlineStr">
        <is>
          <t>Instrumentation</t>
        </is>
      </c>
      <c r="J5575" s="12" t="inlineStr">
        <is>
          <t>Instrumentation ITC / PLTC, IS, #18 shielded pairs, blue jacket</t>
        </is>
      </c>
      <c r="K5575" s="12" t="inlineStr">
        <is>
          <t>ITC|4 pr|18</t>
        </is>
      </c>
      <c r="L5575" s="12" t="inlineStr">
        <is>
          <t>4 pr</t>
        </is>
      </c>
      <c r="M5575" s="12" t="inlineStr">
        <is>
          <t>18</t>
        </is>
      </c>
      <c r="N5575" s="12" t="n">
        <v>1</v>
      </c>
      <c r="O5575" s="12" t="n">
        <v>1</v>
      </c>
      <c r="P5575" s="12" t="n"/>
      <c r="Q5575" s="12" t="n"/>
      <c r="R5575" s="12" t="n"/>
      <c r="S5575" s="12" t="inlineStr">
        <is>
          <t>Duct bank</t>
        </is>
      </c>
      <c r="T5575" s="17" t="n">
        <v>593</v>
      </c>
      <c r="U5575" s="17" t="n">
        <v>32</v>
      </c>
      <c r="V5575" s="17">
        <f>ROUNDUP((T5575+U5575+2*'Read Me'!$B$13)*(1+'Read Me'!$B$12),-1)</f>
        <v/>
      </c>
      <c r="W5575" s="17">
        <f>V5575*N5575*O5575</f>
        <v/>
      </c>
      <c r="X5575" s="12">
        <f>IF(LEFT(I5575,2)="MV",2*N5575*IF(L5575="1/C",O5575,1),0)</f>
        <v/>
      </c>
      <c r="Y5575" s="12">
        <f>IF(OR(LEFT(K5575,4)="LVAX",LEFT(K5575,6)="MV15AX",LEFT(K5575,4)="CTAX",LEFT(K5575,2)="W|"),2*N5575*O5575,0)</f>
        <v/>
      </c>
      <c r="Z5575" s="12" t="inlineStr"/>
      <c r="AA5575" s="12">
        <f>N5575*O5575</f>
        <v/>
      </c>
    </row>
    <row r="5576">
      <c r="A5576" s="12" t="inlineStr">
        <is>
          <t>K-I-0168</t>
        </is>
      </c>
      <c r="B5576" s="12" t="inlineStr">
        <is>
          <t>K</t>
        </is>
      </c>
      <c r="C5576" s="12" t="inlineStr">
        <is>
          <t>Fuel supply (adjacent market)</t>
        </is>
      </c>
      <c r="D5576" s="12" t="inlineStr">
        <is>
          <t>Instrumentation</t>
        </is>
      </c>
      <c r="E5576" s="12" t="inlineStr"/>
      <c r="F5576" s="12" t="inlineStr">
        <is>
          <t>LNG 17: LNG e-house (13.8 kV / 480 V)</t>
        </is>
      </c>
      <c r="G5576" s="12" t="inlineStr"/>
      <c r="H5576" s="12" t="inlineStr">
        <is>
          <t>M&amp;R 4: line heater 1 (water bath)</t>
        </is>
      </c>
      <c r="I5576" s="12" t="inlineStr">
        <is>
          <t>Instrumentation</t>
        </is>
      </c>
      <c r="J5576" s="12" t="inlineStr">
        <is>
          <t>Instrumentation ITC / PLTC, IS, #18 shielded pairs, blue jacket</t>
        </is>
      </c>
      <c r="K5576" s="12" t="inlineStr">
        <is>
          <t>ITC|12 pr|18</t>
        </is>
      </c>
      <c r="L5576" s="12" t="inlineStr">
        <is>
          <t>12 pr</t>
        </is>
      </c>
      <c r="M5576" s="12" t="inlineStr">
        <is>
          <t>18</t>
        </is>
      </c>
      <c r="N5576" s="12" t="n">
        <v>1</v>
      </c>
      <c r="O5576" s="12" t="n">
        <v>1</v>
      </c>
      <c r="P5576" s="12" t="n"/>
      <c r="Q5576" s="12" t="n"/>
      <c r="R5576" s="12" t="n"/>
      <c r="S5576" s="12" t="inlineStr">
        <is>
          <t>Duct bank</t>
        </is>
      </c>
      <c r="T5576" s="17" t="n">
        <v>593</v>
      </c>
      <c r="U5576" s="17" t="n">
        <v>32</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K-I-0169</t>
        </is>
      </c>
      <c r="B5577" s="12" t="inlineStr">
        <is>
          <t>K</t>
        </is>
      </c>
      <c r="C5577" s="12" t="inlineStr">
        <is>
          <t>Fuel supply (adjacent market)</t>
        </is>
      </c>
      <c r="D5577" s="12" t="inlineStr">
        <is>
          <t>Instrumentation</t>
        </is>
      </c>
      <c r="E5577" s="12" t="inlineStr"/>
      <c r="F5577" s="12" t="inlineStr">
        <is>
          <t>LNG 17: LNG e-house (13.8 kV / 480 V)</t>
        </is>
      </c>
      <c r="G5577" s="12" t="inlineStr"/>
      <c r="H5577" s="12" t="inlineStr">
        <is>
          <t>M&amp;R 4: line heater 2 (water bath)</t>
        </is>
      </c>
      <c r="I5577" s="12" t="inlineStr">
        <is>
          <t>Instrumentation</t>
        </is>
      </c>
      <c r="J5577" s="12" t="inlineStr">
        <is>
          <t>Instrumentation ITC / PLTC, IS, #18 shielded pairs, blue jacket</t>
        </is>
      </c>
      <c r="K5577" s="12" t="inlineStr">
        <is>
          <t>ITC|4 pr|18</t>
        </is>
      </c>
      <c r="L5577" s="12" t="inlineStr">
        <is>
          <t>4 pr</t>
        </is>
      </c>
      <c r="M5577" s="12" t="inlineStr">
        <is>
          <t>18</t>
        </is>
      </c>
      <c r="N5577" s="12" t="n">
        <v>1</v>
      </c>
      <c r="O5577" s="12" t="n">
        <v>1</v>
      </c>
      <c r="P5577" s="12" t="n"/>
      <c r="Q5577" s="12" t="n"/>
      <c r="R5577" s="12" t="n"/>
      <c r="S5577" s="12" t="inlineStr">
        <is>
          <t>Duct bank</t>
        </is>
      </c>
      <c r="T5577" s="17" t="n">
        <v>593</v>
      </c>
      <c r="U5577" s="17" t="n">
        <v>50</v>
      </c>
      <c r="V5577" s="17">
        <f>ROUNDUP((T5577+U5577+2*'Read Me'!$B$13)*(1+'Read Me'!$B$12),-1)</f>
        <v/>
      </c>
      <c r="W5577" s="17">
        <f>V5577*N5577*O5577</f>
        <v/>
      </c>
      <c r="X5577" s="12">
        <f>IF(LEFT(I5577,2)="MV",2*N5577*IF(L5577="1/C",O5577,1),0)</f>
        <v/>
      </c>
      <c r="Y5577" s="12">
        <f>IF(OR(LEFT(K5577,4)="LVAX",LEFT(K5577,6)="MV15AX",LEFT(K5577,4)="CTAX",LEFT(K5577,2)="W|"),2*N5577*O5577,0)</f>
        <v/>
      </c>
      <c r="Z5577" s="12" t="inlineStr"/>
      <c r="AA5577" s="12">
        <f>N5577*O5577</f>
        <v/>
      </c>
    </row>
    <row r="5578">
      <c r="A5578" s="12" t="inlineStr">
        <is>
          <t>K-I-0170</t>
        </is>
      </c>
      <c r="B5578" s="12" t="inlineStr">
        <is>
          <t>K</t>
        </is>
      </c>
      <c r="C5578" s="12" t="inlineStr">
        <is>
          <t>Fuel supply (adjacent market)</t>
        </is>
      </c>
      <c r="D5578" s="12" t="inlineStr">
        <is>
          <t>Instrumentation</t>
        </is>
      </c>
      <c r="E5578" s="12" t="inlineStr"/>
      <c r="F5578" s="12" t="inlineStr">
        <is>
          <t>LNG 17: LNG e-house (13.8 kV / 480 V)</t>
        </is>
      </c>
      <c r="G5578" s="12" t="inlineStr"/>
      <c r="H5578" s="12" t="inlineStr">
        <is>
          <t>M&amp;R 4: line heater 2 (water bath)</t>
        </is>
      </c>
      <c r="I5578" s="12" t="inlineStr">
        <is>
          <t>Instrumentation</t>
        </is>
      </c>
      <c r="J5578" s="12" t="inlineStr">
        <is>
          <t>Instrumentation ITC / PLTC, IS, #18 shielded pairs, blue jacket</t>
        </is>
      </c>
      <c r="K5578" s="12" t="inlineStr">
        <is>
          <t>ITC|12 pr|18</t>
        </is>
      </c>
      <c r="L5578" s="12" t="inlineStr">
        <is>
          <t>12 pr</t>
        </is>
      </c>
      <c r="M5578" s="12" t="inlineStr">
        <is>
          <t>18</t>
        </is>
      </c>
      <c r="N5578" s="12" t="n">
        <v>1</v>
      </c>
      <c r="O5578" s="12" t="n">
        <v>1</v>
      </c>
      <c r="P5578" s="12" t="n"/>
      <c r="Q5578" s="12" t="n"/>
      <c r="R5578" s="12" t="n"/>
      <c r="S5578" s="12" t="inlineStr">
        <is>
          <t>Duct bank</t>
        </is>
      </c>
      <c r="T5578" s="17" t="n">
        <v>593</v>
      </c>
      <c r="U5578" s="17" t="n">
        <v>50</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K-I-0171</t>
        </is>
      </c>
      <c r="B5579" s="12" t="inlineStr">
        <is>
          <t>K</t>
        </is>
      </c>
      <c r="C5579" s="12" t="inlineStr">
        <is>
          <t>Fuel supply (adjacent market)</t>
        </is>
      </c>
      <c r="D5579" s="12" t="inlineStr">
        <is>
          <t>Instrumentation</t>
        </is>
      </c>
      <c r="E5579" s="12" t="inlineStr"/>
      <c r="F5579" s="12" t="inlineStr">
        <is>
          <t>LNG 17: LNG e-house (13.8 kV / 480 V)</t>
        </is>
      </c>
      <c r="G5579" s="12" t="inlineStr"/>
      <c r="H5579" s="12" t="inlineStr">
        <is>
          <t>M&amp;R 4: line heater 3 (water bath)</t>
        </is>
      </c>
      <c r="I5579" s="12" t="inlineStr">
        <is>
          <t>Instrumentation</t>
        </is>
      </c>
      <c r="J5579" s="12" t="inlineStr">
        <is>
          <t>Instrumentation ITC / PLTC, IS, #18 shielded pairs, blue jacket</t>
        </is>
      </c>
      <c r="K5579" s="12" t="inlineStr">
        <is>
          <t>ITC|4 pr|18</t>
        </is>
      </c>
      <c r="L5579" s="12" t="inlineStr">
        <is>
          <t>4 pr</t>
        </is>
      </c>
      <c r="M5579" s="12" t="inlineStr">
        <is>
          <t>18</t>
        </is>
      </c>
      <c r="N5579" s="12" t="n">
        <v>1</v>
      </c>
      <c r="O5579" s="12" t="n">
        <v>1</v>
      </c>
      <c r="P5579" s="12" t="n"/>
      <c r="Q5579" s="12" t="n"/>
      <c r="R5579" s="12" t="n"/>
      <c r="S5579" s="12" t="inlineStr">
        <is>
          <t>Duct bank</t>
        </is>
      </c>
      <c r="T5579" s="17" t="n">
        <v>593</v>
      </c>
      <c r="U5579" s="17" t="n">
        <v>68</v>
      </c>
      <c r="V5579" s="17">
        <f>ROUNDUP((T5579+U5579+2*'Read Me'!$B$13)*(1+'Read Me'!$B$12),-1)</f>
        <v/>
      </c>
      <c r="W5579" s="17">
        <f>V5579*N5579*O5579</f>
        <v/>
      </c>
      <c r="X5579" s="12">
        <f>IF(LEFT(I5579,2)="MV",2*N5579*IF(L5579="1/C",O5579,1),0)</f>
        <v/>
      </c>
      <c r="Y5579" s="12">
        <f>IF(OR(LEFT(K5579,4)="LVAX",LEFT(K5579,6)="MV15AX",LEFT(K5579,4)="CTAX",LEFT(K5579,2)="W|"),2*N5579*O5579,0)</f>
        <v/>
      </c>
      <c r="Z5579" s="12" t="inlineStr"/>
      <c r="AA5579" s="12">
        <f>N5579*O5579</f>
        <v/>
      </c>
    </row>
    <row r="5580">
      <c r="A5580" s="12" t="inlineStr">
        <is>
          <t>K-I-0172</t>
        </is>
      </c>
      <c r="B5580" s="12" t="inlineStr">
        <is>
          <t>K</t>
        </is>
      </c>
      <c r="C5580" s="12" t="inlineStr">
        <is>
          <t>Fuel supply (adjacent market)</t>
        </is>
      </c>
      <c r="D5580" s="12" t="inlineStr">
        <is>
          <t>Instrumentation</t>
        </is>
      </c>
      <c r="E5580" s="12" t="inlineStr"/>
      <c r="F5580" s="12" t="inlineStr">
        <is>
          <t>LNG 17: LNG e-house (13.8 kV / 480 V)</t>
        </is>
      </c>
      <c r="G5580" s="12" t="inlineStr"/>
      <c r="H5580" s="12" t="inlineStr">
        <is>
          <t>M&amp;R 4: line heater 3 (water bath)</t>
        </is>
      </c>
      <c r="I5580" s="12" t="inlineStr">
        <is>
          <t>Instrumentation</t>
        </is>
      </c>
      <c r="J5580" s="12" t="inlineStr">
        <is>
          <t>Instrumentation ITC / PLTC, IS, #18 shielded pairs, blue jacket</t>
        </is>
      </c>
      <c r="K5580" s="12" t="inlineStr">
        <is>
          <t>ITC|12 pr|18</t>
        </is>
      </c>
      <c r="L5580" s="12" t="inlineStr">
        <is>
          <t>12 pr</t>
        </is>
      </c>
      <c r="M5580" s="12" t="inlineStr">
        <is>
          <t>18</t>
        </is>
      </c>
      <c r="N5580" s="12" t="n">
        <v>1</v>
      </c>
      <c r="O5580" s="12" t="n">
        <v>1</v>
      </c>
      <c r="P5580" s="12" t="n"/>
      <c r="Q5580" s="12" t="n"/>
      <c r="R5580" s="12" t="n"/>
      <c r="S5580" s="12" t="inlineStr">
        <is>
          <t>Duct bank</t>
        </is>
      </c>
      <c r="T5580" s="17" t="n">
        <v>593</v>
      </c>
      <c r="U5580" s="17" t="n">
        <v>68</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K-I-0173</t>
        </is>
      </c>
      <c r="B5581" s="12" t="inlineStr">
        <is>
          <t>K</t>
        </is>
      </c>
      <c r="C5581" s="12" t="inlineStr">
        <is>
          <t>Fuel supply (adjacent market)</t>
        </is>
      </c>
      <c r="D5581" s="12" t="inlineStr">
        <is>
          <t>Analog instrument to JB JB-M&amp;R 5: ultrasonic -AI01: 20 x 1 pr (field cables)</t>
        </is>
      </c>
      <c r="E5581" s="12" t="inlineStr"/>
      <c r="F5581" s="12" t="inlineStr">
        <is>
          <t>M&amp;R 5: ultrasonic meters, 2 runs (custody transfer)</t>
        </is>
      </c>
      <c r="G5581" s="12" t="inlineStr">
        <is>
          <t>JB-M&amp;R 5: ultrasonic -AI01</t>
        </is>
      </c>
      <c r="H5581" s="12" t="inlineStr">
        <is>
          <t>M&amp;R 5: ultrasonic meters, 2 runs (custody transfer)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20</v>
      </c>
      <c r="O5581" s="12" t="n">
        <v>1</v>
      </c>
      <c r="P5581" s="12" t="n"/>
      <c r="Q5581" s="12" t="n"/>
      <c r="R5581" s="12" t="n"/>
      <c r="S5581" s="12" t="inlineStr">
        <is>
          <t>Tray / conduit</t>
        </is>
      </c>
      <c r="T5581" s="17" t="n">
        <v>60</v>
      </c>
      <c r="U5581" s="17" t="n">
        <v>10</v>
      </c>
      <c r="V5581" s="17">
        <f>ROUNDUP((T5581+U5581+2*'Read Me'!$B$13)*(1+'Read Me'!$B$12),-1)</f>
        <v/>
      </c>
      <c r="W5581" s="17">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K-I-0174</t>
        </is>
      </c>
      <c r="B5582" s="12" t="inlineStr">
        <is>
          <t>K</t>
        </is>
      </c>
      <c r="C5582" s="12" t="inlineStr">
        <is>
          <t>Fuel supply (adjacent market)</t>
        </is>
      </c>
      <c r="D5582" s="12" t="inlineStr">
        <is>
          <t>Home run JB-M&amp;R 5: ultrasonic -AI01 to the control / marshalling room</t>
        </is>
      </c>
      <c r="E5582" s="12" t="inlineStr"/>
      <c r="F5582" s="12" t="inlineStr">
        <is>
          <t>LNG 17: LNG e-house (13.8 kV / 480 V)</t>
        </is>
      </c>
      <c r="G5582" s="12" t="inlineStr">
        <is>
          <t>JB-M&amp;R 5: ultrasonic -AI01</t>
        </is>
      </c>
      <c r="H5582" s="12" t="inlineStr">
        <is>
          <t>M&amp;R 5: ultrasonic meters, 2 runs (custody transfer)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7" t="n">
        <v>651</v>
      </c>
      <c r="U5582" s="17" t="n">
        <v>57</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K-I-0175</t>
        </is>
      </c>
      <c r="B5583" s="12" t="inlineStr">
        <is>
          <t>K</t>
        </is>
      </c>
      <c r="C5583" s="12" t="inlineStr">
        <is>
          <t>Fuel supply (adjacent market)</t>
        </is>
      </c>
      <c r="D5583" s="12" t="inlineStr">
        <is>
          <t>Discrete device to JB JB-M&amp;R 5: ultrasonic -DI01: 8 x 1 pr (field cables)</t>
        </is>
      </c>
      <c r="E5583" s="12" t="inlineStr"/>
      <c r="F5583" s="12" t="inlineStr">
        <is>
          <t>M&amp;R 5: ultrasonic meters, 2 runs (custody transfer)</t>
        </is>
      </c>
      <c r="G5583" s="12" t="inlineStr">
        <is>
          <t>JB-M&amp;R 5: ultrasonic -DI01</t>
        </is>
      </c>
      <c r="H5583" s="12" t="inlineStr">
        <is>
          <t>M&amp;R 5: ultrasonic meters, 2 runs (custody transfer)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8</v>
      </c>
      <c r="O5583" s="12" t="n">
        <v>1</v>
      </c>
      <c r="P5583" s="12" t="n"/>
      <c r="Q5583" s="12" t="n"/>
      <c r="R5583" s="12" t="n"/>
      <c r="S5583" s="12" t="inlineStr">
        <is>
          <t>Tray / conduit</t>
        </is>
      </c>
      <c r="T5583" s="17" t="n">
        <v>60</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K-I-0176</t>
        </is>
      </c>
      <c r="B5584" s="12" t="inlineStr">
        <is>
          <t>K</t>
        </is>
      </c>
      <c r="C5584" s="12" t="inlineStr">
        <is>
          <t>Fuel supply (adjacent market)</t>
        </is>
      </c>
      <c r="D5584" s="12" t="inlineStr">
        <is>
          <t>Home run JB-M&amp;R 5: ultrasonic -DI01 to the control / marshalling room</t>
        </is>
      </c>
      <c r="E5584" s="12" t="inlineStr"/>
      <c r="F5584" s="12" t="inlineStr">
        <is>
          <t>LNG 17: LNG e-house (13.8 kV / 480 V)</t>
        </is>
      </c>
      <c r="G5584" s="12" t="inlineStr">
        <is>
          <t>JB-M&amp;R 5: ultrasonic -DI01</t>
        </is>
      </c>
      <c r="H5584" s="12" t="inlineStr">
        <is>
          <t>M&amp;R 5: ultrasonic meters, 2 runs (custody transfer)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7" t="n">
        <v>651</v>
      </c>
      <c r="U5584" s="17" t="n">
        <v>57</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K-I-0177</t>
        </is>
      </c>
      <c r="B5585" s="12" t="inlineStr">
        <is>
          <t>K</t>
        </is>
      </c>
      <c r="C5585" s="12" t="inlineStr">
        <is>
          <t>Fuel supply (adjacent market)</t>
        </is>
      </c>
      <c r="D5585" s="12" t="inlineStr">
        <is>
          <t>Analog instrument to JB JB-M&amp;R 6: regulation -AI01: 12 x 1 pr (field cables)</t>
        </is>
      </c>
      <c r="E5585" s="12" t="inlineStr"/>
      <c r="F5585" s="12" t="inlineStr">
        <is>
          <t>M&amp;R 6: regulation / flow control building</t>
        </is>
      </c>
      <c r="G5585" s="12" t="inlineStr">
        <is>
          <t>JB-M&amp;R 6: regulation -AI01</t>
        </is>
      </c>
      <c r="H5585" s="12" t="inlineStr">
        <is>
          <t>M&amp;R 6: regulation / flow control building</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7" t="n">
        <v>61</v>
      </c>
      <c r="U5585" s="17" t="n">
        <v>10</v>
      </c>
      <c r="V5585" s="17">
        <f>ROUNDUP((T5585+U5585+2*'Read Me'!$B$13)*(1+'Read Me'!$B$12),-1)</f>
        <v/>
      </c>
      <c r="W5585" s="17">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K-I-0178</t>
        </is>
      </c>
      <c r="B5586" s="12" t="inlineStr">
        <is>
          <t>K</t>
        </is>
      </c>
      <c r="C5586" s="12" t="inlineStr">
        <is>
          <t>Fuel supply (adjacent market)</t>
        </is>
      </c>
      <c r="D5586" s="12" t="inlineStr">
        <is>
          <t>Home run JB-M&amp;R 6: regulation -AI01 to the control / marshalling room</t>
        </is>
      </c>
      <c r="E5586" s="12" t="inlineStr"/>
      <c r="F5586" s="12" t="inlineStr">
        <is>
          <t>LNG 17: LNG e-house (13.8 kV / 480 V)</t>
        </is>
      </c>
      <c r="G5586" s="12" t="inlineStr">
        <is>
          <t>JB-M&amp;R 6: regulation -AI01</t>
        </is>
      </c>
      <c r="H5586" s="12" t="inlineStr">
        <is>
          <t>M&amp;R 6: regulation / flow control building</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7" t="n">
        <v>470</v>
      </c>
      <c r="U5586" s="17" t="n">
        <v>70</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K-I-0179</t>
        </is>
      </c>
      <c r="B5587" s="12" t="inlineStr">
        <is>
          <t>K</t>
        </is>
      </c>
      <c r="C5587" s="12" t="inlineStr">
        <is>
          <t>Fuel supply (adjacent market)</t>
        </is>
      </c>
      <c r="D5587" s="12" t="inlineStr">
        <is>
          <t>Discrete device to JB JB-M&amp;R 6: regulation -DI01: 12 x 1 pr (field cables)</t>
        </is>
      </c>
      <c r="E5587" s="12" t="inlineStr"/>
      <c r="F5587" s="12" t="inlineStr">
        <is>
          <t>M&amp;R 6: regulation / flow control building</t>
        </is>
      </c>
      <c r="G5587" s="12" t="inlineStr">
        <is>
          <t>JB-M&amp;R 6: regulation -DI01</t>
        </is>
      </c>
      <c r="H5587" s="12" t="inlineStr">
        <is>
          <t>M&amp;R 6: regulation / flow control building</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7" t="n">
        <v>61</v>
      </c>
      <c r="U5587" s="17" t="n">
        <v>10</v>
      </c>
      <c r="V5587" s="17">
        <f>ROUNDUP((T5587+U5587+2*'Read Me'!$B$13)*(1+'Read Me'!$B$12),-1)</f>
        <v/>
      </c>
      <c r="W5587" s="17">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K-I-0180</t>
        </is>
      </c>
      <c r="B5588" s="12" t="inlineStr">
        <is>
          <t>K</t>
        </is>
      </c>
      <c r="C5588" s="12" t="inlineStr">
        <is>
          <t>Fuel supply (adjacent market)</t>
        </is>
      </c>
      <c r="D5588" s="12" t="inlineStr">
        <is>
          <t>Home run JB-M&amp;R 6: regulation -DI01 to the control / marshalling room</t>
        </is>
      </c>
      <c r="E5588" s="12" t="inlineStr"/>
      <c r="F5588" s="12" t="inlineStr">
        <is>
          <t>LNG 17: LNG e-house (13.8 kV / 480 V)</t>
        </is>
      </c>
      <c r="G5588" s="12" t="inlineStr">
        <is>
          <t>JB-M&amp;R 6: regulation -DI01</t>
        </is>
      </c>
      <c r="H5588" s="12" t="inlineStr">
        <is>
          <t>M&amp;R 6: regulation / flow control building</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7" t="n">
        <v>470</v>
      </c>
      <c r="U5588" s="17" t="n">
        <v>70</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K-I-0181</t>
        </is>
      </c>
      <c r="B5589" s="12" t="inlineStr">
        <is>
          <t>K</t>
        </is>
      </c>
      <c r="C5589" s="12" t="inlineStr">
        <is>
          <t>Fuel supply (adjacent market)</t>
        </is>
      </c>
      <c r="D5589" s="12" t="inlineStr">
        <is>
          <t>Analog instrument to JB JB-M&amp;R 7: gas quality-AI01: 20 x 1 pr (field cables)</t>
        </is>
      </c>
      <c r="E5589" s="12" t="inlineStr"/>
      <c r="F5589" s="12" t="inlineStr">
        <is>
          <t>M&amp;R 7: gas quality + measurement building</t>
        </is>
      </c>
      <c r="G5589" s="12" t="inlineStr">
        <is>
          <t>JB-M&amp;R 7: gas quality-AI01</t>
        </is>
      </c>
      <c r="H5589" s="12" t="inlineStr">
        <is>
          <t>M&amp;R 7: gas quality + measurement building</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20</v>
      </c>
      <c r="O5589" s="12" t="n">
        <v>1</v>
      </c>
      <c r="P5589" s="12" t="n"/>
      <c r="Q5589" s="12" t="n"/>
      <c r="R5589" s="12" t="n"/>
      <c r="S5589" s="12" t="inlineStr">
        <is>
          <t>Tray / conduit</t>
        </is>
      </c>
      <c r="T5589" s="17" t="n">
        <v>41</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K-I-0182</t>
        </is>
      </c>
      <c r="B5590" s="12" t="inlineStr">
        <is>
          <t>K</t>
        </is>
      </c>
      <c r="C5590" s="12" t="inlineStr">
        <is>
          <t>Fuel supply (adjacent market)</t>
        </is>
      </c>
      <c r="D5590" s="12" t="inlineStr">
        <is>
          <t>Home run JB-M&amp;R 7: gas quality-AI01 to the control / marshalling room</t>
        </is>
      </c>
      <c r="E5590" s="12" t="inlineStr"/>
      <c r="F5590" s="12" t="inlineStr">
        <is>
          <t>LNG 17: LNG e-house (13.8 kV / 480 V)</t>
        </is>
      </c>
      <c r="G5590" s="12" t="inlineStr">
        <is>
          <t>JB-M&amp;R 7: gas quality-AI01</t>
        </is>
      </c>
      <c r="H5590" s="12" t="inlineStr">
        <is>
          <t>M&amp;R 7: gas quality + measurement building</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7" t="n">
        <v>616</v>
      </c>
      <c r="U5590" s="17" t="n">
        <v>52</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K-I-0183</t>
        </is>
      </c>
      <c r="B5591" s="12" t="inlineStr">
        <is>
          <t>K</t>
        </is>
      </c>
      <c r="C5591" s="12" t="inlineStr">
        <is>
          <t>Fuel supply (adjacent market)</t>
        </is>
      </c>
      <c r="D5591" s="12" t="inlineStr">
        <is>
          <t>Discrete device to JB JB-M&amp;R 7: gas quality-DI01: 8 x 1 pr (field cables)</t>
        </is>
      </c>
      <c r="E5591" s="12" t="inlineStr"/>
      <c r="F5591" s="12" t="inlineStr">
        <is>
          <t>M&amp;R 7: gas quality + measurement building</t>
        </is>
      </c>
      <c r="G5591" s="12" t="inlineStr">
        <is>
          <t>JB-M&amp;R 7: gas quality-DI01</t>
        </is>
      </c>
      <c r="H5591" s="12" t="inlineStr">
        <is>
          <t>M&amp;R 7: gas quality + measurement building</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8</v>
      </c>
      <c r="O5591" s="12" t="n">
        <v>1</v>
      </c>
      <c r="P5591" s="12" t="n"/>
      <c r="Q5591" s="12" t="n"/>
      <c r="R5591" s="12" t="n"/>
      <c r="S5591" s="12" t="inlineStr">
        <is>
          <t>Tray / conduit</t>
        </is>
      </c>
      <c r="T5591" s="17" t="n">
        <v>41</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K-I-0184</t>
        </is>
      </c>
      <c r="B5592" s="12" t="inlineStr">
        <is>
          <t>K</t>
        </is>
      </c>
      <c r="C5592" s="12" t="inlineStr">
        <is>
          <t>Fuel supply (adjacent market)</t>
        </is>
      </c>
      <c r="D5592" s="12" t="inlineStr">
        <is>
          <t>Home run JB-M&amp;R 7: gas quality-DI01 to the control / marshalling room</t>
        </is>
      </c>
      <c r="E5592" s="12" t="inlineStr"/>
      <c r="F5592" s="12" t="inlineStr">
        <is>
          <t>LNG 17: LNG e-house (13.8 kV / 480 V)</t>
        </is>
      </c>
      <c r="G5592" s="12" t="inlineStr">
        <is>
          <t>JB-M&amp;R 7: gas quality-DI01</t>
        </is>
      </c>
      <c r="H5592" s="12" t="inlineStr">
        <is>
          <t>M&amp;R 7: gas quality + measurement building</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7" t="n">
        <v>616</v>
      </c>
      <c r="U5592" s="17" t="n">
        <v>52</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K-I-0185</t>
        </is>
      </c>
      <c r="B5593" s="12" t="inlineStr">
        <is>
          <t>K</t>
        </is>
      </c>
      <c r="C5593" s="12" t="inlineStr">
        <is>
          <t>Fuel supply (adjacent market)</t>
        </is>
      </c>
      <c r="D5593" s="12" t="inlineStr">
        <is>
          <t>Analog instrument to JB JB-M&amp;R 8: condensate -AI01: 4 x 1 pr (field cables)</t>
        </is>
      </c>
      <c r="E5593" s="12" t="inlineStr"/>
      <c r="F5593" s="12" t="inlineStr">
        <is>
          <t>M&amp;R 8: condensate tank</t>
        </is>
      </c>
      <c r="G5593" s="12" t="inlineStr">
        <is>
          <t>JB-M&amp;R 8: condensate -AI01</t>
        </is>
      </c>
      <c r="H5593" s="12" t="inlineStr">
        <is>
          <t>M&amp;R 8: condensate tank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4</v>
      </c>
      <c r="O5593" s="12" t="n">
        <v>1</v>
      </c>
      <c r="P5593" s="12" t="n"/>
      <c r="Q5593" s="12" t="n"/>
      <c r="R5593" s="12" t="n"/>
      <c r="S5593" s="12" t="inlineStr">
        <is>
          <t>Tray / conduit</t>
        </is>
      </c>
      <c r="T5593" s="17" t="n">
        <v>41</v>
      </c>
      <c r="U5593" s="17" t="n">
        <v>10</v>
      </c>
      <c r="V5593" s="17">
        <f>ROUNDUP((T5593+U5593+2*'Read Me'!$B$13)*(1+'Read Me'!$B$12),-1)</f>
        <v/>
      </c>
      <c r="W5593" s="17">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K-I-0186</t>
        </is>
      </c>
      <c r="B5594" s="12" t="inlineStr">
        <is>
          <t>K</t>
        </is>
      </c>
      <c r="C5594" s="12" t="inlineStr">
        <is>
          <t>Fuel supply (adjacent market)</t>
        </is>
      </c>
      <c r="D5594" s="12" t="inlineStr">
        <is>
          <t>Home run JB-M&amp;R 8: condensate -AI01 to the control / marshalling room</t>
        </is>
      </c>
      <c r="E5594" s="12" t="inlineStr"/>
      <c r="F5594" s="12" t="inlineStr">
        <is>
          <t>LNG 17: LNG e-house (13.8 kV / 480 V)</t>
        </is>
      </c>
      <c r="G5594" s="12" t="inlineStr">
        <is>
          <t>JB-M&amp;R 8: condensate -AI01</t>
        </is>
      </c>
      <c r="H5594" s="12" t="inlineStr">
        <is>
          <t>M&amp;R 8: condensate tank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7" t="n">
        <v>530</v>
      </c>
      <c r="U5594" s="17" t="n">
        <v>87</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K-I-0187</t>
        </is>
      </c>
      <c r="B5595" s="12" t="inlineStr">
        <is>
          <t>K</t>
        </is>
      </c>
      <c r="C5595" s="12" t="inlineStr">
        <is>
          <t>Fuel supply (adjacent market)</t>
        </is>
      </c>
      <c r="D5595" s="12" t="inlineStr">
        <is>
          <t>Discrete device to JB JB-M&amp;R 8: condensate -DI01: 4 x 1 pr (field cables)</t>
        </is>
      </c>
      <c r="E5595" s="12" t="inlineStr"/>
      <c r="F5595" s="12" t="inlineStr">
        <is>
          <t>M&amp;R 8: condensate tank</t>
        </is>
      </c>
      <c r="G5595" s="12" t="inlineStr">
        <is>
          <t>JB-M&amp;R 8: condensate -DI01</t>
        </is>
      </c>
      <c r="H5595" s="12" t="inlineStr">
        <is>
          <t>M&amp;R 8: condensate tank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4</v>
      </c>
      <c r="O5595" s="12" t="n">
        <v>1</v>
      </c>
      <c r="P5595" s="12" t="n"/>
      <c r="Q5595" s="12" t="n"/>
      <c r="R5595" s="12" t="n"/>
      <c r="S5595" s="12" t="inlineStr">
        <is>
          <t>Tray / conduit</t>
        </is>
      </c>
      <c r="T5595" s="17" t="n">
        <v>41</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K-I-0188</t>
        </is>
      </c>
      <c r="B5596" s="12" t="inlineStr">
        <is>
          <t>K</t>
        </is>
      </c>
      <c r="C5596" s="12" t="inlineStr">
        <is>
          <t>Fuel supply (adjacent market)</t>
        </is>
      </c>
      <c r="D5596" s="12" t="inlineStr">
        <is>
          <t>Home run JB-M&amp;R 8: condensate -DI01 to the control / marshalling room</t>
        </is>
      </c>
      <c r="E5596" s="12" t="inlineStr"/>
      <c r="F5596" s="12" t="inlineStr">
        <is>
          <t>LNG 17: LNG e-house (13.8 kV / 480 V)</t>
        </is>
      </c>
      <c r="G5596" s="12" t="inlineStr">
        <is>
          <t>JB-M&amp;R 8: condensate -DI01</t>
        </is>
      </c>
      <c r="H5596" s="12" t="inlineStr">
        <is>
          <t>M&amp;R 8: condensate tank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7" t="n">
        <v>530</v>
      </c>
      <c r="U5596" s="17" t="n">
        <v>87</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K-I-0189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M&amp;R CP test station (as drawn)</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7" t="n">
        <v>441</v>
      </c>
      <c r="U5597" s="17" t="n">
        <v>42</v>
      </c>
      <c r="V5597" s="17">
        <f>ROUNDUP((T5597+U5597+2*'Read Me'!$B$13)*(1+'Read Me'!$B$12),-1)</f>
        <v/>
      </c>
      <c r="W5597" s="17">
        <f>V5597*N5597*O5597</f>
        <v/>
      </c>
      <c r="X5597" s="12">
        <f>IF(LEFT(I5597,2)="MV",2*N5597*IF(L5597="1/C",O5597,1),0)</f>
        <v/>
      </c>
      <c r="Y5597" s="12">
        <f>IF(OR(LEFT(K5597,4)="LVAX",LEFT(K5597,6)="MV15AX",LEFT(K5597,4)="CTAX",LEFT(K5597,2)="W|"),2*N5597*O5597,0)</f>
        <v/>
      </c>
      <c r="Z5597" s="12" t="inlineStr"/>
      <c r="AA5597" s="12">
        <f>N5597*O5597</f>
        <v/>
      </c>
    </row>
    <row r="5598">
      <c r="A5598" s="12" t="inlineStr">
        <is>
          <t>K-I-0190</t>
        </is>
      </c>
      <c r="B5598" s="12" t="inlineStr">
        <is>
          <t>K</t>
        </is>
      </c>
      <c r="C5598" s="12" t="inlineStr">
        <is>
          <t>Fuel supply (adjacent market)</t>
        </is>
      </c>
      <c r="D5598" s="12" t="inlineStr">
        <is>
          <t>Instrumentation</t>
        </is>
      </c>
      <c r="E5598" s="12" t="inlineStr"/>
      <c r="F5598" s="12" t="inlineStr">
        <is>
          <t>H2 20: 13.8 kV e-house</t>
        </is>
      </c>
      <c r="G5598" s="12" t="inlineStr"/>
      <c r="H5598" s="12" t="inlineStr">
        <is>
          <t>PEM electrolyzer 1 (HyLYZER-1000)</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7" t="n">
        <v>358</v>
      </c>
      <c r="U5598" s="17" t="n">
        <v>32</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K-I-0191</t>
        </is>
      </c>
      <c r="B5599" s="12" t="inlineStr">
        <is>
          <t>K</t>
        </is>
      </c>
      <c r="C5599" s="12" t="inlineStr">
        <is>
          <t>Fuel supply (adjacent market)</t>
        </is>
      </c>
      <c r="D5599" s="12" t="inlineStr">
        <is>
          <t>Instrumentation</t>
        </is>
      </c>
      <c r="E5599" s="12" t="inlineStr"/>
      <c r="F5599" s="12" t="inlineStr">
        <is>
          <t>H2 20: 13.8 kV e-house</t>
        </is>
      </c>
      <c r="G5599" s="12" t="inlineStr"/>
      <c r="H5599" s="12" t="inlineStr">
        <is>
          <t>PEM electrolyzer 2 (HyLYZER-1000)</t>
        </is>
      </c>
      <c r="I5599" s="12" t="inlineStr">
        <is>
          <t>Instrumentation</t>
        </is>
      </c>
      <c r="J5599" s="12" t="inlineStr">
        <is>
          <t>Instrumentation ITC / PLTC, IS, #18 shielded pairs, blue jacket</t>
        </is>
      </c>
      <c r="K5599" s="12" t="inlineStr">
        <is>
          <t>ITC|4 pr|18</t>
        </is>
      </c>
      <c r="L5599" s="12" t="inlineStr">
        <is>
          <t>4 pr</t>
        </is>
      </c>
      <c r="M5599" s="12" t="inlineStr">
        <is>
          <t>18</t>
        </is>
      </c>
      <c r="N5599" s="12" t="n">
        <v>1</v>
      </c>
      <c r="O5599" s="12" t="n">
        <v>1</v>
      </c>
      <c r="P5599" s="12" t="n"/>
      <c r="Q5599" s="12" t="n"/>
      <c r="R5599" s="12" t="n"/>
      <c r="S5599" s="12" t="inlineStr">
        <is>
          <t>Duct bank</t>
        </is>
      </c>
      <c r="T5599" s="17" t="n">
        <v>358</v>
      </c>
      <c r="U5599" s="17" t="n">
        <v>48</v>
      </c>
      <c r="V5599" s="17">
        <f>ROUNDUP((T5599+U5599+2*'Read Me'!$B$13)*(1+'Read Me'!$B$12),-1)</f>
        <v/>
      </c>
      <c r="W5599" s="17">
        <f>V5599*N5599*O5599</f>
        <v/>
      </c>
      <c r="X5599" s="12">
        <f>IF(LEFT(I5599,2)="MV",2*N5599*IF(L5599="1/C",O5599,1),0)</f>
        <v/>
      </c>
      <c r="Y5599" s="12">
        <f>IF(OR(LEFT(K5599,4)="LVAX",LEFT(K5599,6)="MV15AX",LEFT(K5599,4)="CTAX",LEFT(K5599,2)="W|"),2*N5599*O5599,0)</f>
        <v/>
      </c>
      <c r="Z5599" s="12" t="inlineStr"/>
      <c r="AA5599" s="12">
        <f>N5599*O5599</f>
        <v/>
      </c>
    </row>
    <row r="5600">
      <c r="A5600" s="12" t="inlineStr">
        <is>
          <t>K-I-0192</t>
        </is>
      </c>
      <c r="B5600" s="12" t="inlineStr">
        <is>
          <t>K</t>
        </is>
      </c>
      <c r="C5600" s="12" t="inlineStr">
        <is>
          <t>Fuel supply (adjacent market)</t>
        </is>
      </c>
      <c r="D5600" s="12" t="inlineStr">
        <is>
          <t>Instrumentation</t>
        </is>
      </c>
      <c r="E5600" s="12" t="inlineStr"/>
      <c r="F5600" s="12" t="inlineStr">
        <is>
          <t>H2 20: 13.8 kV e-house</t>
        </is>
      </c>
      <c r="G5600" s="12" t="inlineStr"/>
      <c r="H5600" s="12" t="inlineStr">
        <is>
          <t>PEM electrolyzer 3 (HyLYZER-1000)</t>
        </is>
      </c>
      <c r="I5600" s="12" t="inlineStr">
        <is>
          <t>Instrumentation</t>
        </is>
      </c>
      <c r="J5600" s="12" t="inlineStr">
        <is>
          <t>Instrumentation ITC / PLTC, IS, #18 shielded pairs, blue jacket</t>
        </is>
      </c>
      <c r="K5600" s="12" t="inlineStr">
        <is>
          <t>ITC|4 pr|18</t>
        </is>
      </c>
      <c r="L5600" s="12" t="inlineStr">
        <is>
          <t>4 pr</t>
        </is>
      </c>
      <c r="M5600" s="12" t="inlineStr">
        <is>
          <t>18</t>
        </is>
      </c>
      <c r="N5600" s="12" t="n">
        <v>1</v>
      </c>
      <c r="O5600" s="12" t="n">
        <v>1</v>
      </c>
      <c r="P5600" s="12" t="n"/>
      <c r="Q5600" s="12" t="n"/>
      <c r="R5600" s="12" t="n"/>
      <c r="S5600" s="12" t="inlineStr">
        <is>
          <t>Duct bank</t>
        </is>
      </c>
      <c r="T5600" s="17" t="n">
        <v>348</v>
      </c>
      <c r="U5600" s="17" t="n">
        <v>49</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K-I-0193</t>
        </is>
      </c>
      <c r="B5601" s="12" t="inlineStr">
        <is>
          <t>K</t>
        </is>
      </c>
      <c r="C5601" s="12" t="inlineStr">
        <is>
          <t>Fuel supply (adjacent market)</t>
        </is>
      </c>
      <c r="D5601" s="12" t="inlineStr">
        <is>
          <t>Instrumentation</t>
        </is>
      </c>
      <c r="E5601" s="12" t="inlineStr"/>
      <c r="F5601" s="12" t="inlineStr">
        <is>
          <t>H2 20: 13.8 kV e-house</t>
        </is>
      </c>
      <c r="G5601" s="12" t="inlineStr"/>
      <c r="H5601" s="12" t="inlineStr">
        <is>
          <t>PEM electrolyzer 4 (HyLYZER-1000)</t>
        </is>
      </c>
      <c r="I5601" s="12" t="inlineStr">
        <is>
          <t>Instrumentation</t>
        </is>
      </c>
      <c r="J5601" s="12" t="inlineStr">
        <is>
          <t>Instrumentation ITC / PLTC, IS, #18 shielded pairs, blue jacket</t>
        </is>
      </c>
      <c r="K5601" s="12" t="inlineStr">
        <is>
          <t>ITC|4 pr|18</t>
        </is>
      </c>
      <c r="L5601" s="12" t="inlineStr">
        <is>
          <t>4 pr</t>
        </is>
      </c>
      <c r="M5601" s="12" t="inlineStr">
        <is>
          <t>18</t>
        </is>
      </c>
      <c r="N5601" s="12" t="n">
        <v>1</v>
      </c>
      <c r="O5601" s="12" t="n">
        <v>1</v>
      </c>
      <c r="P5601" s="12" t="n"/>
      <c r="Q5601" s="12" t="n"/>
      <c r="R5601" s="12" t="n"/>
      <c r="S5601" s="12" t="inlineStr">
        <is>
          <t>Duct bank</t>
        </is>
      </c>
      <c r="T5601" s="17" t="n">
        <v>328</v>
      </c>
      <c r="U5601" s="17" t="n">
        <v>49</v>
      </c>
      <c r="V5601" s="17">
        <f>ROUNDUP((T5601+U5601+2*'Read Me'!$B$13)*(1+'Read Me'!$B$12),-1)</f>
        <v/>
      </c>
      <c r="W5601" s="17">
        <f>V5601*N5601*O5601</f>
        <v/>
      </c>
      <c r="X5601" s="12">
        <f>IF(LEFT(I5601,2)="MV",2*N5601*IF(L5601="1/C",O5601,1),0)</f>
        <v/>
      </c>
      <c r="Y5601" s="12">
        <f>IF(OR(LEFT(K5601,4)="LVAX",LEFT(K5601,6)="MV15AX",LEFT(K5601,4)="CTAX",LEFT(K5601,2)="W|"),2*N5601*O5601,0)</f>
        <v/>
      </c>
      <c r="Z5601" s="12" t="inlineStr"/>
      <c r="AA5601" s="12">
        <f>N5601*O5601</f>
        <v/>
      </c>
    </row>
    <row r="5602">
      <c r="A5602" s="12" t="inlineStr">
        <is>
          <t>K-I-0194</t>
        </is>
      </c>
      <c r="B5602" s="12" t="inlineStr">
        <is>
          <t>K</t>
        </is>
      </c>
      <c r="C5602" s="12" t="inlineStr">
        <is>
          <t>Fuel supply (adjacent market)</t>
        </is>
      </c>
      <c r="D5602" s="12" t="inlineStr">
        <is>
          <t>Instrumentation</t>
        </is>
      </c>
      <c r="E5602" s="12" t="inlineStr"/>
      <c r="F5602" s="12" t="inlineStr">
        <is>
          <t>H2 20: 13.8 kV e-house</t>
        </is>
      </c>
      <c r="G5602" s="12" t="inlineStr"/>
      <c r="H5602" s="12" t="inlineStr">
        <is>
          <t>PEM electrolyzer 5 (HyLYZER-1000)</t>
        </is>
      </c>
      <c r="I5602" s="12" t="inlineStr">
        <is>
          <t>Instrumentation</t>
        </is>
      </c>
      <c r="J5602" s="12" t="inlineStr">
        <is>
          <t>Instrumentation ITC / PLTC, IS, #18 shielded pairs, blue jacket</t>
        </is>
      </c>
      <c r="K5602" s="12" t="inlineStr">
        <is>
          <t>ITC|4 pr|18</t>
        </is>
      </c>
      <c r="L5602" s="12" t="inlineStr">
        <is>
          <t>4 pr</t>
        </is>
      </c>
      <c r="M5602" s="12" t="inlineStr">
        <is>
          <t>18</t>
        </is>
      </c>
      <c r="N5602" s="12" t="n">
        <v>1</v>
      </c>
      <c r="O5602" s="12" t="n">
        <v>1</v>
      </c>
      <c r="P5602" s="12" t="n"/>
      <c r="Q5602" s="12" t="n"/>
      <c r="R5602" s="12" t="n"/>
      <c r="S5602" s="12" t="inlineStr">
        <is>
          <t>Duct bank</t>
        </is>
      </c>
      <c r="T5602" s="17" t="n">
        <v>328</v>
      </c>
      <c r="U5602" s="17" t="n">
        <v>32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K-P-0001</t>
        </is>
      </c>
      <c r="B5603" s="12" t="inlineStr">
        <is>
          <t>K</t>
        </is>
      </c>
      <c r="C5603" s="12" t="inlineStr">
        <is>
          <t>Fuel supply (adjacent market)</t>
        </is>
      </c>
      <c r="D5603" s="12" t="inlineStr">
        <is>
          <t>Motor 1 of 1, 15 kW</t>
        </is>
      </c>
      <c r="E5603" s="12" t="inlineStr"/>
      <c r="F5603" s="12" t="inlineStr">
        <is>
          <t>H2 20: 13.8 kV e-house</t>
        </is>
      </c>
      <c r="G5603" s="12" t="inlineStr">
        <is>
          <t>T-H2</t>
        </is>
      </c>
      <c r="H5603" s="12" t="inlineStr">
        <is>
          <t>H2 19: T-H2 230/13.8 kV (about 40 MVA)</t>
        </is>
      </c>
      <c r="I5603" s="12" t="inlineStr">
        <is>
          <t>LV 600 V</t>
        </is>
      </c>
      <c r="J5603" s="12" t="inlineStr">
        <is>
          <t>ARMOR-X MC-HL 600 V 3/C Cu XHHW-2 + ground, CWA, black PVC (Class I Div 2)</t>
        </is>
      </c>
      <c r="K5603" s="12" t="inlineStr">
        <is>
          <t>LVAX|3/C+G|10</t>
        </is>
      </c>
      <c r="L5603" s="12" t="inlineStr">
        <is>
          <t>3/C+G</t>
        </is>
      </c>
      <c r="M5603" s="12" t="inlineStr">
        <is>
          <t>10</t>
        </is>
      </c>
      <c r="N5603" s="12" t="n">
        <v>1</v>
      </c>
      <c r="O5603" s="12" t="n">
        <v>1</v>
      </c>
      <c r="P5603" s="12" t="n">
        <v>480</v>
      </c>
      <c r="Q5603" s="12" t="n">
        <v>15</v>
      </c>
      <c r="R5603" s="12" t="n">
        <v>21.2</v>
      </c>
      <c r="S5603" s="12" t="inlineStr">
        <is>
          <t>Duct bank</t>
        </is>
      </c>
      <c r="T5603" s="17" t="n">
        <v>35</v>
      </c>
      <c r="U5603" s="17" t="n">
        <v>32</v>
      </c>
      <c r="V5603" s="17">
        <f>ROUNDUP((T5603+U5603+2*'Read Me'!$B$13)*(1+'Read Me'!$B$12),-1)</f>
        <v/>
      </c>
      <c r="W5603" s="17">
        <f>V5603*N5603*O5603</f>
        <v/>
      </c>
      <c r="X5603" s="12">
        <f>IF(LEFT(I5603,2)="MV",2*N5603*IF(L5603="1/C",O5603,1),0)</f>
        <v/>
      </c>
      <c r="Y5603" s="12">
        <f>IF(OR(LEFT(K5603,4)="LVAX",LEFT(K5603,6)="MV15AX",LEFT(K5603,4)="CTAX",LEFT(K5603,2)="W|"),2*N5603*O5603,0)</f>
        <v/>
      </c>
      <c r="Z5603" s="12" t="inlineStr">
        <is>
          <t>VD 0.7 %</t>
        </is>
      </c>
      <c r="AA5603" s="12">
        <f>N5603*O5603</f>
        <v/>
      </c>
    </row>
    <row r="5604">
      <c r="A5604" s="12" t="inlineStr">
        <is>
          <t>K-P-0002</t>
        </is>
      </c>
      <c r="B5604" s="12" t="inlineStr">
        <is>
          <t>K</t>
        </is>
      </c>
      <c r="C5604" s="12" t="inlineStr">
        <is>
          <t>Fuel supply (adjacent market)</t>
        </is>
      </c>
      <c r="D5604" s="12" t="inlineStr">
        <is>
          <t>Motor 1 of 1, 15 kW</t>
        </is>
      </c>
      <c r="E5604" s="12" t="inlineStr"/>
      <c r="F5604" s="12" t="inlineStr">
        <is>
          <t>H2 20: 13.8 kV e-house</t>
        </is>
      </c>
      <c r="G5604" s="12" t="inlineStr"/>
      <c r="H5604" s="12" t="inlineStr">
        <is>
          <t>H2 20: 13.8 kV e-house</t>
        </is>
      </c>
      <c r="I5604" s="12" t="inlineStr">
        <is>
          <t>LV 600 V</t>
        </is>
      </c>
      <c r="J5604" s="12" t="inlineStr">
        <is>
          <t>ARMOR-X MC-HL 600 V 3/C Cu XHHW-2 + ground, CWA, black PVC (Class I Div 2)</t>
        </is>
      </c>
      <c r="K5604" s="12" t="inlineStr">
        <is>
          <t>LVAX|3/C+G|10</t>
        </is>
      </c>
      <c r="L5604" s="12" t="inlineStr">
        <is>
          <t>3/C+G</t>
        </is>
      </c>
      <c r="M5604" s="12" t="inlineStr">
        <is>
          <t>10</t>
        </is>
      </c>
      <c r="N5604" s="12" t="n">
        <v>1</v>
      </c>
      <c r="O5604" s="12" t="n">
        <v>1</v>
      </c>
      <c r="P5604" s="12" t="n">
        <v>480</v>
      </c>
      <c r="Q5604" s="12" t="n">
        <v>15</v>
      </c>
      <c r="R5604" s="12" t="n">
        <v>21.2</v>
      </c>
      <c r="S5604" s="12" t="inlineStr">
        <is>
          <t>Tray</t>
        </is>
      </c>
      <c r="T5604" s="17" t="n">
        <v>0</v>
      </c>
      <c r="U5604" s="17" t="n">
        <v>32</v>
      </c>
      <c r="V5604" s="17">
        <f>ROUNDUP((T5604+U5604+2*'Read Me'!$B$13)*(1+'Read Me'!$B$12),-1)</f>
        <v/>
      </c>
      <c r="W5604" s="17">
        <f>V5604*N5604*O5604</f>
        <v/>
      </c>
      <c r="X5604" s="12">
        <f>IF(LEFT(I5604,2)="MV",2*N5604*IF(L5604="1/C",O5604,1),0)</f>
        <v/>
      </c>
      <c r="Y5604" s="12">
        <f>IF(OR(LEFT(K5604,4)="LVAX",LEFT(K5604,6)="MV15AX",LEFT(K5604,4)="CTAX",LEFT(K5604,2)="W|"),2*N5604*O5604,0)</f>
        <v/>
      </c>
      <c r="Z5604" s="12" t="inlineStr">
        <is>
          <t>VD 0.3 %</t>
        </is>
      </c>
      <c r="AA5604" s="12">
        <f>N5604*O5604</f>
        <v/>
      </c>
    </row>
    <row r="5605">
      <c r="A5605" s="12" t="inlineStr">
        <is>
          <t>K-P-0003</t>
        </is>
      </c>
      <c r="B5605" s="12" t="inlineStr">
        <is>
          <t>K</t>
        </is>
      </c>
      <c r="C5605" s="12" t="inlineStr">
        <is>
          <t>Fuel supply (adjacent market)</t>
        </is>
      </c>
      <c r="D5605" s="12" t="inlineStr">
        <is>
          <t>Motor 1 of 1, 15 kW</t>
        </is>
      </c>
      <c r="E5605" s="12" t="inlineStr"/>
      <c r="F5605" s="12" t="inlineStr">
        <is>
          <t>H2 20: 13.8 kV e-house</t>
        </is>
      </c>
      <c r="G5605" s="12" t="inlineStr"/>
      <c r="H5605" s="12" t="inlineStr">
        <is>
          <t>H2 21: rectifier transformer 1 (7 MVA)</t>
        </is>
      </c>
      <c r="I5605" s="12" t="inlineStr">
        <is>
          <t>LV 600 V</t>
        </is>
      </c>
      <c r="J5605" s="12" t="inlineStr">
        <is>
          <t>ARMOR-X MC-HL 600 V 3/C Cu XHHW-2 + ground, CWA, black PVC (Class I Div 2)</t>
        </is>
      </c>
      <c r="K5605" s="12" t="inlineStr">
        <is>
          <t>LVAX|3/C+G|8</t>
        </is>
      </c>
      <c r="L5605" s="12" t="inlineStr">
        <is>
          <t>3/C+G</t>
        </is>
      </c>
      <c r="M5605" s="12" t="inlineStr">
        <is>
          <t>8</t>
        </is>
      </c>
      <c r="N5605" s="12" t="n">
        <v>1</v>
      </c>
      <c r="O5605" s="12" t="n">
        <v>1</v>
      </c>
      <c r="P5605" s="12" t="n">
        <v>480</v>
      </c>
      <c r="Q5605" s="12" t="n">
        <v>15</v>
      </c>
      <c r="R5605" s="12" t="n">
        <v>21.2</v>
      </c>
      <c r="S5605" s="12" t="inlineStr">
        <is>
          <t>Duct bank</t>
        </is>
      </c>
      <c r="T5605" s="17" t="n">
        <v>356</v>
      </c>
      <c r="U5605" s="17" t="n">
        <v>48</v>
      </c>
      <c r="V5605" s="17">
        <f>ROUNDUP((T5605+U5605+2*'Read Me'!$B$13)*(1+'Read Me'!$B$12),-1)</f>
        <v/>
      </c>
      <c r="W5605" s="17">
        <f>V5605*N5605*O5605</f>
        <v/>
      </c>
      <c r="X5605" s="12">
        <f>IF(LEFT(I5605,2)="MV",2*N5605*IF(L5605="1/C",O5605,1),0)</f>
        <v/>
      </c>
      <c r="Y5605" s="12">
        <f>IF(OR(LEFT(K5605,4)="LVAX",LEFT(K5605,6)="MV15AX",LEFT(K5605,4)="CTAX",LEFT(K5605,2)="W|"),2*N5605*O5605,0)</f>
        <v/>
      </c>
      <c r="Z5605" s="12" t="inlineStr">
        <is>
          <t>VD 2.6 %</t>
        </is>
      </c>
      <c r="AA5605" s="12">
        <f>N5605*O5605</f>
        <v/>
      </c>
    </row>
    <row r="5606">
      <c r="A5606" s="12" t="inlineStr">
        <is>
          <t>K-P-0004</t>
        </is>
      </c>
      <c r="B5606" s="12" t="inlineStr">
        <is>
          <t>K</t>
        </is>
      </c>
      <c r="C5606" s="12" t="inlineStr">
        <is>
          <t>Fuel supply (adjacent market)</t>
        </is>
      </c>
      <c r="D5606" s="12" t="inlineStr">
        <is>
          <t>Motor 1 of 1, 15 kW</t>
        </is>
      </c>
      <c r="E5606" s="12" t="inlineStr"/>
      <c r="F5606" s="12" t="inlineStr">
        <is>
          <t>H2 20: 13.8 kV e-house</t>
        </is>
      </c>
      <c r="G5606" s="12" t="inlineStr"/>
      <c r="H5606" s="12" t="inlineStr">
        <is>
          <t>H2 21: rectifier transformer 2 (7 MVA)</t>
        </is>
      </c>
      <c r="I5606" s="12" t="inlineStr">
        <is>
          <t>LV 600 V</t>
        </is>
      </c>
      <c r="J5606" s="12" t="inlineStr">
        <is>
          <t>ARMOR-X MC-HL 600 V 3/C Cu XHHW-2 + ground, CWA, black PVC (Class I Div 2)</t>
        </is>
      </c>
      <c r="K5606" s="12" t="inlineStr">
        <is>
          <t>LVAX|3/C+G|8</t>
        </is>
      </c>
      <c r="L5606" s="12" t="inlineStr">
        <is>
          <t>3/C+G</t>
        </is>
      </c>
      <c r="M5606" s="12" t="inlineStr">
        <is>
          <t>8</t>
        </is>
      </c>
      <c r="N5606" s="12" t="n">
        <v>1</v>
      </c>
      <c r="O5606" s="12" t="n">
        <v>1</v>
      </c>
      <c r="P5606" s="12" t="n">
        <v>480</v>
      </c>
      <c r="Q5606" s="12" t="n">
        <v>15</v>
      </c>
      <c r="R5606" s="12" t="n">
        <v>21.2</v>
      </c>
      <c r="S5606" s="12" t="inlineStr">
        <is>
          <t>Duct bank</t>
        </is>
      </c>
      <c r="T5606" s="17" t="n">
        <v>356</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is>
          <t>VD 2.5 %</t>
        </is>
      </c>
      <c r="AA5606" s="12">
        <f>N5606*O5606</f>
        <v/>
      </c>
    </row>
    <row r="5607">
      <c r="A5607" s="12" t="inlineStr">
        <is>
          <t>K-P-0005</t>
        </is>
      </c>
      <c r="B5607" s="12" t="inlineStr">
        <is>
          <t>K</t>
        </is>
      </c>
      <c r="C5607" s="12" t="inlineStr">
        <is>
          <t>Fuel supply (adjacent market)</t>
        </is>
      </c>
      <c r="D5607" s="12" t="inlineStr">
        <is>
          <t>Motor 1 of 1, 15 kW</t>
        </is>
      </c>
      <c r="E5607" s="12" t="inlineStr"/>
      <c r="F5607" s="12" t="inlineStr">
        <is>
          <t>H2 20: 13.8 kV e-house</t>
        </is>
      </c>
      <c r="G5607" s="12" t="inlineStr"/>
      <c r="H5607" s="12" t="inlineStr">
        <is>
          <t>H2 21: rectifier transformer 3 (7 MVA)</t>
        </is>
      </c>
      <c r="I5607" s="12" t="inlineStr">
        <is>
          <t>LV 600 V</t>
        </is>
      </c>
      <c r="J5607" s="12" t="inlineStr">
        <is>
          <t>ARMOR-X MC-HL 600 V 3/C Cu XHHW-2 + ground, CWA, black PVC (Class I Div 2)</t>
        </is>
      </c>
      <c r="K5607" s="12" t="inlineStr">
        <is>
          <t>LVAX|3/C+G|8</t>
        </is>
      </c>
      <c r="L5607" s="12" t="inlineStr">
        <is>
          <t>3/C+G</t>
        </is>
      </c>
      <c r="M5607" s="12" t="inlineStr">
        <is>
          <t>8</t>
        </is>
      </c>
      <c r="N5607" s="12" t="n">
        <v>1</v>
      </c>
      <c r="O5607" s="12" t="n">
        <v>1</v>
      </c>
      <c r="P5607" s="12" t="n">
        <v>480</v>
      </c>
      <c r="Q5607" s="12" t="n">
        <v>15</v>
      </c>
      <c r="R5607" s="12" t="n">
        <v>21.2</v>
      </c>
      <c r="S5607" s="12" t="inlineStr">
        <is>
          <t>Duct bank</t>
        </is>
      </c>
      <c r="T5607" s="17" t="n">
        <v>334</v>
      </c>
      <c r="U5607" s="17" t="n">
        <v>32</v>
      </c>
      <c r="V5607" s="17">
        <f>ROUNDUP((T5607+U5607+2*'Read Me'!$B$13)*(1+'Read Me'!$B$12),-1)</f>
        <v/>
      </c>
      <c r="W5607" s="17">
        <f>V5607*N5607*O5607</f>
        <v/>
      </c>
      <c r="X5607" s="12">
        <f>IF(LEFT(I5607,2)="MV",2*N5607*IF(L5607="1/C",O5607,1),0)</f>
        <v/>
      </c>
      <c r="Y5607" s="12">
        <f>IF(OR(LEFT(K5607,4)="LVAX",LEFT(K5607,6)="MV15AX",LEFT(K5607,4)="CTAX",LEFT(K5607,2)="W|"),2*N5607*O5607,0)</f>
        <v/>
      </c>
      <c r="Z5607" s="12" t="inlineStr">
        <is>
          <t>VD 2.4 %</t>
        </is>
      </c>
      <c r="AA5607" s="12">
        <f>N5607*O5607</f>
        <v/>
      </c>
    </row>
    <row r="5608">
      <c r="A5608" s="12" t="inlineStr">
        <is>
          <t>K-P-0006</t>
        </is>
      </c>
      <c r="B5608" s="12" t="inlineStr">
        <is>
          <t>K</t>
        </is>
      </c>
      <c r="C5608" s="12" t="inlineStr">
        <is>
          <t>Fuel supply (adjacent market)</t>
        </is>
      </c>
      <c r="D5608" s="12" t="inlineStr">
        <is>
          <t>Motor 1 of 1, 15 kW</t>
        </is>
      </c>
      <c r="E5608" s="12" t="inlineStr"/>
      <c r="F5608" s="12" t="inlineStr">
        <is>
          <t>H2 20: 13.8 kV e-house</t>
        </is>
      </c>
      <c r="G5608" s="12" t="inlineStr"/>
      <c r="H5608" s="12" t="inlineStr">
        <is>
          <t>H2 21: rectifier transformer 4 (7 MVA)</t>
        </is>
      </c>
      <c r="I5608" s="12" t="inlineStr">
        <is>
          <t>LV 600 V</t>
        </is>
      </c>
      <c r="J5608" s="12" t="inlineStr">
        <is>
          <t>ARMOR-X MC-HL 600 V 3/C Cu XHHW-2 + ground, CWA, black PVC (Class I Div 2)</t>
        </is>
      </c>
      <c r="K5608" s="12" t="inlineStr">
        <is>
          <t>LVAX|3/C+G|8</t>
        </is>
      </c>
      <c r="L5608" s="12" t="inlineStr">
        <is>
          <t>3/C+G</t>
        </is>
      </c>
      <c r="M5608" s="12" t="inlineStr">
        <is>
          <t>8</t>
        </is>
      </c>
      <c r="N5608" s="12" t="n">
        <v>1</v>
      </c>
      <c r="O5608" s="12" t="n">
        <v>1</v>
      </c>
      <c r="P5608" s="12" t="n">
        <v>480</v>
      </c>
      <c r="Q5608" s="12" t="n">
        <v>15</v>
      </c>
      <c r="R5608" s="12" t="n">
        <v>21.2</v>
      </c>
      <c r="S5608" s="12" t="inlineStr">
        <is>
          <t>Duct bank</t>
        </is>
      </c>
      <c r="T5608" s="17" t="n">
        <v>312</v>
      </c>
      <c r="U5608" s="17" t="n">
        <v>32</v>
      </c>
      <c r="V5608" s="17">
        <f>ROUNDUP((T5608+U5608+2*'Read Me'!$B$13)*(1+'Read Me'!$B$12),-1)</f>
        <v/>
      </c>
      <c r="W5608" s="17">
        <f>V5608*N5608*O5608</f>
        <v/>
      </c>
      <c r="X5608" s="12">
        <f>IF(LEFT(I5608,2)="MV",2*N5608*IF(L5608="1/C",O5608,1),0)</f>
        <v/>
      </c>
      <c r="Y5608" s="12">
        <f>IF(OR(LEFT(K5608,4)="LVAX",LEFT(K5608,6)="MV15AX",LEFT(K5608,4)="CTAX",LEFT(K5608,2)="W|"),2*N5608*O5608,0)</f>
        <v/>
      </c>
      <c r="Z5608" s="12" t="inlineStr">
        <is>
          <t>VD 2.2 %</t>
        </is>
      </c>
      <c r="AA5608" s="12">
        <f>N5608*O5608</f>
        <v/>
      </c>
    </row>
    <row r="5609">
      <c r="A5609" s="12" t="inlineStr">
        <is>
          <t>K-P-0007</t>
        </is>
      </c>
      <c r="B5609" s="12" t="inlineStr">
        <is>
          <t>K</t>
        </is>
      </c>
      <c r="C5609" s="12" t="inlineStr">
        <is>
          <t>Fuel supply (adjacent market)</t>
        </is>
      </c>
      <c r="D5609" s="12" t="inlineStr">
        <is>
          <t>Motor 1 of 1, 15 kW</t>
        </is>
      </c>
      <c r="E5609" s="12" t="inlineStr"/>
      <c r="F5609" s="12" t="inlineStr">
        <is>
          <t>H2 20: 13.8 kV e-house</t>
        </is>
      </c>
      <c r="G5609" s="12" t="inlineStr"/>
      <c r="H5609" s="12" t="inlineStr">
        <is>
          <t>H2 21: rectifier transformer 5 (7 MVA)</t>
        </is>
      </c>
      <c r="I5609" s="12" t="inlineStr">
        <is>
          <t>LV 600 V</t>
        </is>
      </c>
      <c r="J5609" s="12" t="inlineStr">
        <is>
          <t>ARMOR-X MC-HL 600 V 3/C Cu XHHW-2 + ground, CWA, black PVC (Class I Div 2)</t>
        </is>
      </c>
      <c r="K5609" s="12" t="inlineStr">
        <is>
          <t>LVAX|3/C+G|10</t>
        </is>
      </c>
      <c r="L5609" s="12" t="inlineStr">
        <is>
          <t>3/C+G</t>
        </is>
      </c>
      <c r="M5609" s="12" t="inlineStr">
        <is>
          <t>10</t>
        </is>
      </c>
      <c r="N5609" s="12" t="n">
        <v>1</v>
      </c>
      <c r="O5609" s="12" t="n">
        <v>1</v>
      </c>
      <c r="P5609" s="12" t="n">
        <v>480</v>
      </c>
      <c r="Q5609" s="12" t="n">
        <v>15</v>
      </c>
      <c r="R5609" s="12" t="n">
        <v>21.2</v>
      </c>
      <c r="S5609" s="12" t="inlineStr">
        <is>
          <t>Duct bank</t>
        </is>
      </c>
      <c r="T5609" s="17" t="n">
        <v>254</v>
      </c>
      <c r="U5609" s="17" t="n">
        <v>32</v>
      </c>
      <c r="V5609" s="17">
        <f>ROUNDUP((T5609+U5609+2*'Read Me'!$B$13)*(1+'Read Me'!$B$12),-1)</f>
        <v/>
      </c>
      <c r="W5609" s="17">
        <f>V5609*N5609*O5609</f>
        <v/>
      </c>
      <c r="X5609" s="12">
        <f>IF(LEFT(I5609,2)="MV",2*N5609*IF(L5609="1/C",O5609,1),0)</f>
        <v/>
      </c>
      <c r="Y5609" s="12">
        <f>IF(OR(LEFT(K5609,4)="LVAX",LEFT(K5609,6)="MV15AX",LEFT(K5609,4)="CTAX",LEFT(K5609,2)="W|"),2*N5609*O5609,0)</f>
        <v/>
      </c>
      <c r="Z5609" s="12" t="inlineStr">
        <is>
          <t>VD 2.9 %</t>
        </is>
      </c>
      <c r="AA5609" s="12">
        <f>N5609*O5609</f>
        <v/>
      </c>
    </row>
    <row r="5610">
      <c r="A5610" s="12" t="inlineStr">
        <is>
          <t>K-P-0008</t>
        </is>
      </c>
      <c r="B5610" s="12" t="inlineStr">
        <is>
          <t>K</t>
        </is>
      </c>
      <c r="C5610" s="12" t="inlineStr">
        <is>
          <t>Fuel supply (adjacent market)</t>
        </is>
      </c>
      <c r="D5610" s="12" t="inlineStr">
        <is>
          <t>Motor 1 of 1, 15 kW</t>
        </is>
      </c>
      <c r="E5610" s="12" t="inlineStr"/>
      <c r="F5610" s="12" t="inlineStr">
        <is>
          <t>H2 20: 13.8 kV e-house</t>
        </is>
      </c>
      <c r="G5610" s="12" t="inlineStr">
        <is>
          <t>H2-EL</t>
        </is>
      </c>
      <c r="H5610" s="12" t="inlineStr">
        <is>
          <t>H2 22: electrolyzer building (5 x HyLYZER-1000 + 5 rectifiers)</t>
        </is>
      </c>
      <c r="I5610" s="12" t="inlineStr">
        <is>
          <t>LV 600 V</t>
        </is>
      </c>
      <c r="J5610" s="12" t="inlineStr">
        <is>
          <t>ARMOR-X MC-HL 600 V 3/C Cu XHHW-2 + ground, CWA, black PVC (Class I Div 2)</t>
        </is>
      </c>
      <c r="K5610" s="12" t="inlineStr">
        <is>
          <t>LVAX|3/C+G|8</t>
        </is>
      </c>
      <c r="L5610" s="12" t="inlineStr">
        <is>
          <t>3/C+G</t>
        </is>
      </c>
      <c r="M5610" s="12" t="inlineStr">
        <is>
          <t>8</t>
        </is>
      </c>
      <c r="N5610" s="12" t="n">
        <v>1</v>
      </c>
      <c r="O5610" s="12" t="n">
        <v>1</v>
      </c>
      <c r="P5610" s="12" t="n">
        <v>480</v>
      </c>
      <c r="Q5610" s="12" t="n">
        <v>15</v>
      </c>
      <c r="R5610" s="12" t="n">
        <v>21.2</v>
      </c>
      <c r="S5610" s="12" t="inlineStr">
        <is>
          <t>Duct bank</t>
        </is>
      </c>
      <c r="T5610" s="17" t="n">
        <v>346</v>
      </c>
      <c r="U5610" s="17" t="n">
        <v>32</v>
      </c>
      <c r="V5610" s="17">
        <f>ROUNDUP((T5610+U5610+2*'Read Me'!$B$13)*(1+'Read Me'!$B$12),-1)</f>
        <v/>
      </c>
      <c r="W5610" s="17">
        <f>V5610*N5610*O5610</f>
        <v/>
      </c>
      <c r="X5610" s="12">
        <f>IF(LEFT(I5610,2)="MV",2*N5610*IF(L5610="1/C",O5610,1),0)</f>
        <v/>
      </c>
      <c r="Y5610" s="12">
        <f>IF(OR(LEFT(K5610,4)="LVAX",LEFT(K5610,6)="MV15AX",LEFT(K5610,4)="CTAX",LEFT(K5610,2)="W|"),2*N5610*O5610,0)</f>
        <v/>
      </c>
      <c r="Z5610" s="12" t="inlineStr">
        <is>
          <t>VD 2.4 %</t>
        </is>
      </c>
      <c r="AA5610" s="12">
        <f>N5610*O5610</f>
        <v/>
      </c>
    </row>
    <row r="5611">
      <c r="A5611" s="12" t="inlineStr">
        <is>
          <t>K-P-0009</t>
        </is>
      </c>
      <c r="B5611" s="12" t="inlineStr">
        <is>
          <t>K</t>
        </is>
      </c>
      <c r="C5611" s="12" t="inlineStr">
        <is>
          <t>Fuel supply (adjacent market)</t>
        </is>
      </c>
      <c r="D5611" s="12" t="inlineStr">
        <is>
          <t>Motor 1 of 1, 15 kW</t>
        </is>
      </c>
      <c r="E5611" s="12" t="inlineStr"/>
      <c r="F5611" s="12" t="inlineStr">
        <is>
          <t>H2 20: 13.8 kV e-house</t>
        </is>
      </c>
      <c r="G5611" s="12" t="inlineStr"/>
      <c r="H5611" s="12" t="inlineStr">
        <is>
          <t>H2 23: dry coolers</t>
        </is>
      </c>
      <c r="I5611" s="12" t="inlineStr">
        <is>
          <t>LV 600 V</t>
        </is>
      </c>
      <c r="J5611" s="12" t="inlineStr">
        <is>
          <t>ARMOR-X MC-HL 600 V 3/C Cu XHHW-2 + ground, CWA, black PVC (Class I Div 2)</t>
        </is>
      </c>
      <c r="K5611" s="12" t="inlineStr">
        <is>
          <t>LVAX|3/C+G|10</t>
        </is>
      </c>
      <c r="L5611" s="12" t="inlineStr">
        <is>
          <t>3/C+G</t>
        </is>
      </c>
      <c r="M5611" s="12" t="inlineStr">
        <is>
          <t>10</t>
        </is>
      </c>
      <c r="N5611" s="12" t="n">
        <v>1</v>
      </c>
      <c r="O5611" s="12" t="n">
        <v>1</v>
      </c>
      <c r="P5611" s="12" t="n">
        <v>480</v>
      </c>
      <c r="Q5611" s="12" t="n">
        <v>15</v>
      </c>
      <c r="R5611" s="12" t="n">
        <v>21.2</v>
      </c>
      <c r="S5611" s="12" t="inlineStr">
        <is>
          <t>Duct bank</t>
        </is>
      </c>
      <c r="T5611" s="17" t="n">
        <v>100</v>
      </c>
      <c r="U5611" s="17" t="n">
        <v>32</v>
      </c>
      <c r="V5611" s="17">
        <f>ROUNDUP((T5611+U5611+2*'Read Me'!$B$13)*(1+'Read Me'!$B$12),-1)</f>
        <v/>
      </c>
      <c r="W5611" s="17">
        <f>V5611*N5611*O5611</f>
        <v/>
      </c>
      <c r="X5611" s="12">
        <f>IF(LEFT(I5611,2)="MV",2*N5611*IF(L5611="1/C",O5611,1),0)</f>
        <v/>
      </c>
      <c r="Y5611" s="12">
        <f>IF(OR(LEFT(K5611,4)="LVAX",LEFT(K5611,6)="MV15AX",LEFT(K5611,4)="CTAX",LEFT(K5611,2)="W|"),2*N5611*O5611,0)</f>
        <v/>
      </c>
      <c r="Z5611" s="12" t="inlineStr">
        <is>
          <t>VD 1.3 %</t>
        </is>
      </c>
      <c r="AA5611" s="12">
        <f>N5611*O5611</f>
        <v/>
      </c>
    </row>
    <row r="5612">
      <c r="A5612" s="12" t="inlineStr">
        <is>
          <t>K-P-0010</t>
        </is>
      </c>
      <c r="B5612" s="12" t="inlineStr">
        <is>
          <t>K</t>
        </is>
      </c>
      <c r="C5612" s="12" t="inlineStr">
        <is>
          <t>Fuel supply (adjacent market)</t>
        </is>
      </c>
      <c r="D5612" s="12" t="inlineStr">
        <is>
          <t>Motor 1 of 1, 15 kW</t>
        </is>
      </c>
      <c r="E5612" s="12" t="inlineStr"/>
      <c r="F5612" s="12" t="inlineStr">
        <is>
          <t>H2 20: 13.8 kV e-house</t>
        </is>
      </c>
      <c r="G5612" s="12" t="inlineStr"/>
      <c r="H5612" s="12" t="inlineStr">
        <is>
          <t>H2 24: water purification (RO / EDI)</t>
        </is>
      </c>
      <c r="I5612" s="12" t="inlineStr">
        <is>
          <t>LV 600 V</t>
        </is>
      </c>
      <c r="J5612" s="12" t="inlineStr">
        <is>
          <t>ARMOR-X MC-HL 600 V 3/C Cu XHHW-2 + ground, CWA, black PVC (Class I Div 2)</t>
        </is>
      </c>
      <c r="K5612" s="12" t="inlineStr">
        <is>
          <t>LVAX|3/C+G|10</t>
        </is>
      </c>
      <c r="L5612" s="12" t="inlineStr">
        <is>
          <t>3/C+G</t>
        </is>
      </c>
      <c r="M5612" s="12" t="inlineStr">
        <is>
          <t>10</t>
        </is>
      </c>
      <c r="N5612" s="12" t="n">
        <v>1</v>
      </c>
      <c r="O5612" s="12" t="n">
        <v>1</v>
      </c>
      <c r="P5612" s="12" t="n">
        <v>480</v>
      </c>
      <c r="Q5612" s="12" t="n">
        <v>15</v>
      </c>
      <c r="R5612" s="12" t="n">
        <v>21.2</v>
      </c>
      <c r="S5612" s="12" t="inlineStr">
        <is>
          <t>Duct bank</t>
        </is>
      </c>
      <c r="T5612" s="17" t="n">
        <v>146</v>
      </c>
      <c r="U5612" s="17" t="n">
        <v>32</v>
      </c>
      <c r="V5612" s="17">
        <f>ROUNDUP((T5612+U5612+2*'Read Me'!$B$13)*(1+'Read Me'!$B$12),-1)</f>
        <v/>
      </c>
      <c r="W5612" s="17">
        <f>V5612*N5612*O5612</f>
        <v/>
      </c>
      <c r="X5612" s="12">
        <f>IF(LEFT(I5612,2)="MV",2*N5612*IF(L5612="1/C",O5612,1),0)</f>
        <v/>
      </c>
      <c r="Y5612" s="12">
        <f>IF(OR(LEFT(K5612,4)="LVAX",LEFT(K5612,6)="MV15AX",LEFT(K5612,4)="CTAX",LEFT(K5612,2)="W|"),2*N5612*O5612,0)</f>
        <v/>
      </c>
      <c r="Z5612" s="12" t="inlineStr">
        <is>
          <t>VD 1.8 %</t>
        </is>
      </c>
      <c r="AA5612" s="12">
        <f>N5612*O5612</f>
        <v/>
      </c>
    </row>
    <row r="5613">
      <c r="A5613" s="12" t="inlineStr">
        <is>
          <t>K-P-0011</t>
        </is>
      </c>
      <c r="B5613" s="12" t="inlineStr">
        <is>
          <t>K</t>
        </is>
      </c>
      <c r="C5613" s="12" t="inlineStr">
        <is>
          <t>Fuel supply (adjacent market)</t>
        </is>
      </c>
      <c r="D5613" s="12" t="inlineStr">
        <is>
          <t>Motor 1 of 1, 15 kW</t>
        </is>
      </c>
      <c r="E5613" s="12" t="inlineStr"/>
      <c r="F5613" s="12" t="inlineStr">
        <is>
          <t>H2 20: 13.8 kV e-house</t>
        </is>
      </c>
      <c r="G5613" s="12" t="inlineStr"/>
      <c r="H5613" s="12" t="inlineStr">
        <is>
          <t>H2 25: H2 dryer / purification</t>
        </is>
      </c>
      <c r="I5613" s="12" t="inlineStr">
        <is>
          <t>LV 600 V</t>
        </is>
      </c>
      <c r="J5613" s="12" t="inlineStr">
        <is>
          <t>ARMOR-X MC-HL 600 V 3/C Cu XHHW-2 + ground, CWA, black PVC (Class I Div 2)</t>
        </is>
      </c>
      <c r="K5613" s="12" t="inlineStr">
        <is>
          <t>LVAX|3/C+G|10</t>
        </is>
      </c>
      <c r="L5613" s="12" t="inlineStr">
        <is>
          <t>3/C+G</t>
        </is>
      </c>
      <c r="M5613" s="12" t="inlineStr">
        <is>
          <t>10</t>
        </is>
      </c>
      <c r="N5613" s="12" t="n">
        <v>1</v>
      </c>
      <c r="O5613" s="12" t="n">
        <v>1</v>
      </c>
      <c r="P5613" s="12" t="n">
        <v>480</v>
      </c>
      <c r="Q5613" s="12" t="n">
        <v>15</v>
      </c>
      <c r="R5613" s="12" t="n">
        <v>21.2</v>
      </c>
      <c r="S5613" s="12" t="inlineStr">
        <is>
          <t>Duct bank</t>
        </is>
      </c>
      <c r="T5613" s="17" t="n">
        <v>0</v>
      </c>
      <c r="U5613" s="17" t="n">
        <v>49</v>
      </c>
      <c r="V5613" s="17">
        <f>ROUNDUP((T5613+U5613+2*'Read Me'!$B$13)*(1+'Read Me'!$B$12),-1)</f>
        <v/>
      </c>
      <c r="W5613" s="17">
        <f>V5613*N5613*O5613</f>
        <v/>
      </c>
      <c r="X5613" s="12">
        <f>IF(LEFT(I5613,2)="MV",2*N5613*IF(L5613="1/C",O5613,1),0)</f>
        <v/>
      </c>
      <c r="Y5613" s="12">
        <f>IF(OR(LEFT(K5613,4)="LVAX",LEFT(K5613,6)="MV15AX",LEFT(K5613,4)="CTAX",LEFT(K5613,2)="W|"),2*N5613*O5613,0)</f>
        <v/>
      </c>
      <c r="Z5613" s="12" t="inlineStr">
        <is>
          <t>VD 0.5 %</t>
        </is>
      </c>
      <c r="AA5613" s="12">
        <f>N5613*O5613</f>
        <v/>
      </c>
    </row>
    <row r="5614">
      <c r="A5614" s="12" t="inlineStr">
        <is>
          <t>K-P-0012</t>
        </is>
      </c>
      <c r="B5614" s="12" t="inlineStr">
        <is>
          <t>K</t>
        </is>
      </c>
      <c r="C5614" s="12" t="inlineStr">
        <is>
          <t>Fuel supply (adjacent market)</t>
        </is>
      </c>
      <c r="D5614" s="12" t="inlineStr">
        <is>
          <t>Motor 1 of 1, 15 kW</t>
        </is>
      </c>
      <c r="E5614" s="12" t="inlineStr"/>
      <c r="F5614" s="12" t="inlineStr">
        <is>
          <t>H2 20: 13.8 kV e-house</t>
        </is>
      </c>
      <c r="G5614" s="12" t="inlineStr"/>
      <c r="H5614" s="12" t="inlineStr">
        <is>
          <t>H2 26: H2 compressor 1 (40 ft ISO)</t>
        </is>
      </c>
      <c r="I5614" s="12" t="inlineStr">
        <is>
          <t>LV 600 V</t>
        </is>
      </c>
      <c r="J5614" s="12" t="inlineStr">
        <is>
          <t>ARMOR-X MC-HL 600 V 3/C Cu XHHW-2 + ground, CWA, black PVC (Class I Div 2)</t>
        </is>
      </c>
      <c r="K5614" s="12" t="inlineStr">
        <is>
          <t>LVAX|3/C+G|10</t>
        </is>
      </c>
      <c r="L5614" s="12" t="inlineStr">
        <is>
          <t>3/C+G</t>
        </is>
      </c>
      <c r="M5614" s="12" t="inlineStr">
        <is>
          <t>10</t>
        </is>
      </c>
      <c r="N5614" s="12" t="n">
        <v>1</v>
      </c>
      <c r="O5614" s="12" t="n">
        <v>1</v>
      </c>
      <c r="P5614" s="12" t="n">
        <v>480</v>
      </c>
      <c r="Q5614" s="12" t="n">
        <v>15</v>
      </c>
      <c r="R5614" s="12" t="n">
        <v>21.2</v>
      </c>
      <c r="S5614" s="12" t="inlineStr">
        <is>
          <t>Duct bank</t>
        </is>
      </c>
      <c r="T5614" s="17" t="n">
        <v>50</v>
      </c>
      <c r="U5614" s="17" t="n">
        <v>32</v>
      </c>
      <c r="V5614" s="17">
        <f>ROUNDUP((T5614+U5614+2*'Read Me'!$B$13)*(1+'Read Me'!$B$12),-1)</f>
        <v/>
      </c>
      <c r="W5614" s="17">
        <f>V5614*N5614*O5614</f>
        <v/>
      </c>
      <c r="X5614" s="12">
        <f>IF(LEFT(I5614,2)="MV",2*N5614*IF(L5614="1/C",O5614,1),0)</f>
        <v/>
      </c>
      <c r="Y5614" s="12">
        <f>IF(OR(LEFT(K5614,4)="LVAX",LEFT(K5614,6)="MV15AX",LEFT(K5614,4)="CTAX",LEFT(K5614,2)="W|"),2*N5614*O5614,0)</f>
        <v/>
      </c>
      <c r="Z5614" s="12" t="inlineStr">
        <is>
          <t>VD 0.8 %</t>
        </is>
      </c>
      <c r="AA5614" s="12">
        <f>N5614*O5614</f>
        <v/>
      </c>
    </row>
    <row r="5615">
      <c r="A5615" s="12" t="inlineStr">
        <is>
          <t>K-P-0013</t>
        </is>
      </c>
      <c r="B5615" s="12" t="inlineStr">
        <is>
          <t>K</t>
        </is>
      </c>
      <c r="C5615" s="12" t="inlineStr">
        <is>
          <t>Fuel supply (adjacent market)</t>
        </is>
      </c>
      <c r="D5615" s="12" t="inlineStr">
        <is>
          <t>Motor 1 of 1, 15 kW</t>
        </is>
      </c>
      <c r="E5615" s="12" t="inlineStr"/>
      <c r="F5615" s="12" t="inlineStr">
        <is>
          <t>H2 20: 13.8 kV e-house</t>
        </is>
      </c>
      <c r="G5615" s="12" t="inlineStr"/>
      <c r="H5615" s="12" t="inlineStr">
        <is>
          <t>H2 26: H2 compressor 2 (40 ft ISO)</t>
        </is>
      </c>
      <c r="I5615" s="12" t="inlineStr">
        <is>
          <t>LV 600 V</t>
        </is>
      </c>
      <c r="J5615" s="12" t="inlineStr">
        <is>
          <t>ARMOR-X MC-HL 600 V 3/C Cu XHHW-2 + ground, CWA, black PVC (Class I Div 2)</t>
        </is>
      </c>
      <c r="K5615" s="12" t="inlineStr">
        <is>
          <t>LVAX|3/C+G|10</t>
        </is>
      </c>
      <c r="L5615" s="12" t="inlineStr">
        <is>
          <t>3/C+G</t>
        </is>
      </c>
      <c r="M5615" s="12" t="inlineStr">
        <is>
          <t>10</t>
        </is>
      </c>
      <c r="N5615" s="12" t="n">
        <v>1</v>
      </c>
      <c r="O5615" s="12" t="n">
        <v>1</v>
      </c>
      <c r="P5615" s="12" t="n">
        <v>480</v>
      </c>
      <c r="Q5615" s="12" t="n">
        <v>15</v>
      </c>
      <c r="R5615" s="12" t="n">
        <v>21.2</v>
      </c>
      <c r="S5615" s="12" t="inlineStr">
        <is>
          <t>Duct bank</t>
        </is>
      </c>
      <c r="T5615" s="17" t="n">
        <v>50</v>
      </c>
      <c r="U5615" s="17" t="n">
        <v>47</v>
      </c>
      <c r="V5615" s="17">
        <f>ROUNDUP((T5615+U5615+2*'Read Me'!$B$13)*(1+'Read Me'!$B$12),-1)</f>
        <v/>
      </c>
      <c r="W5615" s="17">
        <f>V5615*N5615*O5615</f>
        <v/>
      </c>
      <c r="X5615" s="12">
        <f>IF(LEFT(I5615,2)="MV",2*N5615*IF(L5615="1/C",O5615,1),0)</f>
        <v/>
      </c>
      <c r="Y5615" s="12">
        <f>IF(OR(LEFT(K5615,4)="LVAX",LEFT(K5615,6)="MV15AX",LEFT(K5615,4)="CTAX",LEFT(K5615,2)="W|"),2*N5615*O5615,0)</f>
        <v/>
      </c>
      <c r="Z5615" s="12" t="inlineStr">
        <is>
          <t>VD 1.0 %</t>
        </is>
      </c>
      <c r="AA5615" s="12">
        <f>N5615*O5615</f>
        <v/>
      </c>
    </row>
    <row r="5616">
      <c r="A5616" s="12" t="inlineStr">
        <is>
          <t>K-P-0014</t>
        </is>
      </c>
      <c r="B5616" s="12" t="inlineStr">
        <is>
          <t>K</t>
        </is>
      </c>
      <c r="C5616" s="12" t="inlineStr">
        <is>
          <t>Fuel supply (adjacent market)</t>
        </is>
      </c>
      <c r="D5616" s="12" t="inlineStr">
        <is>
          <t>Motor 1 of 1, 15 kW</t>
        </is>
      </c>
      <c r="E5616" s="12" t="inlineStr"/>
      <c r="F5616" s="12" t="inlineStr">
        <is>
          <t>H2 20: 13.8 kV e-house</t>
        </is>
      </c>
      <c r="G5616" s="12" t="inlineStr"/>
      <c r="H5616" s="12" t="inlineStr">
        <is>
          <t>H2 27: storage tube bank (~40 ft tubes)</t>
        </is>
      </c>
      <c r="I5616" s="12" t="inlineStr">
        <is>
          <t>LV 600 V</t>
        </is>
      </c>
      <c r="J5616" s="12" t="inlineStr">
        <is>
          <t>ARMOR-X MC-HL 600 V 3/C Cu XHHW-2 + ground, CWA, black PVC (Class I Div 2)</t>
        </is>
      </c>
      <c r="K5616" s="12" t="inlineStr">
        <is>
          <t>LVAX|3/C+G|10</t>
        </is>
      </c>
      <c r="L5616" s="12" t="inlineStr">
        <is>
          <t>3/C+G</t>
        </is>
      </c>
      <c r="M5616" s="12" t="inlineStr">
        <is>
          <t>10</t>
        </is>
      </c>
      <c r="N5616" s="12" t="n">
        <v>1</v>
      </c>
      <c r="O5616" s="12" t="n">
        <v>1</v>
      </c>
      <c r="P5616" s="12" t="n">
        <v>480</v>
      </c>
      <c r="Q5616" s="12" t="n">
        <v>15</v>
      </c>
      <c r="R5616" s="12" t="n">
        <v>21.2</v>
      </c>
      <c r="S5616" s="12" t="inlineStr">
        <is>
          <t>Duct bank</t>
        </is>
      </c>
      <c r="T5616" s="17" t="n">
        <v>50</v>
      </c>
      <c r="U5616" s="17" t="n">
        <v>97</v>
      </c>
      <c r="V5616" s="17">
        <f>ROUNDUP((T5616+U5616+2*'Read Me'!$B$13)*(1+'Read Me'!$B$12),-1)</f>
        <v/>
      </c>
      <c r="W5616" s="17">
        <f>V5616*N5616*O5616</f>
        <v/>
      </c>
      <c r="X5616" s="12">
        <f>IF(LEFT(I5616,2)="MV",2*N5616*IF(L5616="1/C",O5616,1),0)</f>
        <v/>
      </c>
      <c r="Y5616" s="12">
        <f>IF(OR(LEFT(K5616,4)="LVAX",LEFT(K5616,6)="MV15AX",LEFT(K5616,4)="CTAX",LEFT(K5616,2)="W|"),2*N5616*O5616,0)</f>
        <v/>
      </c>
      <c r="Z5616" s="12" t="inlineStr">
        <is>
          <t>VD 1.5 %</t>
        </is>
      </c>
      <c r="AA5616" s="12">
        <f>N5616*O5616</f>
        <v/>
      </c>
    </row>
    <row r="5617">
      <c r="A5617" s="12" t="inlineStr">
        <is>
          <t>K-P-0015</t>
        </is>
      </c>
      <c r="B5617" s="12" t="inlineStr">
        <is>
          <t>K</t>
        </is>
      </c>
      <c r="C5617" s="12" t="inlineStr">
        <is>
          <t>Fuel supply (adjacent market)</t>
        </is>
      </c>
      <c r="D5617" s="12" t="inlineStr">
        <is>
          <t>Motor 1 of 1, 15 kW</t>
        </is>
      </c>
      <c r="E5617" s="12" t="inlineStr"/>
      <c r="F5617" s="12" t="inlineStr">
        <is>
          <t>H2 20: 13.8 kV e-house</t>
        </is>
      </c>
      <c r="G5617" s="12" t="inlineStr"/>
      <c r="H5617" s="12" t="inlineStr">
        <is>
          <t>H2 27: storage tube bank (~40 ft tubes)</t>
        </is>
      </c>
      <c r="I5617" s="12" t="inlineStr">
        <is>
          <t>LV 600 V</t>
        </is>
      </c>
      <c r="J5617" s="12" t="inlineStr">
        <is>
          <t>ARMOR-X MC-HL 600 V 3/C Cu XHHW-2 + ground, CWA, black PVC (Class I Div 2)</t>
        </is>
      </c>
      <c r="K5617" s="12" t="inlineStr">
        <is>
          <t>LVAX|3/C+G|10</t>
        </is>
      </c>
      <c r="L5617" s="12" t="inlineStr">
        <is>
          <t>3/C+G</t>
        </is>
      </c>
      <c r="M5617" s="12" t="inlineStr">
        <is>
          <t>10</t>
        </is>
      </c>
      <c r="N5617" s="12" t="n">
        <v>1</v>
      </c>
      <c r="O5617" s="12" t="n">
        <v>1</v>
      </c>
      <c r="P5617" s="12" t="n">
        <v>480</v>
      </c>
      <c r="Q5617" s="12" t="n">
        <v>15</v>
      </c>
      <c r="R5617" s="12" t="n">
        <v>21.2</v>
      </c>
      <c r="S5617" s="12" t="inlineStr">
        <is>
          <t>Duct bank</t>
        </is>
      </c>
      <c r="T5617" s="17" t="n">
        <v>50</v>
      </c>
      <c r="U5617" s="17" t="n">
        <v>117</v>
      </c>
      <c r="V5617" s="17">
        <f>ROUNDUP((T5617+U5617+2*'Read Me'!$B$13)*(1+'Read Me'!$B$12),-1)</f>
        <v/>
      </c>
      <c r="W5617" s="17">
        <f>V5617*N5617*O5617</f>
        <v/>
      </c>
      <c r="X5617" s="12">
        <f>IF(LEFT(I5617,2)="MV",2*N5617*IF(L5617="1/C",O5617,1),0)</f>
        <v/>
      </c>
      <c r="Y5617" s="12">
        <f>IF(OR(LEFT(K5617,4)="LVAX",LEFT(K5617,6)="MV15AX",LEFT(K5617,4)="CTAX",LEFT(K5617,2)="W|"),2*N5617*O5617,0)</f>
        <v/>
      </c>
      <c r="Z5617" s="12" t="inlineStr">
        <is>
          <t>VD 1.7 %</t>
        </is>
      </c>
      <c r="AA5617" s="12">
        <f>N5617*O5617</f>
        <v/>
      </c>
    </row>
    <row r="5618">
      <c r="A5618" s="12" t="inlineStr">
        <is>
          <t>K-P-0016</t>
        </is>
      </c>
      <c r="B5618" s="12" t="inlineStr">
        <is>
          <t>K</t>
        </is>
      </c>
      <c r="C5618" s="12" t="inlineStr">
        <is>
          <t>Fuel supply (adjacent market)</t>
        </is>
      </c>
      <c r="D5618" s="12" t="inlineStr">
        <is>
          <t>Motor 1 of 1, 15 kW</t>
        </is>
      </c>
      <c r="E5618" s="12" t="inlineStr"/>
      <c r="F5618" s="12" t="inlineStr">
        <is>
          <t>H2 20: 13.8 kV e-house</t>
        </is>
      </c>
      <c r="G5618" s="12" t="inlineStr"/>
      <c r="H5618" s="12" t="inlineStr">
        <is>
          <t>H2 27: storage tube bank (~40 ft tubes)</t>
        </is>
      </c>
      <c r="I5618" s="12" t="inlineStr">
        <is>
          <t>LV 600 V</t>
        </is>
      </c>
      <c r="J5618" s="12" t="inlineStr">
        <is>
          <t>ARMOR-X MC-HL 600 V 3/C Cu XHHW-2 + ground, CWA, black PVC (Class I Div 2)</t>
        </is>
      </c>
      <c r="K5618" s="12" t="inlineStr">
        <is>
          <t>LVAX|3/C+G|10</t>
        </is>
      </c>
      <c r="L5618" s="12" t="inlineStr">
        <is>
          <t>3/C+G</t>
        </is>
      </c>
      <c r="M5618" s="12" t="inlineStr">
        <is>
          <t>10</t>
        </is>
      </c>
      <c r="N5618" s="12" t="n">
        <v>1</v>
      </c>
      <c r="O5618" s="12" t="n">
        <v>1</v>
      </c>
      <c r="P5618" s="12" t="n">
        <v>480</v>
      </c>
      <c r="Q5618" s="12" t="n">
        <v>15</v>
      </c>
      <c r="R5618" s="12" t="n">
        <v>21.2</v>
      </c>
      <c r="S5618" s="12" t="inlineStr">
        <is>
          <t>Duct bank</t>
        </is>
      </c>
      <c r="T5618" s="17" t="n">
        <v>50</v>
      </c>
      <c r="U5618" s="17" t="n">
        <v>97</v>
      </c>
      <c r="V5618" s="17">
        <f>ROUNDUP((T5618+U5618+2*'Read Me'!$B$13)*(1+'Read Me'!$B$12),-1)</f>
        <v/>
      </c>
      <c r="W5618" s="17">
        <f>V5618*N5618*O5618</f>
        <v/>
      </c>
      <c r="X5618" s="12">
        <f>IF(LEFT(I5618,2)="MV",2*N5618*IF(L5618="1/C",O5618,1),0)</f>
        <v/>
      </c>
      <c r="Y5618" s="12">
        <f>IF(OR(LEFT(K5618,4)="LVAX",LEFT(K5618,6)="MV15AX",LEFT(K5618,4)="CTAX",LEFT(K5618,2)="W|"),2*N5618*O5618,0)</f>
        <v/>
      </c>
      <c r="Z5618" s="12" t="inlineStr">
        <is>
          <t>VD 1.5 %</t>
        </is>
      </c>
      <c r="AA5618" s="12">
        <f>N5618*O5618</f>
        <v/>
      </c>
    </row>
    <row r="5619">
      <c r="A5619" s="12" t="inlineStr">
        <is>
          <t>K-P-0017</t>
        </is>
      </c>
      <c r="B5619" s="12" t="inlineStr">
        <is>
          <t>K</t>
        </is>
      </c>
      <c r="C5619" s="12" t="inlineStr">
        <is>
          <t>Fuel supply (adjacent market)</t>
        </is>
      </c>
      <c r="D5619" s="12" t="inlineStr">
        <is>
          <t>Motor 1 of 1, 15 kW</t>
        </is>
      </c>
      <c r="E5619" s="12" t="inlineStr"/>
      <c r="F5619" s="12" t="inlineStr">
        <is>
          <t>H2 20: 13.8 kV e-house</t>
        </is>
      </c>
      <c r="G5619" s="12" t="inlineStr"/>
      <c r="H5619" s="12" t="inlineStr">
        <is>
          <t>H2 27: storage tube bank (~40 ft tubes)</t>
        </is>
      </c>
      <c r="I5619" s="12" t="inlineStr">
        <is>
          <t>LV 600 V</t>
        </is>
      </c>
      <c r="J5619" s="12" t="inlineStr">
        <is>
          <t>ARMOR-X MC-HL 600 V 3/C Cu XHHW-2 + ground, CWA, black PVC (Class I Div 2)</t>
        </is>
      </c>
      <c r="K5619" s="12" t="inlineStr">
        <is>
          <t>LVAX|3/C+G|10</t>
        </is>
      </c>
      <c r="L5619" s="12" t="inlineStr">
        <is>
          <t>3/C+G</t>
        </is>
      </c>
      <c r="M5619" s="12" t="inlineStr">
        <is>
          <t>10</t>
        </is>
      </c>
      <c r="N5619" s="12" t="n">
        <v>1</v>
      </c>
      <c r="O5619" s="12" t="n">
        <v>1</v>
      </c>
      <c r="P5619" s="12" t="n">
        <v>480</v>
      </c>
      <c r="Q5619" s="12" t="n">
        <v>15</v>
      </c>
      <c r="R5619" s="12" t="n">
        <v>21.2</v>
      </c>
      <c r="S5619" s="12" t="inlineStr">
        <is>
          <t>Duct bank</t>
        </is>
      </c>
      <c r="T5619" s="17" t="n">
        <v>50</v>
      </c>
      <c r="U5619" s="17" t="n">
        <v>117</v>
      </c>
      <c r="V5619" s="17">
        <f>ROUNDUP((T5619+U5619+2*'Read Me'!$B$13)*(1+'Read Me'!$B$12),-1)</f>
        <v/>
      </c>
      <c r="W5619" s="17">
        <f>V5619*N5619*O5619</f>
        <v/>
      </c>
      <c r="X5619" s="12">
        <f>IF(LEFT(I5619,2)="MV",2*N5619*IF(L5619="1/C",O5619,1),0)</f>
        <v/>
      </c>
      <c r="Y5619" s="12">
        <f>IF(OR(LEFT(K5619,4)="LVAX",LEFT(K5619,6)="MV15AX",LEFT(K5619,4)="CTAX",LEFT(K5619,2)="W|"),2*N5619*O5619,0)</f>
        <v/>
      </c>
      <c r="Z5619" s="12" t="inlineStr">
        <is>
          <t>VD 1.7 %</t>
        </is>
      </c>
      <c r="AA5619" s="12">
        <f>N5619*O5619</f>
        <v/>
      </c>
    </row>
    <row r="5620">
      <c r="A5620" s="12" t="inlineStr">
        <is>
          <t>K-P-0018</t>
        </is>
      </c>
      <c r="B5620" s="12" t="inlineStr">
        <is>
          <t>K</t>
        </is>
      </c>
      <c r="C5620" s="12" t="inlineStr">
        <is>
          <t>Fuel supply (adjacent market)</t>
        </is>
      </c>
      <c r="D5620" s="12" t="inlineStr">
        <is>
          <t>Motor 1 of 1, 15 kW</t>
        </is>
      </c>
      <c r="E5620" s="12" t="inlineStr"/>
      <c r="F5620" s="12" t="inlineStr">
        <is>
          <t>H2 20: 13.8 kV e-house</t>
        </is>
      </c>
      <c r="G5620" s="12" t="inlineStr"/>
      <c r="H5620" s="12" t="inlineStr">
        <is>
          <t>H2 28: N2 purge supply</t>
        </is>
      </c>
      <c r="I5620" s="12" t="inlineStr">
        <is>
          <t>LV 600 V</t>
        </is>
      </c>
      <c r="J5620" s="12" t="inlineStr">
        <is>
          <t>ARMOR-X MC-HL 600 V 3/C Cu XHHW-2 + ground, CWA, black PVC (Class I Div 2)</t>
        </is>
      </c>
      <c r="K5620" s="12" t="inlineStr">
        <is>
          <t>LVAX|3/C+G|10</t>
        </is>
      </c>
      <c r="L5620" s="12" t="inlineStr">
        <is>
          <t>3/C+G</t>
        </is>
      </c>
      <c r="M5620" s="12" t="inlineStr">
        <is>
          <t>10</t>
        </is>
      </c>
      <c r="N5620" s="12" t="n">
        <v>1</v>
      </c>
      <c r="O5620" s="12" t="n">
        <v>1</v>
      </c>
      <c r="P5620" s="12" t="n">
        <v>480</v>
      </c>
      <c r="Q5620" s="12" t="n">
        <v>15</v>
      </c>
      <c r="R5620" s="12" t="n">
        <v>21.2</v>
      </c>
      <c r="S5620" s="12" t="inlineStr">
        <is>
          <t>Duct bank</t>
        </is>
      </c>
      <c r="T5620" s="17" t="n">
        <v>53</v>
      </c>
      <c r="U5620" s="17" t="n">
        <v>36</v>
      </c>
      <c r="V5620" s="17">
        <f>ROUNDUP((T5620+U5620+2*'Read Me'!$B$13)*(1+'Read Me'!$B$12),-1)</f>
        <v/>
      </c>
      <c r="W5620" s="17">
        <f>V5620*N5620*O5620</f>
        <v/>
      </c>
      <c r="X5620" s="12">
        <f>IF(LEFT(I5620,2)="MV",2*N5620*IF(L5620="1/C",O5620,1),0)</f>
        <v/>
      </c>
      <c r="Y5620" s="12">
        <f>IF(OR(LEFT(K5620,4)="LVAX",LEFT(K5620,6)="MV15AX",LEFT(K5620,4)="CTAX",LEFT(K5620,2)="W|"),2*N5620*O5620,0)</f>
        <v/>
      </c>
      <c r="Z5620" s="12" t="inlineStr">
        <is>
          <t>VD 0.9 %</t>
        </is>
      </c>
      <c r="AA5620" s="12">
        <f>N5620*O5620</f>
        <v/>
      </c>
    </row>
    <row r="5621">
      <c r="A5621" s="12" t="inlineStr">
        <is>
          <t>K-P-0019</t>
        </is>
      </c>
      <c r="B5621" s="12" t="inlineStr">
        <is>
          <t>K</t>
        </is>
      </c>
      <c r="C5621" s="12" t="inlineStr">
        <is>
          <t>Fuel supply (adjacent market)</t>
        </is>
      </c>
      <c r="D5621" s="12" t="inlineStr">
        <is>
          <t>Motor 1 of 1, 15 kW</t>
        </is>
      </c>
      <c r="E5621" s="12" t="inlineStr"/>
      <c r="F5621" s="12" t="inlineStr">
        <is>
          <t>H2 20: 13.8 kV e-house</t>
        </is>
      </c>
      <c r="G5621" s="12" t="inlineStr"/>
      <c r="H5621" s="12" t="inlineStr">
        <is>
          <t>H2 29: vent stack</t>
        </is>
      </c>
      <c r="I5621" s="12" t="inlineStr">
        <is>
          <t>LV 600 V</t>
        </is>
      </c>
      <c r="J5621" s="12" t="inlineStr">
        <is>
          <t>ARMOR-X MC-HL 600 V 3/C Cu XHHW-2 + ground, CWA, black PVC (Class I Div 2)</t>
        </is>
      </c>
      <c r="K5621" s="12" t="inlineStr">
        <is>
          <t>LVAX|3/C+G|10</t>
        </is>
      </c>
      <c r="L5621" s="12" t="inlineStr">
        <is>
          <t>3/C+G</t>
        </is>
      </c>
      <c r="M5621" s="12" t="inlineStr">
        <is>
          <t>10</t>
        </is>
      </c>
      <c r="N5621" s="12" t="n">
        <v>1</v>
      </c>
      <c r="O5621" s="12" t="n">
        <v>1</v>
      </c>
      <c r="P5621" s="12" t="n">
        <v>480</v>
      </c>
      <c r="Q5621" s="12" t="n">
        <v>15</v>
      </c>
      <c r="R5621" s="12" t="n">
        <v>21.2</v>
      </c>
      <c r="S5621" s="12" t="inlineStr">
        <is>
          <t>Duct bank</t>
        </is>
      </c>
      <c r="T5621" s="17" t="n">
        <v>55</v>
      </c>
      <c r="U5621" s="17" t="n">
        <v>205</v>
      </c>
      <c r="V5621" s="17">
        <f>ROUNDUP((T5621+U5621+2*'Read Me'!$B$13)*(1+'Read Me'!$B$12),-1)</f>
        <v/>
      </c>
      <c r="W5621" s="17">
        <f>V5621*N5621*O5621</f>
        <v/>
      </c>
      <c r="X5621" s="12">
        <f>IF(LEFT(I5621,2)="MV",2*N5621*IF(L5621="1/C",O5621,1),0)</f>
        <v/>
      </c>
      <c r="Y5621" s="12">
        <f>IF(OR(LEFT(K5621,4)="LVAX",LEFT(K5621,6)="MV15AX",LEFT(K5621,4)="CTAX",LEFT(K5621,2)="W|"),2*N5621*O5621,0)</f>
        <v/>
      </c>
      <c r="Z5621" s="12" t="inlineStr">
        <is>
          <t>VD 2.7 %</t>
        </is>
      </c>
      <c r="AA5621" s="12">
        <f>N5621*O5621</f>
        <v/>
      </c>
    </row>
    <row r="5622">
      <c r="A5622" s="12" t="inlineStr">
        <is>
          <t>K-P-0020</t>
        </is>
      </c>
      <c r="B5622" s="12" t="inlineStr">
        <is>
          <t>K</t>
        </is>
      </c>
      <c r="C5622" s="12" t="inlineStr">
        <is>
          <t>Fuel supply (adjacent market)</t>
        </is>
      </c>
      <c r="D5622" s="12" t="inlineStr">
        <is>
          <t>Motor 1 of 1, 15 kW</t>
        </is>
      </c>
      <c r="E5622" s="12" t="inlineStr"/>
      <c r="F5622" s="12" t="inlineStr">
        <is>
          <t>LNG 17: LNG e-house (13.8 kV / 480 V)</t>
        </is>
      </c>
      <c r="G5622" s="12" t="inlineStr"/>
      <c r="H5622" s="12" t="inlineStr">
        <is>
          <t>H2 30: H2 / gas blending station (plant gas yard)</t>
        </is>
      </c>
      <c r="I5622" s="12" t="inlineStr">
        <is>
          <t>LV 600 V</t>
        </is>
      </c>
      <c r="J5622" s="12" t="inlineStr">
        <is>
          <t>ARMOR-X MC-HL 600 V 3/C Cu XHHW-2 + ground, CWA, black PVC (Class I Div 2)</t>
        </is>
      </c>
      <c r="K5622" s="12" t="inlineStr">
        <is>
          <t>LVAX|3/C+G|4</t>
        </is>
      </c>
      <c r="L5622" s="12" t="inlineStr">
        <is>
          <t>3/C+G</t>
        </is>
      </c>
      <c r="M5622" s="12" t="inlineStr">
        <is>
          <t>4</t>
        </is>
      </c>
      <c r="N5622" s="12" t="n">
        <v>1</v>
      </c>
      <c r="O5622" s="12" t="n">
        <v>1</v>
      </c>
      <c r="P5622" s="12" t="n">
        <v>480</v>
      </c>
      <c r="Q5622" s="12" t="n">
        <v>15</v>
      </c>
      <c r="R5622" s="12" t="n">
        <v>21.2</v>
      </c>
      <c r="S5622" s="12" t="inlineStr">
        <is>
          <t>Duct bank</t>
        </is>
      </c>
      <c r="T5622" s="17" t="n">
        <v>994</v>
      </c>
      <c r="U5622" s="17" t="n">
        <v>114</v>
      </c>
      <c r="V5622" s="17">
        <f>ROUNDUP((T5622+U5622+2*'Read Me'!$B$13)*(1+'Read Me'!$B$12),-1)</f>
        <v/>
      </c>
      <c r="W5622" s="17">
        <f>V5622*N5622*O5622</f>
        <v/>
      </c>
      <c r="X5622" s="12">
        <f>IF(LEFT(I5622,2)="MV",2*N5622*IF(L5622="1/C",O5622,1),0)</f>
        <v/>
      </c>
      <c r="Y5622" s="12">
        <f>IF(OR(LEFT(K5622,4)="LVAX",LEFT(K5622,6)="MV15AX",LEFT(K5622,4)="CTAX",LEFT(K5622,2)="W|"),2*N5622*O5622,0)</f>
        <v/>
      </c>
      <c r="Z5622" s="12" t="inlineStr">
        <is>
          <t>VD 2.9 %</t>
        </is>
      </c>
      <c r="AA5622" s="12">
        <f>N5622*O5622</f>
        <v/>
      </c>
    </row>
    <row r="5623">
      <c r="A5623" s="12" t="inlineStr">
        <is>
          <t>K-P-0021</t>
        </is>
      </c>
      <c r="B5623" s="12" t="inlineStr">
        <is>
          <t>K</t>
        </is>
      </c>
      <c r="C5623" s="12" t="inlineStr">
        <is>
          <t>Fuel supply (adjacent market)</t>
        </is>
      </c>
      <c r="D5623" s="12" t="inlineStr">
        <is>
          <t>Motor 1 of 2, 250 kW</t>
        </is>
      </c>
      <c r="E5623" s="12" t="inlineStr"/>
      <c r="F5623" s="12" t="inlineStr">
        <is>
          <t>H2 20: 13.8 kV e-house</t>
        </is>
      </c>
      <c r="G5623" s="12" t="inlineStr"/>
      <c r="H5623" s="12" t="inlineStr">
        <is>
          <t>H2 pipe track and cable trench, hall -&gt; dryer / compressors (N2, instr</t>
        </is>
      </c>
      <c r="I5623" s="12" t="inlineStr">
        <is>
          <t>LV 600 V</t>
        </is>
      </c>
      <c r="J5623" s="12" t="inlineStr">
        <is>
          <t>ARMOR-X MC-HL 600 V 3/C Cu XHHW-2 + ground, CWA, black PVC (Class I Div 2)</t>
        </is>
      </c>
      <c r="K5623" s="12" t="inlineStr">
        <is>
          <t>LVAX|3/C+G|4/0</t>
        </is>
      </c>
      <c r="L5623" s="12" t="inlineStr">
        <is>
          <t>3/C+G</t>
        </is>
      </c>
      <c r="M5623" s="12" t="inlineStr">
        <is>
          <t>4/0</t>
        </is>
      </c>
      <c r="N5623" s="12" t="n">
        <v>2</v>
      </c>
      <c r="O5623" s="12" t="n">
        <v>1</v>
      </c>
      <c r="P5623" s="12" t="n">
        <v>480</v>
      </c>
      <c r="Q5623" s="12" t="n">
        <v>250</v>
      </c>
      <c r="R5623" s="12" t="n">
        <v>353.8</v>
      </c>
      <c r="S5623" s="12" t="inlineStr">
        <is>
          <t>Duct bank</t>
        </is>
      </c>
      <c r="T5623" s="17" t="n">
        <v>53</v>
      </c>
      <c r="U5623" s="17" t="n">
        <v>62</v>
      </c>
      <c r="V5623" s="17">
        <f>ROUNDUP((T5623+U5623+2*'Read Me'!$B$13)*(1+'Read Me'!$B$12),-1)</f>
        <v/>
      </c>
      <c r="W5623" s="17">
        <f>V5623*N5623*O5623</f>
        <v/>
      </c>
      <c r="X5623" s="12">
        <f>IF(LEFT(I5623,2)="MV",2*N5623*IF(L5623="1/C",O5623,1),0)</f>
        <v/>
      </c>
      <c r="Y5623" s="12">
        <f>IF(OR(LEFT(K5623,4)="LVAX",LEFT(K5623,6)="MV15AX",LEFT(K5623,4)="CTAX",LEFT(K5623,2)="W|"),2*N5623*O5623,0)</f>
        <v/>
      </c>
      <c r="Z5623" s="12" t="inlineStr">
        <is>
          <t>VD 0.5 %</t>
        </is>
      </c>
      <c r="AA5623" s="12">
        <f>N5623*O5623</f>
        <v/>
      </c>
    </row>
    <row r="5624">
      <c r="A5624" s="12" t="inlineStr">
        <is>
          <t>K-P-0022</t>
        </is>
      </c>
      <c r="B5624" s="12" t="inlineStr">
        <is>
          <t>K</t>
        </is>
      </c>
      <c r="C5624" s="12" t="inlineStr">
        <is>
          <t>Fuel supply (adjacent market)</t>
        </is>
      </c>
      <c r="D5624" s="12" t="inlineStr">
        <is>
          <t>Motor 2 of 2, 250 kW</t>
        </is>
      </c>
      <c r="E5624" s="12" t="inlineStr"/>
      <c r="F5624" s="12" t="inlineStr">
        <is>
          <t>H2 20: 13.8 kV e-house</t>
        </is>
      </c>
      <c r="G5624" s="12" t="inlineStr"/>
      <c r="H5624" s="12" t="inlineStr">
        <is>
          <t>H2 pipe track and cable trench, hall -&gt; dryer / compressors (N2, instr</t>
        </is>
      </c>
      <c r="I5624" s="12" t="inlineStr">
        <is>
          <t>LV 600 V</t>
        </is>
      </c>
      <c r="J5624" s="12" t="inlineStr">
        <is>
          <t>ARMOR-X MC-HL 600 V 3/C Cu XHHW-2 + ground, CWA, black PVC (Class I Div 2)</t>
        </is>
      </c>
      <c r="K5624" s="12" t="inlineStr">
        <is>
          <t>LVAX|3/C+G|4/0</t>
        </is>
      </c>
      <c r="L5624" s="12" t="inlineStr">
        <is>
          <t>3/C+G</t>
        </is>
      </c>
      <c r="M5624" s="12" t="inlineStr">
        <is>
          <t>4/0</t>
        </is>
      </c>
      <c r="N5624" s="12" t="n">
        <v>2</v>
      </c>
      <c r="O5624" s="12" t="n">
        <v>1</v>
      </c>
      <c r="P5624" s="12" t="n">
        <v>480</v>
      </c>
      <c r="Q5624" s="12" t="n">
        <v>250</v>
      </c>
      <c r="R5624" s="12" t="n">
        <v>353.8</v>
      </c>
      <c r="S5624" s="12" t="inlineStr">
        <is>
          <t>Duct bank</t>
        </is>
      </c>
      <c r="T5624" s="17" t="n">
        <v>53</v>
      </c>
      <c r="U5624" s="17" t="n">
        <v>62</v>
      </c>
      <c r="V5624" s="17">
        <f>ROUNDUP((T5624+U5624+2*'Read Me'!$B$13)*(1+'Read Me'!$B$12),-1)</f>
        <v/>
      </c>
      <c r="W5624" s="17">
        <f>V5624*N5624*O5624</f>
        <v/>
      </c>
      <c r="X5624" s="12">
        <f>IF(LEFT(I5624,2)="MV",2*N5624*IF(L5624="1/C",O5624,1),0)</f>
        <v/>
      </c>
      <c r="Y5624" s="12">
        <f>IF(OR(LEFT(K5624,4)="LVAX",LEFT(K5624,6)="MV15AX",LEFT(K5624,4)="CTAX",LEFT(K5624,2)="W|"),2*N5624*O5624,0)</f>
        <v/>
      </c>
      <c r="Z5624" s="12" t="inlineStr">
        <is>
          <t>VD 0.5 %</t>
        </is>
      </c>
      <c r="AA5624" s="12">
        <f>N5624*O5624</f>
        <v/>
      </c>
    </row>
    <row r="5625">
      <c r="A5625" s="12" t="inlineStr">
        <is>
          <t>K-P-0023</t>
        </is>
      </c>
      <c r="B5625" s="12" t="inlineStr">
        <is>
          <t>K</t>
        </is>
      </c>
      <c r="C5625" s="12" t="inlineStr">
        <is>
          <t>Fuel supply (adjacent market)</t>
        </is>
      </c>
      <c r="D5625" s="12" t="inlineStr">
        <is>
          <t>LV power feeder</t>
        </is>
      </c>
      <c r="E5625" s="12" t="inlineStr"/>
      <c r="F5625" s="12" t="inlineStr">
        <is>
          <t>H2 20: 13.8 kV e-house</t>
        </is>
      </c>
      <c r="G5625" s="12" t="inlineStr">
        <is>
          <t>H2-ST</t>
        </is>
      </c>
      <c r="H5625" s="12" t="inlineStr">
        <is>
          <t>H2 storage tube banks x4</t>
        </is>
      </c>
      <c r="I5625" s="12" t="inlineStr">
        <is>
          <t>LV 600 V</t>
        </is>
      </c>
      <c r="J5625" s="12" t="inlineStr">
        <is>
          <t>ARMOR-X MC-HL 600 V 3/C Cu XHHW-2 + ground, CWA, black PVC (Class I Div 2)</t>
        </is>
      </c>
      <c r="K5625" s="12" t="inlineStr">
        <is>
          <t>LVAX|3/C+G|10</t>
        </is>
      </c>
      <c r="L5625" s="12" t="inlineStr">
        <is>
          <t>3/C+G</t>
        </is>
      </c>
      <c r="M5625" s="12" t="inlineStr">
        <is>
          <t>10</t>
        </is>
      </c>
      <c r="N5625" s="12" t="n">
        <v>1</v>
      </c>
      <c r="O5625" s="12" t="n">
        <v>1</v>
      </c>
      <c r="P5625" s="12" t="n">
        <v>480</v>
      </c>
      <c r="Q5625" s="12" t="n">
        <v>15</v>
      </c>
      <c r="R5625" s="12" t="n">
        <v>21.2</v>
      </c>
      <c r="S5625" s="12" t="inlineStr">
        <is>
          <t>Duct bank</t>
        </is>
      </c>
      <c r="T5625" s="17" t="n">
        <v>50</v>
      </c>
      <c r="U5625" s="17" t="n">
        <v>92</v>
      </c>
      <c r="V5625" s="17">
        <f>ROUNDUP((T5625+U5625+2*'Read Me'!$B$13)*(1+'Read Me'!$B$12),-1)</f>
        <v/>
      </c>
      <c r="W5625" s="17">
        <f>V5625*N5625*O5625</f>
        <v/>
      </c>
      <c r="X5625" s="12">
        <f>IF(LEFT(I5625,2)="MV",2*N5625*IF(L5625="1/C",O5625,1),0)</f>
        <v/>
      </c>
      <c r="Y5625" s="12">
        <f>IF(OR(LEFT(K5625,4)="LVAX",LEFT(K5625,6)="MV15AX",LEFT(K5625,4)="CTAX",LEFT(K5625,2)="W|"),2*N5625*O5625,0)</f>
        <v/>
      </c>
      <c r="Z5625" s="12" t="inlineStr">
        <is>
          <t>VD 1.4 %</t>
        </is>
      </c>
      <c r="AA5625" s="12">
        <f>N5625*O5625</f>
        <v/>
      </c>
    </row>
    <row r="5626">
      <c r="A5626" s="12" t="inlineStr">
        <is>
          <t>K-P-0024</t>
        </is>
      </c>
      <c r="B5626" s="12" t="inlineStr">
        <is>
          <t>K</t>
        </is>
      </c>
      <c r="C5626" s="12" t="inlineStr">
        <is>
          <t>Fuel supply (adjacent market)</t>
        </is>
      </c>
      <c r="D5626" s="12" t="inlineStr">
        <is>
          <t>LV power feeder</t>
        </is>
      </c>
      <c r="E5626" s="12" t="inlineStr"/>
      <c r="F5626" s="12" t="inlineStr">
        <is>
          <t>H2 20: 13.8 kV e-house</t>
        </is>
      </c>
      <c r="G5626" s="12" t="inlineStr">
        <is>
          <t>H2R</t>
        </is>
      </c>
      <c r="H5626" s="12" t="inlineStr">
        <is>
          <t>H2R: hydrogen pipeline receiving station (pig receiver, filters, meter</t>
        </is>
      </c>
      <c r="I5626" s="12" t="inlineStr">
        <is>
          <t>LV 600 V</t>
        </is>
      </c>
      <c r="J5626" s="12" t="inlineStr">
        <is>
          <t>ARMOR-X MC-HL 600 V 3/C Cu XHHW-2 + ground, CWA, black PVC (Class I Div 2)</t>
        </is>
      </c>
      <c r="K5626" s="12" t="inlineStr">
        <is>
          <t>LVAX|3/C+G|10</t>
        </is>
      </c>
      <c r="L5626" s="12" t="inlineStr">
        <is>
          <t>3/C+G</t>
        </is>
      </c>
      <c r="M5626" s="12" t="inlineStr">
        <is>
          <t>10</t>
        </is>
      </c>
      <c r="N5626" s="12" t="n">
        <v>1</v>
      </c>
      <c r="O5626" s="12" t="n">
        <v>1</v>
      </c>
      <c r="P5626" s="12" t="n">
        <v>480</v>
      </c>
      <c r="Q5626" s="12" t="n">
        <v>15</v>
      </c>
      <c r="R5626" s="12" t="n">
        <v>21.2</v>
      </c>
      <c r="S5626" s="12" t="inlineStr">
        <is>
          <t>Duct bank</t>
        </is>
      </c>
      <c r="T5626" s="17" t="n">
        <v>40</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is>
          <t>VD 0.7 %</t>
        </is>
      </c>
      <c r="AA5626" s="12">
        <f>N5626*O5626</f>
        <v/>
      </c>
    </row>
    <row r="5627">
      <c r="A5627" s="12" t="inlineStr">
        <is>
          <t>K-P-0025</t>
        </is>
      </c>
      <c r="B5627" s="12" t="inlineStr">
        <is>
          <t>K</t>
        </is>
      </c>
      <c r="C5627" s="12" t="inlineStr">
        <is>
          <t>Fuel supply (adjacent market)</t>
        </is>
      </c>
      <c r="D5627" s="12" t="inlineStr">
        <is>
          <t>Motor 1 of 1, 15 kW</t>
        </is>
      </c>
      <c r="E5627" s="12" t="inlineStr"/>
      <c r="F5627" s="12" t="inlineStr">
        <is>
          <t>LNG 17: LNG e-house (13.8 kV / 480 V)</t>
        </is>
      </c>
      <c r="G5627" s="12" t="inlineStr"/>
      <c r="H5627" s="12" t="inlineStr">
        <is>
          <t>LNG 10: truck unloading bay 1</t>
        </is>
      </c>
      <c r="I5627" s="12" t="inlineStr">
        <is>
          <t>LV 600 V</t>
        </is>
      </c>
      <c r="J5627" s="12" t="inlineStr">
        <is>
          <t>ARMOR-X MC-HL 600 V 3/C Cu XHHW-2 + ground, CWA, black PVC (Class I Div 2)</t>
        </is>
      </c>
      <c r="K5627" s="12" t="inlineStr">
        <is>
          <t>LVAX|3/C+G|8</t>
        </is>
      </c>
      <c r="L5627" s="12" t="inlineStr">
        <is>
          <t>3/C+G</t>
        </is>
      </c>
      <c r="M5627" s="12" t="inlineStr">
        <is>
          <t>8</t>
        </is>
      </c>
      <c r="N5627" s="12" t="n">
        <v>1</v>
      </c>
      <c r="O5627" s="12" t="n">
        <v>1</v>
      </c>
      <c r="P5627" s="12" t="n">
        <v>480</v>
      </c>
      <c r="Q5627" s="12" t="n">
        <v>15</v>
      </c>
      <c r="R5627" s="12" t="n">
        <v>21.2</v>
      </c>
      <c r="S5627" s="12" t="inlineStr">
        <is>
          <t>Duct bank</t>
        </is>
      </c>
      <c r="T5627" s="17" t="n">
        <v>237</v>
      </c>
      <c r="U5627" s="17" t="n">
        <v>61</v>
      </c>
      <c r="V5627" s="17">
        <f>ROUNDUP((T5627+U5627+2*'Read Me'!$B$13)*(1+'Read Me'!$B$12),-1)</f>
        <v/>
      </c>
      <c r="W5627" s="17">
        <f>V5627*N5627*O5627</f>
        <v/>
      </c>
      <c r="X5627" s="12">
        <f>IF(LEFT(I5627,2)="MV",2*N5627*IF(L5627="1/C",O5627,1),0)</f>
        <v/>
      </c>
      <c r="Y5627" s="12">
        <f>IF(OR(LEFT(K5627,4)="LVAX",LEFT(K5627,6)="MV15AX",LEFT(K5627,4)="CTAX",LEFT(K5627,2)="W|"),2*N5627*O5627,0)</f>
        <v/>
      </c>
      <c r="Z5627" s="12" t="inlineStr">
        <is>
          <t>VD 1.9 %</t>
        </is>
      </c>
      <c r="AA5627" s="12">
        <f>N5627*O5627</f>
        <v/>
      </c>
    </row>
    <row r="5628">
      <c r="A5628" s="12" t="inlineStr">
        <is>
          <t>K-P-0026</t>
        </is>
      </c>
      <c r="B5628" s="12" t="inlineStr">
        <is>
          <t>K</t>
        </is>
      </c>
      <c r="C5628" s="12" t="inlineStr">
        <is>
          <t>Fuel supply (adjacent market)</t>
        </is>
      </c>
      <c r="D5628" s="12" t="inlineStr">
        <is>
          <t>Motor 1 of 1, 15 kW</t>
        </is>
      </c>
      <c r="E5628" s="12" t="inlineStr"/>
      <c r="F5628" s="12" t="inlineStr">
        <is>
          <t>LNG 17: LNG e-house (13.8 kV / 480 V)</t>
        </is>
      </c>
      <c r="G5628" s="12" t="inlineStr"/>
      <c r="H5628" s="12" t="inlineStr">
        <is>
          <t>LNG 10: truck unloading bay 2</t>
        </is>
      </c>
      <c r="I5628" s="12" t="inlineStr">
        <is>
          <t>LV 600 V</t>
        </is>
      </c>
      <c r="J5628" s="12" t="inlineStr">
        <is>
          <t>ARMOR-X MC-HL 600 V 3/C Cu XHHW-2 + ground, CWA, black PVC (Class I Div 2)</t>
        </is>
      </c>
      <c r="K5628" s="12" t="inlineStr">
        <is>
          <t>LVAX|3/C+G|10</t>
        </is>
      </c>
      <c r="L5628" s="12" t="inlineStr">
        <is>
          <t>3/C+G</t>
        </is>
      </c>
      <c r="M5628" s="12" t="inlineStr">
        <is>
          <t>10</t>
        </is>
      </c>
      <c r="N5628" s="12" t="n">
        <v>1</v>
      </c>
      <c r="O5628" s="12" t="n">
        <v>1</v>
      </c>
      <c r="P5628" s="12" t="n">
        <v>480</v>
      </c>
      <c r="Q5628" s="12" t="n">
        <v>15</v>
      </c>
      <c r="R5628" s="12" t="n">
        <v>21.2</v>
      </c>
      <c r="S5628" s="12" t="inlineStr">
        <is>
          <t>Duct bank</t>
        </is>
      </c>
      <c r="T5628" s="17" t="n">
        <v>147</v>
      </c>
      <c r="U5628" s="17" t="n">
        <v>66</v>
      </c>
      <c r="V5628" s="17">
        <f>ROUNDUP((T5628+U5628+2*'Read Me'!$B$13)*(1+'Read Me'!$B$12),-1)</f>
        <v/>
      </c>
      <c r="W5628" s="17">
        <f>V5628*N5628*O5628</f>
        <v/>
      </c>
      <c r="X5628" s="12">
        <f>IF(LEFT(I5628,2)="MV",2*N5628*IF(L5628="1/C",O5628,1),0)</f>
        <v/>
      </c>
      <c r="Y5628" s="12">
        <f>IF(OR(LEFT(K5628,4)="LVAX",LEFT(K5628,6)="MV15AX",LEFT(K5628,4)="CTAX",LEFT(K5628,2)="W|"),2*N5628*O5628,0)</f>
        <v/>
      </c>
      <c r="Z5628" s="12" t="inlineStr">
        <is>
          <t>VD 2.2 %</t>
        </is>
      </c>
      <c r="AA5628" s="12">
        <f>N5628*O5628</f>
        <v/>
      </c>
    </row>
    <row r="5629">
      <c r="A5629" s="12" t="inlineStr">
        <is>
          <t>K-P-0027</t>
        </is>
      </c>
      <c r="B5629" s="12" t="inlineStr">
        <is>
          <t>K</t>
        </is>
      </c>
      <c r="C5629" s="12" t="inlineStr">
        <is>
          <t>Fuel supply (adjacent market)</t>
        </is>
      </c>
      <c r="D5629" s="12" t="inlineStr">
        <is>
          <t>Motor 1 of 1, 15 kW</t>
        </is>
      </c>
      <c r="E5629" s="12" t="inlineStr"/>
      <c r="F5629" s="12" t="inlineStr">
        <is>
          <t>LNG 17: LNG e-house (13.8 kV / 480 V)</t>
        </is>
      </c>
      <c r="G5629" s="12" t="inlineStr"/>
      <c r="H5629" s="12" t="inlineStr">
        <is>
          <t>LNG 10: unloading skid</t>
        </is>
      </c>
      <c r="I5629" s="12" t="inlineStr">
        <is>
          <t>LV 600 V</t>
        </is>
      </c>
      <c r="J5629" s="12" t="inlineStr">
        <is>
          <t>ARMOR-X MC-HL 600 V 3/C Cu XHHW-2 + ground, CWA, black PVC (Class I Div 2)</t>
        </is>
      </c>
      <c r="K5629" s="12" t="inlineStr">
        <is>
          <t>LVAX|3/C+G|10</t>
        </is>
      </c>
      <c r="L5629" s="12" t="inlineStr">
        <is>
          <t>3/C+G</t>
        </is>
      </c>
      <c r="M5629" s="12" t="inlineStr">
        <is>
          <t>10</t>
        </is>
      </c>
      <c r="N5629" s="12" t="n">
        <v>1</v>
      </c>
      <c r="O5629" s="12" t="n">
        <v>1</v>
      </c>
      <c r="P5629" s="12" t="n">
        <v>480</v>
      </c>
      <c r="Q5629" s="12" t="n">
        <v>15</v>
      </c>
      <c r="R5629" s="12" t="n">
        <v>21.2</v>
      </c>
      <c r="S5629" s="12" t="inlineStr">
        <is>
          <t>Duct bank</t>
        </is>
      </c>
      <c r="T5629" s="17" t="n">
        <v>237</v>
      </c>
      <c r="U5629" s="17" t="n">
        <v>32</v>
      </c>
      <c r="V5629" s="17">
        <f>ROUNDUP((T5629+U5629+2*'Read Me'!$B$13)*(1+'Read Me'!$B$12),-1)</f>
        <v/>
      </c>
      <c r="W5629" s="17">
        <f>V5629*N5629*O5629</f>
        <v/>
      </c>
      <c r="X5629" s="12">
        <f>IF(LEFT(I5629,2)="MV",2*N5629*IF(L5629="1/C",O5629,1),0)</f>
        <v/>
      </c>
      <c r="Y5629" s="12">
        <f>IF(OR(LEFT(K5629,4)="LVAX",LEFT(K5629,6)="MV15AX",LEFT(K5629,4)="CTAX",LEFT(K5629,2)="W|"),2*N5629*O5629,0)</f>
        <v/>
      </c>
      <c r="Z5629" s="12" t="inlineStr">
        <is>
          <t>VD 2.7 %</t>
        </is>
      </c>
      <c r="AA5629" s="12">
        <f>N5629*O5629</f>
        <v/>
      </c>
    </row>
    <row r="5630">
      <c r="A5630" s="12" t="inlineStr">
        <is>
          <t>K-P-0028</t>
        </is>
      </c>
      <c r="B5630" s="12" t="inlineStr">
        <is>
          <t>K</t>
        </is>
      </c>
      <c r="C5630" s="12" t="inlineStr">
        <is>
          <t>Fuel supply (adjacent market)</t>
        </is>
      </c>
      <c r="D5630" s="12" t="inlineStr">
        <is>
          <t>LV power feeder</t>
        </is>
      </c>
      <c r="E5630" s="12" t="inlineStr"/>
      <c r="F5630" s="12" t="inlineStr">
        <is>
          <t>LNG 17: LNG e-house (13.8 kV / 480 V)</t>
        </is>
      </c>
      <c r="G5630" s="12" t="inlineStr">
        <is>
          <t>LNG-T1</t>
        </is>
      </c>
      <c r="H5630" s="12" t="inlineStr">
        <is>
          <t>LNG 11: tank 1, Chart HS 50000 (51,780 gal)</t>
        </is>
      </c>
      <c r="I5630" s="12" t="inlineStr">
        <is>
          <t>LV 600 V</t>
        </is>
      </c>
      <c r="J5630" s="12" t="inlineStr">
        <is>
          <t>ARMOR-X MC-HL 600 V 3/C Cu XHHW-2 + ground, CWA, black PVC (Class I Div 2)</t>
        </is>
      </c>
      <c r="K5630" s="12" t="inlineStr">
        <is>
          <t>LVAX|3/C+G|10</t>
        </is>
      </c>
      <c r="L5630" s="12" t="inlineStr">
        <is>
          <t>3/C+G</t>
        </is>
      </c>
      <c r="M5630" s="12" t="inlineStr">
        <is>
          <t>10</t>
        </is>
      </c>
      <c r="N5630" s="12" t="n">
        <v>1</v>
      </c>
      <c r="O5630" s="12" t="n">
        <v>1</v>
      </c>
      <c r="P5630" s="12" t="n">
        <v>480</v>
      </c>
      <c r="Q5630" s="12" t="n">
        <v>10</v>
      </c>
      <c r="R5630" s="12" t="n">
        <v>14.2</v>
      </c>
      <c r="S5630" s="12" t="inlineStr">
        <is>
          <t>Duct bank</t>
        </is>
      </c>
      <c r="T5630" s="17" t="n">
        <v>210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is>
          <t>VD 1.6 %</t>
        </is>
      </c>
      <c r="AA5630" s="12">
        <f>N5630*O5630</f>
        <v/>
      </c>
    </row>
    <row r="5631">
      <c r="A5631" s="12" t="inlineStr">
        <is>
          <t>K-P-0029</t>
        </is>
      </c>
      <c r="B5631" s="12" t="inlineStr">
        <is>
          <t>K</t>
        </is>
      </c>
      <c r="C5631" s="12" t="inlineStr">
        <is>
          <t>Fuel supply (adjacent market)</t>
        </is>
      </c>
      <c r="D5631" s="12" t="inlineStr">
        <is>
          <t>LV power feeder</t>
        </is>
      </c>
      <c r="E5631" s="12" t="inlineStr"/>
      <c r="F5631" s="12" t="inlineStr">
        <is>
          <t>LNG 17: LNG e-house (13.8 kV / 480 V)</t>
        </is>
      </c>
      <c r="G5631" s="12" t="inlineStr">
        <is>
          <t>LNG-T2</t>
        </is>
      </c>
      <c r="H5631" s="12" t="inlineStr">
        <is>
          <t>LNG 11: tank 2, Chart HS 50000 (51,780 gal)</t>
        </is>
      </c>
      <c r="I5631" s="12" t="inlineStr">
        <is>
          <t>LV 600 V</t>
        </is>
      </c>
      <c r="J5631" s="12" t="inlineStr">
        <is>
          <t>ARMOR-X MC-HL 600 V 3/C Cu XHHW-2 + ground, CWA, black PVC (Class I Div 2)</t>
        </is>
      </c>
      <c r="K5631" s="12" t="inlineStr">
        <is>
          <t>LVAX|3/C+G|10</t>
        </is>
      </c>
      <c r="L5631" s="12" t="inlineStr">
        <is>
          <t>3/C+G</t>
        </is>
      </c>
      <c r="M5631" s="12" t="inlineStr">
        <is>
          <t>10</t>
        </is>
      </c>
      <c r="N5631" s="12" t="n">
        <v>1</v>
      </c>
      <c r="O5631" s="12" t="n">
        <v>1</v>
      </c>
      <c r="P5631" s="12" t="n">
        <v>480</v>
      </c>
      <c r="Q5631" s="12" t="n">
        <v>10</v>
      </c>
      <c r="R5631" s="12" t="n">
        <v>14.2</v>
      </c>
      <c r="S5631" s="12" t="inlineStr">
        <is>
          <t>Duct bank</t>
        </is>
      </c>
      <c r="T5631" s="17" t="n">
        <v>230</v>
      </c>
      <c r="U5631" s="17" t="n">
        <v>32</v>
      </c>
      <c r="V5631" s="17">
        <f>ROUNDUP((T5631+U5631+2*'Read Me'!$B$13)*(1+'Read Me'!$B$12),-1)</f>
        <v/>
      </c>
      <c r="W5631" s="17">
        <f>V5631*N5631*O5631</f>
        <v/>
      </c>
      <c r="X5631" s="12">
        <f>IF(LEFT(I5631,2)="MV",2*N5631*IF(L5631="1/C",O5631,1),0)</f>
        <v/>
      </c>
      <c r="Y5631" s="12">
        <f>IF(OR(LEFT(K5631,4)="LVAX",LEFT(K5631,6)="MV15AX",LEFT(K5631,4)="CTAX",LEFT(K5631,2)="W|"),2*N5631*O5631,0)</f>
        <v/>
      </c>
      <c r="Z5631" s="12" t="inlineStr">
        <is>
          <t>VD 1.8 %</t>
        </is>
      </c>
      <c r="AA5631" s="12">
        <f>N5631*O5631</f>
        <v/>
      </c>
    </row>
    <row r="5632">
      <c r="A5632" s="12" t="inlineStr">
        <is>
          <t>K-P-0030</t>
        </is>
      </c>
      <c r="B5632" s="12" t="inlineStr">
        <is>
          <t>K</t>
        </is>
      </c>
      <c r="C5632" s="12" t="inlineStr">
        <is>
          <t>Fuel supply (adjacent market)</t>
        </is>
      </c>
      <c r="D5632" s="12" t="inlineStr">
        <is>
          <t>LV power feeder</t>
        </is>
      </c>
      <c r="E5632" s="12" t="inlineStr"/>
      <c r="F5632" s="12" t="inlineStr">
        <is>
          <t>LNG 17: LNG e-house (13.8 kV / 480 V)</t>
        </is>
      </c>
      <c r="G5632" s="12" t="inlineStr">
        <is>
          <t>LNG-T3</t>
        </is>
      </c>
      <c r="H5632" s="12" t="inlineStr">
        <is>
          <t>LNG 11: tank 3, Chart HS 50000 (51,780 gal)</t>
        </is>
      </c>
      <c r="I5632" s="12" t="inlineStr">
        <is>
          <t>LV 600 V</t>
        </is>
      </c>
      <c r="J5632" s="12" t="inlineStr">
        <is>
          <t>ARMOR-X MC-HL 600 V 3/C Cu XHHW-2 + ground, CWA, black PVC (Class I Div 2)</t>
        </is>
      </c>
      <c r="K5632" s="12" t="inlineStr">
        <is>
          <t>LVAX|3/C+G|10</t>
        </is>
      </c>
      <c r="L5632" s="12" t="inlineStr">
        <is>
          <t>3/C+G</t>
        </is>
      </c>
      <c r="M5632" s="12" t="inlineStr">
        <is>
          <t>10</t>
        </is>
      </c>
      <c r="N5632" s="12" t="n">
        <v>1</v>
      </c>
      <c r="O5632" s="12" t="n">
        <v>1</v>
      </c>
      <c r="P5632" s="12" t="n">
        <v>480</v>
      </c>
      <c r="Q5632" s="12" t="n">
        <v>10</v>
      </c>
      <c r="R5632" s="12" t="n">
        <v>14.2</v>
      </c>
      <c r="S5632" s="12" t="inlineStr">
        <is>
          <t>Duct bank</t>
        </is>
      </c>
      <c r="T5632" s="17" t="n">
        <v>250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is>
          <t>VD 1.9 %</t>
        </is>
      </c>
      <c r="AA5632" s="12">
        <f>N5632*O5632</f>
        <v/>
      </c>
    </row>
    <row r="5633">
      <c r="A5633" s="12" t="inlineStr">
        <is>
          <t>K-P-0031</t>
        </is>
      </c>
      <c r="B5633" s="12" t="inlineStr">
        <is>
          <t>K</t>
        </is>
      </c>
      <c r="C5633" s="12" t="inlineStr">
        <is>
          <t>Fuel supply (adjacent market)</t>
        </is>
      </c>
      <c r="D5633" s="12" t="inlineStr">
        <is>
          <t>LV power feeder</t>
        </is>
      </c>
      <c r="E5633" s="12" t="inlineStr"/>
      <c r="F5633" s="12" t="inlineStr">
        <is>
          <t>LNG 17: LNG e-house (13.8 kV / 480 V)</t>
        </is>
      </c>
      <c r="G5633" s="12" t="inlineStr">
        <is>
          <t>LNG-T4</t>
        </is>
      </c>
      <c r="H5633" s="12" t="inlineStr">
        <is>
          <t>LNG 11: tank 4, Chart HS 50000 (51,780 gal)</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10</v>
      </c>
      <c r="R5633" s="12" t="n">
        <v>14.2</v>
      </c>
      <c r="S5633" s="12" t="inlineStr">
        <is>
          <t>Duct bank</t>
        </is>
      </c>
      <c r="T5633" s="17" t="n">
        <v>270</v>
      </c>
      <c r="U5633" s="17" t="n">
        <v>32</v>
      </c>
      <c r="V5633" s="17">
        <f>ROUNDUP((T5633+U5633+2*'Read Me'!$B$13)*(1+'Read Me'!$B$12),-1)</f>
        <v/>
      </c>
      <c r="W5633" s="17">
        <f>V5633*N5633*O5633</f>
        <v/>
      </c>
      <c r="X5633" s="12">
        <f>IF(LEFT(I5633,2)="MV",2*N5633*IF(L5633="1/C",O5633,1),0)</f>
        <v/>
      </c>
      <c r="Y5633" s="12">
        <f>IF(OR(LEFT(K5633,4)="LVAX",LEFT(K5633,6)="MV15AX",LEFT(K5633,4)="CTAX",LEFT(K5633,2)="W|"),2*N5633*O5633,0)</f>
        <v/>
      </c>
      <c r="Z5633" s="12" t="inlineStr">
        <is>
          <t>VD 2.1 %</t>
        </is>
      </c>
      <c r="AA5633" s="12">
        <f>N5633*O5633</f>
        <v/>
      </c>
    </row>
    <row r="5634">
      <c r="A5634" s="12" t="inlineStr">
        <is>
          <t>K-P-0032</t>
        </is>
      </c>
      <c r="B5634" s="12" t="inlineStr">
        <is>
          <t>K</t>
        </is>
      </c>
      <c r="C5634" s="12" t="inlineStr">
        <is>
          <t>Fuel supply (adjacent market)</t>
        </is>
      </c>
      <c r="D5634" s="12" t="inlineStr">
        <is>
          <t>LV power feeder</t>
        </is>
      </c>
      <c r="E5634" s="12" t="inlineStr"/>
      <c r="F5634" s="12" t="inlineStr">
        <is>
          <t>LNG 17: LNG e-house (13.8 kV / 480 V)</t>
        </is>
      </c>
      <c r="G5634" s="12" t="inlineStr">
        <is>
          <t>LNG-T5</t>
        </is>
      </c>
      <c r="H5634" s="12" t="inlineStr">
        <is>
          <t>LNG 11: tank 5, Chart HS 50000 (51,780 gal)</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10</v>
      </c>
      <c r="R5634" s="12" t="n">
        <v>14.2</v>
      </c>
      <c r="S5634" s="12" t="inlineStr">
        <is>
          <t>Duct bank</t>
        </is>
      </c>
      <c r="T5634" s="17" t="n">
        <v>290</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is>
          <t>VD 2.2 %</t>
        </is>
      </c>
      <c r="AA5634" s="12">
        <f>N5634*O5634</f>
        <v/>
      </c>
    </row>
    <row r="5635">
      <c r="A5635" s="12" t="inlineStr">
        <is>
          <t>K-P-0033</t>
        </is>
      </c>
      <c r="B5635" s="12" t="inlineStr">
        <is>
          <t>K</t>
        </is>
      </c>
      <c r="C5635" s="12" t="inlineStr">
        <is>
          <t>Fuel supply (adjacent market)</t>
        </is>
      </c>
      <c r="D5635" s="12" t="inlineStr">
        <is>
          <t>LV power feeder</t>
        </is>
      </c>
      <c r="E5635" s="12" t="inlineStr"/>
      <c r="F5635" s="12" t="inlineStr">
        <is>
          <t>LNG 17: LNG e-house (13.8 kV / 480 V)</t>
        </is>
      </c>
      <c r="G5635" s="12" t="inlineStr">
        <is>
          <t>LNG-T6</t>
        </is>
      </c>
      <c r="H5635" s="12" t="inlineStr">
        <is>
          <t>LNG 11: tank 6, Chart HS 50000 (51,780 gal)</t>
        </is>
      </c>
      <c r="I5635" s="12" t="inlineStr">
        <is>
          <t>LV 600 V</t>
        </is>
      </c>
      <c r="J5635" s="12" t="inlineStr">
        <is>
          <t>ARMOR-X MC-HL 600 V 3/C Cu XHHW-2 + ground, CWA, black PVC (Class I Div 2)</t>
        </is>
      </c>
      <c r="K5635" s="12" t="inlineStr">
        <is>
          <t>LVAX|3/C+G|10</t>
        </is>
      </c>
      <c r="L5635" s="12" t="inlineStr">
        <is>
          <t>3/C+G</t>
        </is>
      </c>
      <c r="M5635" s="12" t="inlineStr">
        <is>
          <t>10</t>
        </is>
      </c>
      <c r="N5635" s="12" t="n">
        <v>1</v>
      </c>
      <c r="O5635" s="12" t="n">
        <v>1</v>
      </c>
      <c r="P5635" s="12" t="n">
        <v>480</v>
      </c>
      <c r="Q5635" s="12" t="n">
        <v>10</v>
      </c>
      <c r="R5635" s="12" t="n">
        <v>14.2</v>
      </c>
      <c r="S5635" s="12" t="inlineStr">
        <is>
          <t>Duct bank</t>
        </is>
      </c>
      <c r="T5635" s="17" t="n">
        <v>310</v>
      </c>
      <c r="U5635" s="17" t="n">
        <v>32</v>
      </c>
      <c r="V5635" s="17">
        <f>ROUNDUP((T5635+U5635+2*'Read Me'!$B$13)*(1+'Read Me'!$B$12),-1)</f>
        <v/>
      </c>
      <c r="W5635" s="17">
        <f>V5635*N5635*O5635</f>
        <v/>
      </c>
      <c r="X5635" s="12">
        <f>IF(LEFT(I5635,2)="MV",2*N5635*IF(L5635="1/C",O5635,1),0)</f>
        <v/>
      </c>
      <c r="Y5635" s="12">
        <f>IF(OR(LEFT(K5635,4)="LVAX",LEFT(K5635,6)="MV15AX",LEFT(K5635,4)="CTAX",LEFT(K5635,2)="W|"),2*N5635*O5635,0)</f>
        <v/>
      </c>
      <c r="Z5635" s="12" t="inlineStr">
        <is>
          <t>VD 2.3 %</t>
        </is>
      </c>
      <c r="AA5635" s="12">
        <f>N5635*O5635</f>
        <v/>
      </c>
    </row>
    <row r="5636">
      <c r="A5636" s="12" t="inlineStr">
        <is>
          <t>K-P-0034</t>
        </is>
      </c>
      <c r="B5636" s="12" t="inlineStr">
        <is>
          <t>K</t>
        </is>
      </c>
      <c r="C5636" s="12" t="inlineStr">
        <is>
          <t>Fuel supply (adjacent market)</t>
        </is>
      </c>
      <c r="D5636" s="12" t="inlineStr">
        <is>
          <t>LV power feeder</t>
        </is>
      </c>
      <c r="E5636" s="12" t="inlineStr"/>
      <c r="F5636" s="12" t="inlineStr">
        <is>
          <t>LNG 17: LNG e-house (13.8 kV / 480 V)</t>
        </is>
      </c>
      <c r="G5636" s="12" t="inlineStr">
        <is>
          <t>LNG-T7</t>
        </is>
      </c>
      <c r="H5636" s="12" t="inlineStr">
        <is>
          <t>LNG 11: tank 7, Chart HS 50000 (51,780 gal)</t>
        </is>
      </c>
      <c r="I5636" s="12" t="inlineStr">
        <is>
          <t>LV 600 V</t>
        </is>
      </c>
      <c r="J5636" s="12" t="inlineStr">
        <is>
          <t>ARMOR-X MC-HL 600 V 3/C Cu XHHW-2 + ground, CWA, black PVC (Class I Div 2)</t>
        </is>
      </c>
      <c r="K5636" s="12" t="inlineStr">
        <is>
          <t>LVAX|3/C+G|10</t>
        </is>
      </c>
      <c r="L5636" s="12" t="inlineStr">
        <is>
          <t>3/C+G</t>
        </is>
      </c>
      <c r="M5636" s="12" t="inlineStr">
        <is>
          <t>10</t>
        </is>
      </c>
      <c r="N5636" s="12" t="n">
        <v>1</v>
      </c>
      <c r="O5636" s="12" t="n">
        <v>1</v>
      </c>
      <c r="P5636" s="12" t="n">
        <v>480</v>
      </c>
      <c r="Q5636" s="12" t="n">
        <v>10</v>
      </c>
      <c r="R5636" s="12" t="n">
        <v>14.2</v>
      </c>
      <c r="S5636" s="12" t="inlineStr">
        <is>
          <t>Duct bank</t>
        </is>
      </c>
      <c r="T5636" s="17" t="n">
        <v>330</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K-P-0035</t>
        </is>
      </c>
      <c r="B5637" s="12" t="inlineStr">
        <is>
          <t>K</t>
        </is>
      </c>
      <c r="C5637" s="12" t="inlineStr">
        <is>
          <t>Fuel supply (adjacent market)</t>
        </is>
      </c>
      <c r="D5637" s="12" t="inlineStr">
        <is>
          <t>LV power feeder</t>
        </is>
      </c>
      <c r="E5637" s="12" t="inlineStr"/>
      <c r="F5637" s="12" t="inlineStr">
        <is>
          <t>LNG 17: LNG e-house (13.8 kV / 480 V)</t>
        </is>
      </c>
      <c r="G5637" s="12" t="inlineStr">
        <is>
          <t>LNG-T8</t>
        </is>
      </c>
      <c r="H5637" s="12" t="inlineStr">
        <is>
          <t>LNG 11: tank 8, Chart HS 50000 (51,780 gal)</t>
        </is>
      </c>
      <c r="I5637" s="12" t="inlineStr">
        <is>
          <t>LV 600 V</t>
        </is>
      </c>
      <c r="J5637" s="12" t="inlineStr">
        <is>
          <t>ARMOR-X MC-HL 600 V 3/C Cu XHHW-2 + ground, CWA, black PVC (Class I Div 2)</t>
        </is>
      </c>
      <c r="K5637" s="12" t="inlineStr">
        <is>
          <t>LVAX|3/C+G|10</t>
        </is>
      </c>
      <c r="L5637" s="12" t="inlineStr">
        <is>
          <t>3/C+G</t>
        </is>
      </c>
      <c r="M5637" s="12" t="inlineStr">
        <is>
          <t>10</t>
        </is>
      </c>
      <c r="N5637" s="12" t="n">
        <v>1</v>
      </c>
      <c r="O5637" s="12" t="n">
        <v>1</v>
      </c>
      <c r="P5637" s="12" t="n">
        <v>480</v>
      </c>
      <c r="Q5637" s="12" t="n">
        <v>10</v>
      </c>
      <c r="R5637" s="12" t="n">
        <v>14.2</v>
      </c>
      <c r="S5637" s="12" t="inlineStr">
        <is>
          <t>Duct bank</t>
        </is>
      </c>
      <c r="T5637" s="17" t="n">
        <v>350</v>
      </c>
      <c r="U5637" s="17" t="n">
        <v>32</v>
      </c>
      <c r="V5637" s="17">
        <f>ROUNDUP((T5637+U5637+2*'Read Me'!$B$13)*(1+'Read Me'!$B$12),-1)</f>
        <v/>
      </c>
      <c r="W5637" s="17">
        <f>V5637*N5637*O5637</f>
        <v/>
      </c>
      <c r="X5637" s="12">
        <f>IF(LEFT(I5637,2)="MV",2*N5637*IF(L5637="1/C",O5637,1),0)</f>
        <v/>
      </c>
      <c r="Y5637" s="12">
        <f>IF(OR(LEFT(K5637,4)="LVAX",LEFT(K5637,6)="MV15AX",LEFT(K5637,4)="CTAX",LEFT(K5637,2)="W|"),2*N5637*O5637,0)</f>
        <v/>
      </c>
      <c r="Z5637" s="12" t="inlineStr">
        <is>
          <t>VD 2.6 %</t>
        </is>
      </c>
      <c r="AA5637" s="12">
        <f>N5637*O5637</f>
        <v/>
      </c>
    </row>
    <row r="5638">
      <c r="A5638" s="12" t="inlineStr">
        <is>
          <t>K-P-0036</t>
        </is>
      </c>
      <c r="B5638" s="12" t="inlineStr">
        <is>
          <t>K</t>
        </is>
      </c>
      <c r="C5638" s="12" t="inlineStr">
        <is>
          <t>Fuel supply (adjacent market)</t>
        </is>
      </c>
      <c r="D5638" s="12" t="inlineStr">
        <is>
          <t>Motor 1 of 1, 15 kW</t>
        </is>
      </c>
      <c r="E5638" s="12" t="inlineStr"/>
      <c r="F5638" s="12" t="inlineStr">
        <is>
          <t>LNG 17: LNG e-house (13.8 kV / 480 V)</t>
        </is>
      </c>
      <c r="G5638" s="12" t="inlineStr"/>
      <c r="H5638" s="12" t="inlineStr">
        <is>
          <t>LNG 12: spill impoundment (NFPA 59A, to verify)</t>
        </is>
      </c>
      <c r="I5638" s="12" t="inlineStr">
        <is>
          <t>LV 600 V</t>
        </is>
      </c>
      <c r="J5638" s="12" t="inlineStr">
        <is>
          <t>ARMOR-X MC-HL 600 V 3/C Cu XHHW-2 + ground, CWA, black PVC (Class I Div 2)</t>
        </is>
      </c>
      <c r="K5638" s="12" t="inlineStr">
        <is>
          <t>LVAX|3/C+G|10</t>
        </is>
      </c>
      <c r="L5638" s="12" t="inlineStr">
        <is>
          <t>3/C+G</t>
        </is>
      </c>
      <c r="M5638" s="12" t="inlineStr">
        <is>
          <t>10</t>
        </is>
      </c>
      <c r="N5638" s="12" t="n">
        <v>1</v>
      </c>
      <c r="O5638" s="12" t="n">
        <v>1</v>
      </c>
      <c r="P5638" s="12" t="n">
        <v>480</v>
      </c>
      <c r="Q5638" s="12" t="n">
        <v>15</v>
      </c>
      <c r="R5638" s="12" t="n">
        <v>21.2</v>
      </c>
      <c r="S5638" s="12" t="inlineStr">
        <is>
          <t>Duct bank</t>
        </is>
      </c>
      <c r="T5638" s="17" t="n">
        <v>230</v>
      </c>
      <c r="U5638" s="17" t="n">
        <v>32</v>
      </c>
      <c r="V5638" s="17">
        <f>ROUNDUP((T5638+U5638+2*'Read Me'!$B$13)*(1+'Read Me'!$B$12),-1)</f>
        <v/>
      </c>
      <c r="W5638" s="17">
        <f>V5638*N5638*O5638</f>
        <v/>
      </c>
      <c r="X5638" s="12">
        <f>IF(LEFT(I5638,2)="MV",2*N5638*IF(L5638="1/C",O5638,1),0)</f>
        <v/>
      </c>
      <c r="Y5638" s="12">
        <f>IF(OR(LEFT(K5638,4)="LVAX",LEFT(K5638,6)="MV15AX",LEFT(K5638,4)="CTAX",LEFT(K5638,2)="W|"),2*N5638*O5638,0)</f>
        <v/>
      </c>
      <c r="Z5638" s="12" t="inlineStr">
        <is>
          <t>VD 2.7 %</t>
        </is>
      </c>
      <c r="AA5638" s="12">
        <f>N5638*O5638</f>
        <v/>
      </c>
    </row>
    <row r="5639">
      <c r="A5639" s="12" t="inlineStr">
        <is>
          <t>K-P-0037</t>
        </is>
      </c>
      <c r="B5639" s="12" t="inlineStr">
        <is>
          <t>K</t>
        </is>
      </c>
      <c r="C5639" s="12" t="inlineStr">
        <is>
          <t>Fuel supply (adjacent market)</t>
        </is>
      </c>
      <c r="D5639" s="12" t="inlineStr">
        <is>
          <t>Motor 1 of 1, 15 kW</t>
        </is>
      </c>
      <c r="E5639" s="12" t="inlineStr"/>
      <c r="F5639" s="12" t="inlineStr">
        <is>
          <t>LNG 17: LNG e-house (13.8 kV / 480 V)</t>
        </is>
      </c>
      <c r="G5639" s="12" t="inlineStr"/>
      <c r="H5639" s="12" t="inlineStr">
        <is>
          <t>LNG 13: send-out pumps 2 x 100%</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7" t="n">
        <v>110</v>
      </c>
      <c r="U5639" s="17" t="n">
        <v>32</v>
      </c>
      <c r="V5639" s="17">
        <f>ROUNDUP((T5639+U5639+2*'Read Me'!$B$13)*(1+'Read Me'!$B$12),-1)</f>
        <v/>
      </c>
      <c r="W5639" s="17">
        <f>V5639*N5639*O5639</f>
        <v/>
      </c>
      <c r="X5639" s="12">
        <f>IF(LEFT(I5639,2)="MV",2*N5639*IF(L5639="1/C",O5639,1),0)</f>
        <v/>
      </c>
      <c r="Y5639" s="12">
        <f>IF(OR(LEFT(K5639,4)="LVAX",LEFT(K5639,6)="MV15AX",LEFT(K5639,4)="CTAX",LEFT(K5639,2)="W|"),2*N5639*O5639,0)</f>
        <v/>
      </c>
      <c r="Z5639" s="12" t="inlineStr">
        <is>
          <t>VD 1.4 %</t>
        </is>
      </c>
      <c r="AA5639" s="12">
        <f>N5639*O5639</f>
        <v/>
      </c>
    </row>
    <row r="5640">
      <c r="A5640" s="12" t="inlineStr">
        <is>
          <t>K-P-0038</t>
        </is>
      </c>
      <c r="B5640" s="12" t="inlineStr">
        <is>
          <t>K</t>
        </is>
      </c>
      <c r="C5640" s="12" t="inlineStr">
        <is>
          <t>Fuel supply (adjacent market)</t>
        </is>
      </c>
      <c r="D5640" s="12" t="inlineStr">
        <is>
          <t>Motor 1 of 1, 15 kW</t>
        </is>
      </c>
      <c r="E5640" s="12" t="inlineStr"/>
      <c r="F5640" s="12" t="inlineStr">
        <is>
          <t>LNG 17: LNG e-house (13.8 kV / 480 V)</t>
        </is>
      </c>
      <c r="G5640" s="12" t="inlineStr"/>
      <c r="H5640" s="12" t="inlineStr">
        <is>
          <t>LNG 14: vaporizers + glycol heater</t>
        </is>
      </c>
      <c r="I5640" s="12" t="inlineStr">
        <is>
          <t>LV 600 V</t>
        </is>
      </c>
      <c r="J5640" s="12" t="inlineStr">
        <is>
          <t>ARMOR-X MC-HL 600 V 3/C Cu XHHW-2 + ground, CWA, black PVC (Class I Div 2)</t>
        </is>
      </c>
      <c r="K5640" s="12" t="inlineStr">
        <is>
          <t>LVAX|3/C+G|10</t>
        </is>
      </c>
      <c r="L5640" s="12" t="inlineStr">
        <is>
          <t>3/C+G</t>
        </is>
      </c>
      <c r="M5640" s="12" t="inlineStr">
        <is>
          <t>10</t>
        </is>
      </c>
      <c r="N5640" s="12" t="n">
        <v>1</v>
      </c>
      <c r="O5640" s="12" t="n">
        <v>1</v>
      </c>
      <c r="P5640" s="12" t="n">
        <v>480</v>
      </c>
      <c r="Q5640" s="12" t="n">
        <v>15</v>
      </c>
      <c r="R5640" s="12" t="n">
        <v>21.2</v>
      </c>
      <c r="S5640" s="12" t="inlineStr">
        <is>
          <t>Duct bank</t>
        </is>
      </c>
      <c r="T5640" s="17" t="n">
        <v>259</v>
      </c>
      <c r="U5640" s="17" t="n">
        <v>32</v>
      </c>
      <c r="V5640" s="17">
        <f>ROUNDUP((T5640+U5640+2*'Read Me'!$B$13)*(1+'Read Me'!$B$12),-1)</f>
        <v/>
      </c>
      <c r="W5640" s="17">
        <f>V5640*N5640*O5640</f>
        <v/>
      </c>
      <c r="X5640" s="12">
        <f>IF(LEFT(I5640,2)="MV",2*N5640*IF(L5640="1/C",O5640,1),0)</f>
        <v/>
      </c>
      <c r="Y5640" s="12">
        <f>IF(OR(LEFT(K5640,4)="LVAX",LEFT(K5640,6)="MV15AX",LEFT(K5640,4)="CTAX",LEFT(K5640,2)="W|"),2*N5640*O5640,0)</f>
        <v/>
      </c>
      <c r="Z5640" s="12" t="inlineStr">
        <is>
          <t>VD 3.0 %</t>
        </is>
      </c>
      <c r="AA5640" s="12">
        <f>N5640*O5640</f>
        <v/>
      </c>
    </row>
    <row r="5641">
      <c r="A5641" s="12" t="inlineStr">
        <is>
          <t>K-P-0039</t>
        </is>
      </c>
      <c r="B5641" s="12" t="inlineStr">
        <is>
          <t>K</t>
        </is>
      </c>
      <c r="C5641" s="12" t="inlineStr">
        <is>
          <t>Fuel supply (adjacent market)</t>
        </is>
      </c>
      <c r="D5641" s="12" t="inlineStr">
        <is>
          <t>Motor 1 of 1, 15 kW</t>
        </is>
      </c>
      <c r="E5641" s="12" t="inlineStr"/>
      <c r="F5641" s="12" t="inlineStr">
        <is>
          <t>LNG 17: LNG e-house (13.8 kV / 480 V)</t>
        </is>
      </c>
      <c r="G5641" s="12" t="inlineStr"/>
      <c r="H5641" s="12" t="inlineStr">
        <is>
          <t>LNG 15: boil-off gas compressor</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7" t="n">
        <v>25</v>
      </c>
      <c r="U5641" s="17" t="n">
        <v>54</v>
      </c>
      <c r="V5641" s="17">
        <f>ROUNDUP((T5641+U5641+2*'Read Me'!$B$13)*(1+'Read Me'!$B$12),-1)</f>
        <v/>
      </c>
      <c r="W5641" s="17">
        <f>V5641*N5641*O5641</f>
        <v/>
      </c>
      <c r="X5641" s="12">
        <f>IF(LEFT(I5641,2)="MV",2*N5641*IF(L5641="1/C",O5641,1),0)</f>
        <v/>
      </c>
      <c r="Y5641" s="12">
        <f>IF(OR(LEFT(K5641,4)="LVAX",LEFT(K5641,6)="MV15AX",LEFT(K5641,4)="CTAX",LEFT(K5641,2)="W|"),2*N5641*O5641,0)</f>
        <v/>
      </c>
      <c r="Z5641" s="12" t="inlineStr">
        <is>
          <t>VD 0.8 %</t>
        </is>
      </c>
      <c r="AA5641" s="12">
        <f>N5641*O5641</f>
        <v/>
      </c>
    </row>
    <row r="5642">
      <c r="A5642" s="12" t="inlineStr">
        <is>
          <t>K-P-0040</t>
        </is>
      </c>
      <c r="B5642" s="12" t="inlineStr">
        <is>
          <t>K</t>
        </is>
      </c>
      <c r="C5642" s="12" t="inlineStr">
        <is>
          <t>Fuel supply (adjacent market)</t>
        </is>
      </c>
      <c r="D5642" s="12" t="inlineStr">
        <is>
          <t>Motor 1 of 1, 15 kW</t>
        </is>
      </c>
      <c r="E5642" s="12" t="inlineStr"/>
      <c r="F5642" s="12" t="inlineStr">
        <is>
          <t>LNG 17: LNG e-house (13.8 kV / 480 V)</t>
        </is>
      </c>
      <c r="G5642" s="12" t="inlineStr"/>
      <c r="H5642" s="12" t="inlineStr">
        <is>
          <t>LNG 16: send-out metering + pressure control</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7" t="n">
        <v>20</v>
      </c>
      <c r="U5642" s="17" t="n">
        <v>32</v>
      </c>
      <c r="V5642" s="17">
        <f>ROUNDUP((T5642+U5642+2*'Read Me'!$B$13)*(1+'Read Me'!$B$12),-1)</f>
        <v/>
      </c>
      <c r="W5642" s="17">
        <f>V5642*N5642*O5642</f>
        <v/>
      </c>
      <c r="X5642" s="12">
        <f>IF(LEFT(I5642,2)="MV",2*N5642*IF(L5642="1/C",O5642,1),0)</f>
        <v/>
      </c>
      <c r="Y5642" s="12">
        <f>IF(OR(LEFT(K5642,4)="LVAX",LEFT(K5642,6)="MV15AX",LEFT(K5642,4)="CTAX",LEFT(K5642,2)="W|"),2*N5642*O5642,0)</f>
        <v/>
      </c>
      <c r="Z5642" s="12" t="inlineStr">
        <is>
          <t>VD 0.5 %</t>
        </is>
      </c>
      <c r="AA5642" s="12">
        <f>N5642*O5642</f>
        <v/>
      </c>
    </row>
    <row r="5643">
      <c r="A5643" s="12" t="inlineStr">
        <is>
          <t>K-P-0041</t>
        </is>
      </c>
      <c r="B5643" s="12" t="inlineStr">
        <is>
          <t>K</t>
        </is>
      </c>
      <c r="C5643" s="12" t="inlineStr">
        <is>
          <t>Fuel supply (adjacent market)</t>
        </is>
      </c>
      <c r="D5643" s="12" t="inlineStr">
        <is>
          <t>Motor 1 of 1, 15 kW</t>
        </is>
      </c>
      <c r="E5643" s="12" t="inlineStr"/>
      <c r="F5643" s="12" t="inlineStr">
        <is>
          <t>LNG 17: LNG e-house (13.8 kV / 480 V)</t>
        </is>
      </c>
      <c r="G5643" s="12" t="inlineStr"/>
      <c r="H5643" s="12" t="inlineStr">
        <is>
          <t>LNG 17: LNG e-house (13.8 kV / 480 V)</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Tray</t>
        </is>
      </c>
      <c r="T5643" s="17" t="n">
        <v>0</v>
      </c>
      <c r="U5643" s="17" t="n">
        <v>32</v>
      </c>
      <c r="V5643" s="17">
        <f>ROUNDUP((T5643+U5643+2*'Read Me'!$B$13)*(1+'Read Me'!$B$12),-1)</f>
        <v/>
      </c>
      <c r="W5643" s="17">
        <f>V5643*N5643*O5643</f>
        <v/>
      </c>
      <c r="X5643" s="12">
        <f>IF(LEFT(I5643,2)="MV",2*N5643*IF(L5643="1/C",O5643,1),0)</f>
        <v/>
      </c>
      <c r="Y5643" s="12">
        <f>IF(OR(LEFT(K5643,4)="LVAX",LEFT(K5643,6)="MV15AX",LEFT(K5643,4)="CTAX",LEFT(K5643,2)="W|"),2*N5643*O5643,0)</f>
        <v/>
      </c>
      <c r="Z5643" s="12" t="inlineStr">
        <is>
          <t>VD 0.3 %</t>
        </is>
      </c>
      <c r="AA5643" s="12">
        <f>N5643*O5643</f>
        <v/>
      </c>
    </row>
    <row r="5644">
      <c r="A5644" s="12" t="inlineStr">
        <is>
          <t>K-P-0042</t>
        </is>
      </c>
      <c r="B5644" s="12" t="inlineStr">
        <is>
          <t>K</t>
        </is>
      </c>
      <c r="C5644" s="12" t="inlineStr">
        <is>
          <t>Fuel supply (adjacent market)</t>
        </is>
      </c>
      <c r="D5644" s="12" t="inlineStr">
        <is>
          <t>Motor 1 of 1, 15 kW</t>
        </is>
      </c>
      <c r="E5644" s="12" t="inlineStr"/>
      <c r="F5644" s="12" t="inlineStr">
        <is>
          <t>LNG 17: LNG e-house (13.8 kV / 480 V)</t>
        </is>
      </c>
      <c r="G5644" s="12" t="inlineStr"/>
      <c r="H5644" s="12" t="inlineStr">
        <is>
          <t>LNG 18: vent stack</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7" t="n">
        <v>25</v>
      </c>
      <c r="U5644" s="17" t="n">
        <v>117</v>
      </c>
      <c r="V5644" s="17">
        <f>ROUNDUP((T5644+U5644+2*'Read Me'!$B$13)*(1+'Read Me'!$B$12),-1)</f>
        <v/>
      </c>
      <c r="W5644" s="17">
        <f>V5644*N5644*O5644</f>
        <v/>
      </c>
      <c r="X5644" s="12">
        <f>IF(LEFT(I5644,2)="MV",2*N5644*IF(L5644="1/C",O5644,1),0)</f>
        <v/>
      </c>
      <c r="Y5644" s="12">
        <f>IF(OR(LEFT(K5644,4)="LVAX",LEFT(K5644,6)="MV15AX",LEFT(K5644,4)="CTAX",LEFT(K5644,2)="W|"),2*N5644*O5644,0)</f>
        <v/>
      </c>
      <c r="Z5644" s="12" t="inlineStr">
        <is>
          <t>VD 1.4 %</t>
        </is>
      </c>
      <c r="AA5644" s="12">
        <f>N5644*O5644</f>
        <v/>
      </c>
    </row>
    <row r="5645">
      <c r="A5645" s="12" t="inlineStr">
        <is>
          <t>K-P-0043</t>
        </is>
      </c>
      <c r="B5645" s="12" t="inlineStr">
        <is>
          <t>K</t>
        </is>
      </c>
      <c r="C5645" s="12" t="inlineStr">
        <is>
          <t>Fuel supply (adjacent market)</t>
        </is>
      </c>
      <c r="D5645" s="12" t="inlineStr">
        <is>
          <t>LV power feeder</t>
        </is>
      </c>
      <c r="E5645" s="12" t="inlineStr"/>
      <c r="F5645" s="12" t="inlineStr">
        <is>
          <t>LNG 17: LNG e-house (13.8 kV / 480 V)</t>
        </is>
      </c>
      <c r="G5645" s="12" t="inlineStr"/>
      <c r="H5645" s="12" t="inlineStr">
        <is>
          <t>LNG impoundment sump pump</t>
        </is>
      </c>
      <c r="I5645" s="12" t="inlineStr">
        <is>
          <t>LV 600 V</t>
        </is>
      </c>
      <c r="J5645" s="12" t="inlineStr">
        <is>
          <t>ARMOR-X MC-HL 600 V 3/C Cu XHHW-2 + ground, CWA, black PVC (Class I Div 2)</t>
        </is>
      </c>
      <c r="K5645" s="12" t="inlineStr">
        <is>
          <t>LVAX|3/C+G|8</t>
        </is>
      </c>
      <c r="L5645" s="12" t="inlineStr">
        <is>
          <t>3/C+G</t>
        </is>
      </c>
      <c r="M5645" s="12" t="inlineStr">
        <is>
          <t>8</t>
        </is>
      </c>
      <c r="N5645" s="12" t="n">
        <v>1</v>
      </c>
      <c r="O5645" s="12" t="n">
        <v>1</v>
      </c>
      <c r="P5645" s="12" t="n">
        <v>480</v>
      </c>
      <c r="Q5645" s="12" t="n">
        <v>15</v>
      </c>
      <c r="R5645" s="12" t="n">
        <v>21.2</v>
      </c>
      <c r="S5645" s="12" t="inlineStr">
        <is>
          <t>Duct bank</t>
        </is>
      </c>
      <c r="T5645" s="17" t="n">
        <v>334</v>
      </c>
      <c r="U5645" s="17" t="n">
        <v>32</v>
      </c>
      <c r="V5645" s="17">
        <f>ROUNDUP((T5645+U5645+2*'Read Me'!$B$13)*(1+'Read Me'!$B$12),-1)</f>
        <v/>
      </c>
      <c r="W5645" s="17">
        <f>V5645*N5645*O5645</f>
        <v/>
      </c>
      <c r="X5645" s="12">
        <f>IF(LEFT(I5645,2)="MV",2*N5645*IF(L5645="1/C",O5645,1),0)</f>
        <v/>
      </c>
      <c r="Y5645" s="12">
        <f>IF(OR(LEFT(K5645,4)="LVAX",LEFT(K5645,6)="MV15AX",LEFT(K5645,4)="CTAX",LEFT(K5645,2)="W|"),2*N5645*O5645,0)</f>
        <v/>
      </c>
      <c r="Z5645" s="12" t="inlineStr">
        <is>
          <t>VD 2.4 %</t>
        </is>
      </c>
      <c r="AA5645" s="12">
        <f>N5645*O5645</f>
        <v/>
      </c>
    </row>
    <row r="5646">
      <c r="A5646" s="12" t="inlineStr">
        <is>
          <t>K-P-0044</t>
        </is>
      </c>
      <c r="B5646" s="12" t="inlineStr">
        <is>
          <t>K</t>
        </is>
      </c>
      <c r="C5646" s="12" t="inlineStr">
        <is>
          <t>Fuel supply (adjacent market)</t>
        </is>
      </c>
      <c r="D5646" s="12" t="inlineStr">
        <is>
          <t>LV power feeder</t>
        </is>
      </c>
      <c r="E5646" s="12" t="inlineStr"/>
      <c r="F5646" s="12" t="inlineStr">
        <is>
          <t>LNG 17: LNG e-house (13.8 kV / 480 V)</t>
        </is>
      </c>
      <c r="G5646" s="12" t="inlineStr"/>
      <c r="H5646" s="12" t="inlineStr">
        <is>
          <t>M&amp;R 2: insulating joint + ESD valve</t>
        </is>
      </c>
      <c r="I5646" s="12" t="inlineStr">
        <is>
          <t>LV 600 V</t>
        </is>
      </c>
      <c r="J5646" s="12" t="inlineStr">
        <is>
          <t>ARMOR-X MC-HL 600 V 3/C Cu XHHW-2 + ground, CWA, black PVC (Class I Div 2)</t>
        </is>
      </c>
      <c r="K5646" s="12" t="inlineStr">
        <is>
          <t>LVAX|3/C+G|6</t>
        </is>
      </c>
      <c r="L5646" s="12" t="inlineStr">
        <is>
          <t>3/C+G</t>
        </is>
      </c>
      <c r="M5646" s="12" t="inlineStr">
        <is>
          <t>6</t>
        </is>
      </c>
      <c r="N5646" s="12" t="n">
        <v>1</v>
      </c>
      <c r="O5646" s="12" t="n">
        <v>1</v>
      </c>
      <c r="P5646" s="12" t="n">
        <v>480</v>
      </c>
      <c r="Q5646" s="12" t="n">
        <v>10</v>
      </c>
      <c r="R5646" s="12" t="n">
        <v>14.2</v>
      </c>
      <c r="S5646" s="12" t="inlineStr">
        <is>
          <t>Duct bank</t>
        </is>
      </c>
      <c r="T5646" s="17" t="n">
        <v>758</v>
      </c>
      <c r="U5646" s="17" t="n">
        <v>32</v>
      </c>
      <c r="V5646" s="17">
        <f>ROUNDUP((T5646+U5646+2*'Read Me'!$B$13)*(1+'Read Me'!$B$12),-1)</f>
        <v/>
      </c>
      <c r="W5646" s="17">
        <f>V5646*N5646*O5646</f>
        <v/>
      </c>
      <c r="X5646" s="12">
        <f>IF(LEFT(I5646,2)="MV",2*N5646*IF(L5646="1/C",O5646,1),0)</f>
        <v/>
      </c>
      <c r="Y5646" s="12">
        <f>IF(OR(LEFT(K5646,4)="LVAX",LEFT(K5646,6)="MV15AX",LEFT(K5646,4)="CTAX",LEFT(K5646,2)="W|"),2*N5646*O5646,0)</f>
        <v/>
      </c>
      <c r="Z5646" s="12" t="inlineStr">
        <is>
          <t>VD 2.2 %</t>
        </is>
      </c>
      <c r="AA5646" s="12">
        <f>N5646*O5646</f>
        <v/>
      </c>
    </row>
    <row r="5647">
      <c r="A5647" s="12" t="inlineStr">
        <is>
          <t>K-P-0045</t>
        </is>
      </c>
      <c r="B5647" s="12" t="inlineStr">
        <is>
          <t>K</t>
        </is>
      </c>
      <c r="C5647" s="12" t="inlineStr">
        <is>
          <t>Fuel supply (adjacent market)</t>
        </is>
      </c>
      <c r="D5647" s="12" t="inlineStr">
        <is>
          <t>LV power feeder</t>
        </is>
      </c>
      <c r="E5647" s="12" t="inlineStr"/>
      <c r="F5647" s="12" t="inlineStr">
        <is>
          <t>LNG 17: LNG e-house (13.8 kV / 480 V)</t>
        </is>
      </c>
      <c r="G5647" s="12" t="inlineStr"/>
      <c r="H5647" s="12" t="inlineStr">
        <is>
          <t>M&amp;R 3: horizontal filter-separator</t>
        </is>
      </c>
      <c r="I5647" s="12" t="inlineStr">
        <is>
          <t>LV 600 V</t>
        </is>
      </c>
      <c r="J5647" s="12" t="inlineStr">
        <is>
          <t>ARMOR-X MC-HL 600 V 3/C Cu XHHW-2 + ground, CWA, black PVC (Class I Div 2)</t>
        </is>
      </c>
      <c r="K5647" s="12" t="inlineStr">
        <is>
          <t>LVAX|3/C+G|4</t>
        </is>
      </c>
      <c r="L5647" s="12" t="inlineStr">
        <is>
          <t>3/C+G</t>
        </is>
      </c>
      <c r="M5647" s="12" t="inlineStr">
        <is>
          <t>4</t>
        </is>
      </c>
      <c r="N5647" s="12" t="n">
        <v>1</v>
      </c>
      <c r="O5647" s="12" t="n">
        <v>1</v>
      </c>
      <c r="P5647" s="12" t="n">
        <v>480</v>
      </c>
      <c r="Q5647" s="12" t="n">
        <v>15</v>
      </c>
      <c r="R5647" s="12" t="n">
        <v>21.2</v>
      </c>
      <c r="S5647" s="12" t="inlineStr">
        <is>
          <t>Duct bank</t>
        </is>
      </c>
      <c r="T5647" s="17" t="n">
        <v>797</v>
      </c>
      <c r="U5647" s="17" t="n">
        <v>32</v>
      </c>
      <c r="V5647" s="17">
        <f>ROUNDUP((T5647+U5647+2*'Read Me'!$B$13)*(1+'Read Me'!$B$12),-1)</f>
        <v/>
      </c>
      <c r="W5647" s="17">
        <f>V5647*N5647*O5647</f>
        <v/>
      </c>
      <c r="X5647" s="12">
        <f>IF(LEFT(I5647,2)="MV",2*N5647*IF(L5647="1/C",O5647,1),0)</f>
        <v/>
      </c>
      <c r="Y5647" s="12">
        <f>IF(OR(LEFT(K5647,4)="LVAX",LEFT(K5647,6)="MV15AX",LEFT(K5647,4)="CTAX",LEFT(K5647,2)="W|"),2*N5647*O5647,0)</f>
        <v/>
      </c>
      <c r="Z5647" s="12" t="inlineStr">
        <is>
          <t>VD 2.2 %</t>
        </is>
      </c>
      <c r="AA5647" s="12">
        <f>N5647*O5647</f>
        <v/>
      </c>
    </row>
    <row r="5648">
      <c r="A5648" s="12" t="inlineStr">
        <is>
          <t>K-P-0046</t>
        </is>
      </c>
      <c r="B5648" s="12" t="inlineStr">
        <is>
          <t>K</t>
        </is>
      </c>
      <c r="C5648" s="12" t="inlineStr">
        <is>
          <t>Fuel supply (adjacent market)</t>
        </is>
      </c>
      <c r="D5648" s="12" t="inlineStr">
        <is>
          <t>LV power feeder</t>
        </is>
      </c>
      <c r="E5648" s="12" t="inlineStr"/>
      <c r="F5648" s="12" t="inlineStr">
        <is>
          <t>LNG 17: LNG e-house (13.8 kV / 480 V)</t>
        </is>
      </c>
      <c r="G5648" s="12" t="inlineStr"/>
      <c r="H5648" s="12" t="inlineStr">
        <is>
          <t>M&amp;R 4: line heater 1 (water bath)</t>
        </is>
      </c>
      <c r="I5648" s="12" t="inlineStr">
        <is>
          <t>LV 600 V</t>
        </is>
      </c>
      <c r="J5648" s="12" t="inlineStr">
        <is>
          <t>ARMOR-X MC-HL 600 V 3/C Cu XHHW-2 + ground, CWA, black PVC (Class I Div 2)</t>
        </is>
      </c>
      <c r="K5648" s="12" t="inlineStr">
        <is>
          <t>LVAX|3/C+G|6</t>
        </is>
      </c>
      <c r="L5648" s="12" t="inlineStr">
        <is>
          <t>3/C+G</t>
        </is>
      </c>
      <c r="M5648" s="12" t="inlineStr">
        <is>
          <t>6</t>
        </is>
      </c>
      <c r="N5648" s="12" t="n">
        <v>1</v>
      </c>
      <c r="O5648" s="12" t="n">
        <v>1</v>
      </c>
      <c r="P5648" s="12" t="n">
        <v>480</v>
      </c>
      <c r="Q5648" s="12" t="n">
        <v>15</v>
      </c>
      <c r="R5648" s="12" t="n">
        <v>21.2</v>
      </c>
      <c r="S5648" s="12" t="inlineStr">
        <is>
          <t>Duct bank</t>
        </is>
      </c>
      <c r="T5648" s="17" t="n">
        <v>593</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is>
          <t>VD 2.6 %</t>
        </is>
      </c>
      <c r="AA5648" s="12">
        <f>N5648*O5648</f>
        <v/>
      </c>
    </row>
    <row r="5649">
      <c r="A5649" s="12" t="inlineStr">
        <is>
          <t>K-P-0047</t>
        </is>
      </c>
      <c r="B5649" s="12" t="inlineStr">
        <is>
          <t>K</t>
        </is>
      </c>
      <c r="C5649" s="12" t="inlineStr">
        <is>
          <t>Fuel supply (adjacent market)</t>
        </is>
      </c>
      <c r="D5649" s="12" t="inlineStr">
        <is>
          <t>LV power feeder</t>
        </is>
      </c>
      <c r="E5649" s="12" t="inlineStr"/>
      <c r="F5649" s="12" t="inlineStr">
        <is>
          <t>LNG 17: LNG e-house (13.8 kV / 480 V)</t>
        </is>
      </c>
      <c r="G5649" s="12" t="inlineStr"/>
      <c r="H5649" s="12" t="inlineStr">
        <is>
          <t>M&amp;R 4: line heater 2 (water bath)</t>
        </is>
      </c>
      <c r="I5649" s="12" t="inlineStr">
        <is>
          <t>LV 600 V</t>
        </is>
      </c>
      <c r="J5649" s="12" t="inlineStr">
        <is>
          <t>ARMOR-X MC-HL 600 V 3/C Cu XHHW-2 + ground, CWA, black PVC (Class I Div 2)</t>
        </is>
      </c>
      <c r="K5649" s="12" t="inlineStr">
        <is>
          <t>LVAX|3/C+G|6</t>
        </is>
      </c>
      <c r="L5649" s="12" t="inlineStr">
        <is>
          <t>3/C+G</t>
        </is>
      </c>
      <c r="M5649" s="12" t="inlineStr">
        <is>
          <t>6</t>
        </is>
      </c>
      <c r="N5649" s="12" t="n">
        <v>1</v>
      </c>
      <c r="O5649" s="12" t="n">
        <v>1</v>
      </c>
      <c r="P5649" s="12" t="n">
        <v>480</v>
      </c>
      <c r="Q5649" s="12" t="n">
        <v>15</v>
      </c>
      <c r="R5649" s="12" t="n">
        <v>21.2</v>
      </c>
      <c r="S5649" s="12" t="inlineStr">
        <is>
          <t>Duct bank</t>
        </is>
      </c>
      <c r="T5649" s="17" t="n">
        <v>593</v>
      </c>
      <c r="U5649" s="17" t="n">
        <v>50</v>
      </c>
      <c r="V5649" s="17">
        <f>ROUNDUP((T5649+U5649+2*'Read Me'!$B$13)*(1+'Read Me'!$B$12),-1)</f>
        <v/>
      </c>
      <c r="W5649" s="17">
        <f>V5649*N5649*O5649</f>
        <v/>
      </c>
      <c r="X5649" s="12">
        <f>IF(LEFT(I5649,2)="MV",2*N5649*IF(L5649="1/C",O5649,1),0)</f>
        <v/>
      </c>
      <c r="Y5649" s="12">
        <f>IF(OR(LEFT(K5649,4)="LVAX",LEFT(K5649,6)="MV15AX",LEFT(K5649,4)="CTAX",LEFT(K5649,2)="W|"),2*N5649*O5649,0)</f>
        <v/>
      </c>
      <c r="Z5649" s="12" t="inlineStr">
        <is>
          <t>VD 2.7 %</t>
        </is>
      </c>
      <c r="AA5649" s="12">
        <f>N5649*O5649</f>
        <v/>
      </c>
    </row>
    <row r="5650">
      <c r="A5650" s="12" t="inlineStr">
        <is>
          <t>K-P-0048</t>
        </is>
      </c>
      <c r="B5650" s="12" t="inlineStr">
        <is>
          <t>K</t>
        </is>
      </c>
      <c r="C5650" s="12" t="inlineStr">
        <is>
          <t>Fuel supply (adjacent market)</t>
        </is>
      </c>
      <c r="D5650" s="12" t="inlineStr">
        <is>
          <t>LV power feeder</t>
        </is>
      </c>
      <c r="E5650" s="12" t="inlineStr"/>
      <c r="F5650" s="12" t="inlineStr">
        <is>
          <t>LNG 17: LNG e-house (13.8 kV / 480 V)</t>
        </is>
      </c>
      <c r="G5650" s="12" t="inlineStr"/>
      <c r="H5650" s="12" t="inlineStr">
        <is>
          <t>M&amp;R 4: line heater 3 (water bath)</t>
        </is>
      </c>
      <c r="I5650" s="12" t="inlineStr">
        <is>
          <t>LV 600 V</t>
        </is>
      </c>
      <c r="J5650" s="12" t="inlineStr">
        <is>
          <t>ARMOR-X MC-HL 600 V 3/C Cu XHHW-2 + ground, CWA, black PVC (Class I Div 2)</t>
        </is>
      </c>
      <c r="K5650" s="12" t="inlineStr">
        <is>
          <t>LVAX|3/C+G|6</t>
        </is>
      </c>
      <c r="L5650" s="12" t="inlineStr">
        <is>
          <t>3/C+G</t>
        </is>
      </c>
      <c r="M5650" s="12" t="inlineStr">
        <is>
          <t>6</t>
        </is>
      </c>
      <c r="N5650" s="12" t="n">
        <v>1</v>
      </c>
      <c r="O5650" s="12" t="n">
        <v>1</v>
      </c>
      <c r="P5650" s="12" t="n">
        <v>480</v>
      </c>
      <c r="Q5650" s="12" t="n">
        <v>15</v>
      </c>
      <c r="R5650" s="12" t="n">
        <v>21.2</v>
      </c>
      <c r="S5650" s="12" t="inlineStr">
        <is>
          <t>Duct bank</t>
        </is>
      </c>
      <c r="T5650" s="17" t="n">
        <v>593</v>
      </c>
      <c r="U5650" s="17" t="n">
        <v>68</v>
      </c>
      <c r="V5650" s="17">
        <f>ROUNDUP((T5650+U5650+2*'Read Me'!$B$13)*(1+'Read Me'!$B$12),-1)</f>
        <v/>
      </c>
      <c r="W5650" s="17">
        <f>V5650*N5650*O5650</f>
        <v/>
      </c>
      <c r="X5650" s="12">
        <f>IF(LEFT(I5650,2)="MV",2*N5650*IF(L5650="1/C",O5650,1),0)</f>
        <v/>
      </c>
      <c r="Y5650" s="12">
        <f>IF(OR(LEFT(K5650,4)="LVAX",LEFT(K5650,6)="MV15AX",LEFT(K5650,4)="CTAX",LEFT(K5650,2)="W|"),2*N5650*O5650,0)</f>
        <v/>
      </c>
      <c r="Z5650" s="12" t="inlineStr">
        <is>
          <t>VD 2.7 %</t>
        </is>
      </c>
      <c r="AA5650" s="12">
        <f>N5650*O5650</f>
        <v/>
      </c>
    </row>
    <row r="5651">
      <c r="A5651" s="12" t="inlineStr">
        <is>
          <t>K-P-0049</t>
        </is>
      </c>
      <c r="B5651" s="12" t="inlineStr">
        <is>
          <t>K</t>
        </is>
      </c>
      <c r="C5651" s="12" t="inlineStr">
        <is>
          <t>Fuel supply (adjacent market)</t>
        </is>
      </c>
      <c r="D5651" s="12" t="inlineStr">
        <is>
          <t>LV panel / distribution feeder</t>
        </is>
      </c>
      <c r="E5651" s="12" t="inlineStr"/>
      <c r="F5651" s="12" t="inlineStr">
        <is>
          <t>LNG 17: LNG e-house (13.8 kV / 480 V)</t>
        </is>
      </c>
      <c r="G5651" s="12" t="inlineStr"/>
      <c r="H5651" s="12" t="inlineStr">
        <is>
          <t>M&amp;R 6: regulation / flow control building</t>
        </is>
      </c>
      <c r="I5651" s="12" t="inlineStr">
        <is>
          <t>LV 600 V</t>
        </is>
      </c>
      <c r="J5651" s="12" t="inlineStr">
        <is>
          <t>ARMOR-X MC-HL 600 V 3/C Cu XHHW-2 + ground, CWA, black PVC (Class I Div 2)</t>
        </is>
      </c>
      <c r="K5651" s="12" t="inlineStr">
        <is>
          <t>LVAX|3/C+G|8</t>
        </is>
      </c>
      <c r="L5651" s="12" t="inlineStr">
        <is>
          <t>3/C+G</t>
        </is>
      </c>
      <c r="M5651" s="12" t="inlineStr">
        <is>
          <t>8</t>
        </is>
      </c>
      <c r="N5651" s="12" t="n">
        <v>1</v>
      </c>
      <c r="O5651" s="12" t="n">
        <v>1</v>
      </c>
      <c r="P5651" s="12" t="n">
        <v>480</v>
      </c>
      <c r="Q5651" s="12" t="n">
        <v>10</v>
      </c>
      <c r="R5651" s="12" t="n">
        <v>14.2</v>
      </c>
      <c r="S5651" s="12" t="inlineStr">
        <is>
          <t>Duct bank</t>
        </is>
      </c>
      <c r="T5651" s="17" t="n">
        <v>470</v>
      </c>
      <c r="U5651" s="17" t="n">
        <v>70</v>
      </c>
      <c r="V5651" s="17">
        <f>ROUNDUP((T5651+U5651+2*'Read Me'!$B$13)*(1+'Read Me'!$B$12),-1)</f>
        <v/>
      </c>
      <c r="W5651" s="17">
        <f>V5651*N5651*O5651</f>
        <v/>
      </c>
      <c r="X5651" s="12">
        <f>IF(LEFT(I5651,2)="MV",2*N5651*IF(L5651="1/C",O5651,1),0)</f>
        <v/>
      </c>
      <c r="Y5651" s="12">
        <f>IF(OR(LEFT(K5651,4)="LVAX",LEFT(K5651,6)="MV15AX",LEFT(K5651,4)="CTAX",LEFT(K5651,2)="W|"),2*N5651*O5651,0)</f>
        <v/>
      </c>
      <c r="Z5651" s="12" t="inlineStr">
        <is>
          <t>VD 2.3 %</t>
        </is>
      </c>
      <c r="AA5651" s="12">
        <f>N5651*O5651</f>
        <v/>
      </c>
    </row>
    <row r="5652">
      <c r="A5652" s="12" t="inlineStr">
        <is>
          <t>K-P-0050</t>
        </is>
      </c>
      <c r="B5652" s="12" t="inlineStr">
        <is>
          <t>K</t>
        </is>
      </c>
      <c r="C5652" s="12" t="inlineStr">
        <is>
          <t>Fuel supply (adjacent market)</t>
        </is>
      </c>
      <c r="D5652" s="12" t="inlineStr">
        <is>
          <t>LV panel / distribution feeder</t>
        </is>
      </c>
      <c r="E5652" s="12" t="inlineStr"/>
      <c r="F5652" s="12" t="inlineStr">
        <is>
          <t>LNG 17: LNG e-house (13.8 kV / 480 V)</t>
        </is>
      </c>
      <c r="G5652" s="12" t="inlineStr"/>
      <c r="H5652" s="12" t="inlineStr">
        <is>
          <t>M&amp;R 7: gas quality + measurement building</t>
        </is>
      </c>
      <c r="I5652" s="12" t="inlineStr">
        <is>
          <t>LV 600 V</t>
        </is>
      </c>
      <c r="J5652" s="12" t="inlineStr">
        <is>
          <t>ARMOR-X MC-HL 600 V 3/C Cu XHHW-2 + ground, CWA, black PVC (Class I Div 2)</t>
        </is>
      </c>
      <c r="K5652" s="12" t="inlineStr">
        <is>
          <t>LVAX|3/C+G|2</t>
        </is>
      </c>
      <c r="L5652" s="12" t="inlineStr">
        <is>
          <t>3/C+G</t>
        </is>
      </c>
      <c r="M5652" s="12" t="inlineStr">
        <is>
          <t>2</t>
        </is>
      </c>
      <c r="N5652" s="12" t="n">
        <v>1</v>
      </c>
      <c r="O5652" s="12" t="n">
        <v>1</v>
      </c>
      <c r="P5652" s="12" t="n">
        <v>480</v>
      </c>
      <c r="Q5652" s="12" t="n">
        <v>30</v>
      </c>
      <c r="R5652" s="12" t="n">
        <v>42.5</v>
      </c>
      <c r="S5652" s="12" t="inlineStr">
        <is>
          <t>Duct bank</t>
        </is>
      </c>
      <c r="T5652" s="17" t="n">
        <v>616</v>
      </c>
      <c r="U5652" s="17" t="n">
        <v>52</v>
      </c>
      <c r="V5652" s="17">
        <f>ROUNDUP((T5652+U5652+2*'Read Me'!$B$13)*(1+'Read Me'!$B$12),-1)</f>
        <v/>
      </c>
      <c r="W5652" s="17">
        <f>V5652*N5652*O5652</f>
        <v/>
      </c>
      <c r="X5652" s="12">
        <f>IF(LEFT(I5652,2)="MV",2*N5652*IF(L5652="1/C",O5652,1),0)</f>
        <v/>
      </c>
      <c r="Y5652" s="12">
        <f>IF(OR(LEFT(K5652,4)="LVAX",LEFT(K5652,6)="MV15AX",LEFT(K5652,4)="CTAX",LEFT(K5652,2)="W|"),2*N5652*O5652,0)</f>
        <v/>
      </c>
      <c r="Z5652" s="12" t="inlineStr">
        <is>
          <t>VD 2.2 %</t>
        </is>
      </c>
      <c r="AA5652" s="12">
        <f>N5652*O5652</f>
        <v/>
      </c>
    </row>
    <row r="5653">
      <c r="A5653" s="12" t="inlineStr">
        <is>
          <t>K-P-0051</t>
        </is>
      </c>
      <c r="B5653" s="12" t="inlineStr">
        <is>
          <t>K</t>
        </is>
      </c>
      <c r="C5653" s="12" t="inlineStr">
        <is>
          <t>Fuel supply (adjacent market)</t>
        </is>
      </c>
      <c r="D5653" s="12" t="inlineStr">
        <is>
          <t>LV power feeder</t>
        </is>
      </c>
      <c r="E5653" s="12" t="inlineStr"/>
      <c r="F5653" s="12" t="inlineStr">
        <is>
          <t>LNG 17: LNG e-house (13.8 kV / 480 V)</t>
        </is>
      </c>
      <c r="G5653" s="12" t="inlineStr"/>
      <c r="H5653" s="12" t="inlineStr">
        <is>
          <t>M&amp;R 8: condensate tank</t>
        </is>
      </c>
      <c r="I5653" s="12" t="inlineStr">
        <is>
          <t>LV 600 V</t>
        </is>
      </c>
      <c r="J5653" s="12" t="inlineStr">
        <is>
          <t>ARMOR-X MC-HL 600 V 3/C Cu XHHW-2 + ground, CWA, black PVC (Class I Div 2)</t>
        </is>
      </c>
      <c r="K5653" s="12" t="inlineStr">
        <is>
          <t>LVAX|3/C+G|8</t>
        </is>
      </c>
      <c r="L5653" s="12" t="inlineStr">
        <is>
          <t>3/C+G</t>
        </is>
      </c>
      <c r="M5653" s="12" t="inlineStr">
        <is>
          <t>8</t>
        </is>
      </c>
      <c r="N5653" s="12" t="n">
        <v>1</v>
      </c>
      <c r="O5653" s="12" t="n">
        <v>1</v>
      </c>
      <c r="P5653" s="12" t="n">
        <v>480</v>
      </c>
      <c r="Q5653" s="12" t="n">
        <v>10</v>
      </c>
      <c r="R5653" s="12" t="n">
        <v>14.2</v>
      </c>
      <c r="S5653" s="12" t="inlineStr">
        <is>
          <t>Duct bank</t>
        </is>
      </c>
      <c r="T5653" s="17" t="n">
        <v>530</v>
      </c>
      <c r="U5653" s="17" t="n">
        <v>87</v>
      </c>
      <c r="V5653" s="17">
        <f>ROUNDUP((T5653+U5653+2*'Read Me'!$B$13)*(1+'Read Me'!$B$12),-1)</f>
        <v/>
      </c>
      <c r="W5653" s="17">
        <f>V5653*N5653*O5653</f>
        <v/>
      </c>
      <c r="X5653" s="12">
        <f>IF(LEFT(I5653,2)="MV",2*N5653*IF(L5653="1/C",O5653,1),0)</f>
        <v/>
      </c>
      <c r="Y5653" s="12">
        <f>IF(OR(LEFT(K5653,4)="LVAX",LEFT(K5653,6)="MV15AX",LEFT(K5653,4)="CTAX",LEFT(K5653,2)="W|"),2*N5653*O5653,0)</f>
        <v/>
      </c>
      <c r="Z5653" s="12" t="inlineStr">
        <is>
          <t>VD 2.6 %</t>
        </is>
      </c>
      <c r="AA5653" s="12">
        <f>N5653*O5653</f>
        <v/>
      </c>
    </row>
    <row r="5654">
      <c r="A5654" s="12" t="inlineStr">
        <is>
          <t>K-P-0052</t>
        </is>
      </c>
      <c r="B5654" s="12" t="inlineStr">
        <is>
          <t>K</t>
        </is>
      </c>
      <c r="C5654" s="12" t="inlineStr">
        <is>
          <t>Fuel supply (adjacent market)</t>
        </is>
      </c>
      <c r="D5654" s="12" t="inlineStr">
        <is>
          <t>LV power feeder</t>
        </is>
      </c>
      <c r="E5654" s="12" t="inlineStr"/>
      <c r="F5654" s="12" t="inlineStr">
        <is>
          <t>LNG 17: LNG e-house (13.8 kV / 480 V)</t>
        </is>
      </c>
      <c r="G5654" s="12" t="inlineStr"/>
      <c r="H5654" s="12" t="inlineStr">
        <is>
          <t>M&amp;R 9: service panel + UPS, SCADA RTU, CP</t>
        </is>
      </c>
      <c r="I5654" s="12" t="inlineStr">
        <is>
          <t>LV 600 V</t>
        </is>
      </c>
      <c r="J5654" s="12" t="inlineStr">
        <is>
          <t>ARMOR-X MC-HL 600 V 3/C Cu XHHW-2 + ground, CWA, black PVC (Class I Div 2)</t>
        </is>
      </c>
      <c r="K5654" s="12" t="inlineStr">
        <is>
          <t>LVAX|3/C+G|6</t>
        </is>
      </c>
      <c r="L5654" s="12" t="inlineStr">
        <is>
          <t>3/C+G</t>
        </is>
      </c>
      <c r="M5654" s="12" t="inlineStr">
        <is>
          <t>6</t>
        </is>
      </c>
      <c r="N5654" s="12" t="n">
        <v>1</v>
      </c>
      <c r="O5654" s="12" t="n">
        <v>1</v>
      </c>
      <c r="P5654" s="12" t="n">
        <v>480</v>
      </c>
      <c r="Q5654" s="12" t="n">
        <v>15</v>
      </c>
      <c r="R5654" s="12" t="n">
        <v>21.2</v>
      </c>
      <c r="S5654" s="12" t="inlineStr">
        <is>
          <t>Duct bank</t>
        </is>
      </c>
      <c r="T5654" s="17" t="n">
        <v>466</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is>
          <t>VD 2.1 %</t>
        </is>
      </c>
      <c r="AA5654" s="12">
        <f>N5654*O5654</f>
        <v/>
      </c>
    </row>
    <row r="5655">
      <c r="A5655" s="12" t="inlineStr">
        <is>
          <t>K-P-0053</t>
        </is>
      </c>
      <c r="B5655" s="12" t="inlineStr">
        <is>
          <t>K</t>
        </is>
      </c>
      <c r="C5655" s="12" t="inlineStr">
        <is>
          <t>Fuel supply (adjacent market)</t>
        </is>
      </c>
      <c r="D5655" s="12" t="inlineStr">
        <is>
          <t>LV power feeder</t>
        </is>
      </c>
      <c r="E5655" s="12" t="inlineStr"/>
      <c r="F5655" s="12" t="inlineStr">
        <is>
          <t>LNG 17: LNG e-house (13.8 kV / 480 V)</t>
        </is>
      </c>
      <c r="G5655" s="12" t="inlineStr"/>
      <c r="H5655" s="12" t="inlineStr">
        <is>
          <t>M&amp;R CP test station (as drawn)</t>
        </is>
      </c>
      <c r="I5655" s="12" t="inlineStr">
        <is>
          <t>LV 600 V</t>
        </is>
      </c>
      <c r="J5655" s="12" t="inlineStr">
        <is>
          <t>ARMOR-X MC-HL 600 V 3/C Cu XHHW-2 + ground, CWA, black PVC (Class I Div 2)</t>
        </is>
      </c>
      <c r="K5655" s="12" t="inlineStr">
        <is>
          <t>LVAX|3/C+G|6</t>
        </is>
      </c>
      <c r="L5655" s="12" t="inlineStr">
        <is>
          <t>3/C+G</t>
        </is>
      </c>
      <c r="M5655" s="12" t="inlineStr">
        <is>
          <t>6</t>
        </is>
      </c>
      <c r="N5655" s="12" t="n">
        <v>1</v>
      </c>
      <c r="O5655" s="12" t="n">
        <v>1</v>
      </c>
      <c r="P5655" s="12" t="n">
        <v>480</v>
      </c>
      <c r="Q5655" s="12" t="n">
        <v>15</v>
      </c>
      <c r="R5655" s="12" t="n">
        <v>21.2</v>
      </c>
      <c r="S5655" s="12" t="inlineStr">
        <is>
          <t>Duct bank</t>
        </is>
      </c>
      <c r="T5655" s="17" t="n">
        <v>441</v>
      </c>
      <c r="U5655" s="17" t="n">
        <v>42</v>
      </c>
      <c r="V5655" s="17">
        <f>ROUNDUP((T5655+U5655+2*'Read Me'!$B$13)*(1+'Read Me'!$B$12),-1)</f>
        <v/>
      </c>
      <c r="W5655" s="17">
        <f>V5655*N5655*O5655</f>
        <v/>
      </c>
      <c r="X5655" s="12">
        <f>IF(LEFT(I5655,2)="MV",2*N5655*IF(L5655="1/C",O5655,1),0)</f>
        <v/>
      </c>
      <c r="Y5655" s="12">
        <f>IF(OR(LEFT(K5655,4)="LVAX",LEFT(K5655,6)="MV15AX",LEFT(K5655,4)="CTAX",LEFT(K5655,2)="W|"),2*N5655*O5655,0)</f>
        <v/>
      </c>
      <c r="Z5655" s="12" t="inlineStr">
        <is>
          <t>VD 2.0 %</t>
        </is>
      </c>
      <c r="AA5655" s="12">
        <f>N5655*O5655</f>
        <v/>
      </c>
    </row>
    <row r="5656">
      <c r="A5656" s="12" t="inlineStr">
        <is>
          <t>K-P-0054</t>
        </is>
      </c>
      <c r="B5656" s="12" t="inlineStr">
        <is>
          <t>K</t>
        </is>
      </c>
      <c r="C5656" s="12" t="inlineStr">
        <is>
          <t>Fuel supply (adjacent market)</t>
        </is>
      </c>
      <c r="D5656" s="12" t="inlineStr">
        <is>
          <t>LV power feeder</t>
        </is>
      </c>
      <c r="E5656" s="12" t="inlineStr"/>
      <c r="F5656" s="12" t="inlineStr">
        <is>
          <t>LNG 17: LNG e-house (13.8 kV / 480 V)</t>
        </is>
      </c>
      <c r="G5656" s="12" t="inlineStr"/>
      <c r="H5656" s="12" t="inlineStr">
        <is>
          <t>M&amp;R SCADA antenna mast base (as drawn)</t>
        </is>
      </c>
      <c r="I5656" s="12" t="inlineStr">
        <is>
          <t>LV 600 V</t>
        </is>
      </c>
      <c r="J5656" s="12" t="inlineStr">
        <is>
          <t>ARMOR-X MC-HL 600 V 3/C Cu XHHW-2 + ground, CWA, black PVC (Class I Div 2)</t>
        </is>
      </c>
      <c r="K5656" s="12" t="inlineStr">
        <is>
          <t>LVAX|3/C+G|8</t>
        </is>
      </c>
      <c r="L5656" s="12" t="inlineStr">
        <is>
          <t>3/C+G</t>
        </is>
      </c>
      <c r="M5656" s="12" t="inlineStr">
        <is>
          <t>8</t>
        </is>
      </c>
      <c r="N5656" s="12" t="n">
        <v>1</v>
      </c>
      <c r="O5656" s="12" t="n">
        <v>1</v>
      </c>
      <c r="P5656" s="12" t="n">
        <v>480</v>
      </c>
      <c r="Q5656" s="12" t="n">
        <v>15</v>
      </c>
      <c r="R5656" s="12" t="n">
        <v>21.2</v>
      </c>
      <c r="S5656" s="12" t="inlineStr">
        <is>
          <t>Duct bank</t>
        </is>
      </c>
      <c r="T5656" s="17" t="n">
        <v>433</v>
      </c>
      <c r="U5656" s="17" t="n">
        <v>32</v>
      </c>
      <c r="V5656" s="17">
        <f>ROUNDUP((T5656+U5656+2*'Read Me'!$B$13)*(1+'Read Me'!$B$12),-1)</f>
        <v/>
      </c>
      <c r="W5656" s="17">
        <f>V5656*N5656*O5656</f>
        <v/>
      </c>
      <c r="X5656" s="12">
        <f>IF(LEFT(I5656,2)="MV",2*N5656*IF(L5656="1/C",O5656,1),0)</f>
        <v/>
      </c>
      <c r="Y5656" s="12">
        <f>IF(OR(LEFT(K5656,4)="LVAX",LEFT(K5656,6)="MV15AX",LEFT(K5656,4)="CTAX",LEFT(K5656,2)="W|"),2*N5656*O5656,0)</f>
        <v/>
      </c>
      <c r="Z5656" s="12" t="inlineStr">
        <is>
          <t>VD 3.0 %</t>
        </is>
      </c>
      <c r="AA5656" s="12">
        <f>N5656*O5656</f>
        <v/>
      </c>
    </row>
    <row r="5657">
      <c r="A5657" s="12" t="inlineStr">
        <is>
          <t>K-MV-0001</t>
        </is>
      </c>
      <c r="B5657" s="12" t="inlineStr">
        <is>
          <t>K</t>
        </is>
      </c>
      <c r="C5657" s="12" t="inlineStr">
        <is>
          <t>Fuel supply (adjacent market)</t>
        </is>
      </c>
      <c r="D5657" s="12" t="inlineStr">
        <is>
          <t>H2 13.8 kV e-house (electrolyzers)</t>
        </is>
      </c>
      <c r="E5657" s="12" t="inlineStr">
        <is>
          <t>SWGR-13.8-3</t>
        </is>
      </c>
      <c r="F5657" s="12" t="inlineStr">
        <is>
          <t>R1 SWGR-13.8-3 (11 x 36 in cubicles, 15 kV metal-clad)</t>
        </is>
      </c>
      <c r="G5657" s="12" t="inlineStr"/>
      <c r="H5657" s="12" t="inlineStr">
        <is>
          <t>H2 20: 13.8 kV e-house</t>
        </is>
      </c>
      <c r="I5657" s="12" t="inlineStr">
        <is>
          <t>MV 15 kV</t>
        </is>
      </c>
      <c r="J5657" s="12" t="inlineStr">
        <is>
          <t>MV-105 15 kV 1/C Cu, EPR 133%, Cu tape shield, PVC jacket (triplexed)</t>
        </is>
      </c>
      <c r="K5657" s="12" t="inlineStr">
        <is>
          <t>MV15|1/C|750</t>
        </is>
      </c>
      <c r="L5657" s="12" t="inlineStr">
        <is>
          <t>1/C</t>
        </is>
      </c>
      <c r="M5657" s="12" t="inlineStr">
        <is>
          <t>750 kcmil</t>
        </is>
      </c>
      <c r="N5657" s="12" t="n">
        <v>2</v>
      </c>
      <c r="O5657" s="12" t="n">
        <v>3</v>
      </c>
      <c r="P5657" s="12" t="n">
        <v>13800</v>
      </c>
      <c r="Q5657" s="12" t="n">
        <v>20000</v>
      </c>
      <c r="R5657" s="12" t="n">
        <v>837</v>
      </c>
      <c r="S5657" s="12" t="inlineStr">
        <is>
          <t>HV duct bank</t>
        </is>
      </c>
      <c r="T5657" s="17" t="n">
        <v>4013</v>
      </c>
      <c r="U5657" s="17" t="n">
        <v>128</v>
      </c>
      <c r="V5657" s="17">
        <f>ROUNDUP((T5657+U5657+2*'Read Me'!$B$13)*(1+'Read Me'!$B$12),-1)</f>
        <v/>
      </c>
      <c r="W5657" s="17">
        <f>V5657*N5657*O5657</f>
        <v/>
      </c>
      <c r="X5657" s="12">
        <f>IF(LEFT(I5657,2)="MV",2*N5657*IF(L5657="1/C",O5657,1),0)</f>
        <v/>
      </c>
      <c r="Y5657" s="12">
        <f>IF(OR(LEFT(K5657,4)="LVAX",LEFT(K5657,6)="MV15AX",LEFT(K5657,4)="CTAX",LEFT(K5657,2)="W|"),2*N5657*O5657,0)</f>
        <v/>
      </c>
      <c r="Z5657" s="12" t="inlineStr"/>
      <c r="AA5657" s="12">
        <f>N5657*O5657</f>
        <v/>
      </c>
    </row>
    <row r="5658">
      <c r="A5658" s="12" t="inlineStr">
        <is>
          <t>K-MV-0002</t>
        </is>
      </c>
      <c r="B5658" s="12" t="inlineStr">
        <is>
          <t>K</t>
        </is>
      </c>
      <c r="C5658" s="12" t="inlineStr">
        <is>
          <t>Fuel supply (adjacent market)</t>
        </is>
      </c>
      <c r="D5658" s="12" t="inlineStr">
        <is>
          <t>LNG e-house</t>
        </is>
      </c>
      <c r="E5658" s="12" t="inlineStr">
        <is>
          <t>SWGR-13.8-3</t>
        </is>
      </c>
      <c r="F5658" s="12" t="inlineStr">
        <is>
          <t>R1 SWGR-13.8-3 (11 x 36 in cubicles, 15 kV metal-clad)</t>
        </is>
      </c>
      <c r="G5658" s="12" t="inlineStr"/>
      <c r="H5658" s="12" t="inlineStr">
        <is>
          <t>LNG 17: LNG e-house (13.8 kV / 480 V)</t>
        </is>
      </c>
      <c r="I5658" s="12" t="inlineStr">
        <is>
          <t>MV 15 kV</t>
        </is>
      </c>
      <c r="J5658" s="12" t="inlineStr">
        <is>
          <t>MV-105 15 kV 1/C Cu, EPR 133%, Cu tape shield, PVC jacket (triplexed)</t>
        </is>
      </c>
      <c r="K5658" s="12" t="inlineStr">
        <is>
          <t>MV15|1/C|4/0</t>
        </is>
      </c>
      <c r="L5658" s="12" t="inlineStr">
        <is>
          <t>1/C</t>
        </is>
      </c>
      <c r="M5658" s="12" t="inlineStr">
        <is>
          <t>4/0</t>
        </is>
      </c>
      <c r="N5658" s="12" t="n">
        <v>1</v>
      </c>
      <c r="O5658" s="12" t="n">
        <v>3</v>
      </c>
      <c r="P5658" s="12" t="n">
        <v>13800</v>
      </c>
      <c r="Q5658" s="12" t="n">
        <v>5000</v>
      </c>
      <c r="R5658" s="12" t="n">
        <v>209</v>
      </c>
      <c r="S5658" s="12" t="inlineStr">
        <is>
          <t>Duct bank</t>
        </is>
      </c>
      <c r="T5658" s="17" t="n">
        <v>2649</v>
      </c>
      <c r="U5658" s="17" t="n">
        <v>219</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C-C-0128</t>
        </is>
      </c>
      <c r="B5659" s="12" t="inlineStr">
        <is>
          <t>C</t>
        </is>
      </c>
      <c r="C5659" s="12" t="inlineStr">
        <is>
          <t>Grid interface</t>
        </is>
      </c>
      <c r="D5659" s="12" t="inlineStr">
        <is>
          <t>Motor 1 of 10: control / local station</t>
        </is>
      </c>
      <c r="E5659" s="12" t="inlineStr">
        <is>
          <t>MCC-C1</t>
        </is>
      </c>
      <c r="F5659" s="12" t="inlineStr">
        <is>
          <t>R1 MCC-C1</t>
        </is>
      </c>
      <c r="G5659" s="12" t="inlineStr"/>
      <c r="H5659" s="12" t="inlineStr">
        <is>
          <t xml:space="preserve">CO2 compression 3 x ~19 MW + dehydration: rooftop HVAC, exhaust fans, </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Tray</t>
        </is>
      </c>
      <c r="T5659" s="17" t="n">
        <v>1744</v>
      </c>
      <c r="U5659" s="17" t="n">
        <v>161</v>
      </c>
      <c r="V5659" s="17">
        <f>ROUNDUP((T5659+U5659+2*'Read Me'!$B$13)*(1+'Read Me'!$B$12),-1)</f>
        <v/>
      </c>
      <c r="W5659" s="17">
        <f>V5659*N5659*O5659</f>
        <v/>
      </c>
      <c r="X5659" s="12">
        <f>IF(LEFT(I5659,2)="MV",2*N5659*IF(L5659="1/C",O5659,1),0)</f>
        <v/>
      </c>
      <c r="Y5659" s="12">
        <f>IF(OR(LEFT(K5659,4)="LVAX",LEFT(K5659,6)="MV15AX",LEFT(K5659,4)="CTAX",LEFT(K5659,2)="W|"),2*N5659*O5659,0)</f>
        <v/>
      </c>
      <c r="Z5659" s="12" t="inlineStr"/>
      <c r="AA5659" s="12">
        <f>N5659*O5659</f>
        <v/>
      </c>
    </row>
    <row r="5660">
      <c r="A5660" s="12" t="inlineStr">
        <is>
          <t>C-C-0129</t>
        </is>
      </c>
      <c r="B5660" s="12" t="inlineStr">
        <is>
          <t>C</t>
        </is>
      </c>
      <c r="C5660" s="12" t="inlineStr">
        <is>
          <t>Grid interface</t>
        </is>
      </c>
      <c r="D5660" s="12" t="inlineStr">
        <is>
          <t>Motor 2 of 10: control / local station</t>
        </is>
      </c>
      <c r="E5660" s="12" t="inlineStr">
        <is>
          <t>MCC-C1</t>
        </is>
      </c>
      <c r="F5660" s="12" t="inlineStr">
        <is>
          <t>R1 MCC-C1</t>
        </is>
      </c>
      <c r="G5660" s="12" t="inlineStr"/>
      <c r="H5660" s="12" t="inlineStr">
        <is>
          <t xml:space="preserve">CO2 compression 3 x ~19 MW + dehydration: rooftop HVAC, exhaust fans, </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Tray</t>
        </is>
      </c>
      <c r="T5660" s="17" t="n">
        <v>1744</v>
      </c>
      <c r="U5660" s="17" t="n">
        <v>161</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C-C-0130</t>
        </is>
      </c>
      <c r="B5661" s="12" t="inlineStr">
        <is>
          <t>C</t>
        </is>
      </c>
      <c r="C5661" s="12" t="inlineStr">
        <is>
          <t>Grid interface</t>
        </is>
      </c>
      <c r="D5661" s="12" t="inlineStr">
        <is>
          <t>Motor 3 of 10: control / local station</t>
        </is>
      </c>
      <c r="E5661" s="12" t="inlineStr">
        <is>
          <t>MCC-C1</t>
        </is>
      </c>
      <c r="F5661" s="12" t="inlineStr">
        <is>
          <t>R1 MCC-C1</t>
        </is>
      </c>
      <c r="G5661" s="12" t="inlineStr"/>
      <c r="H5661" s="12" t="inlineStr">
        <is>
          <t xml:space="preserve">CO2 compression 3 x ~19 MW + dehydration: rooftop HVAC, exhaust fans, </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Tray</t>
        </is>
      </c>
      <c r="T5661" s="17" t="n">
        <v>1744</v>
      </c>
      <c r="U5661" s="17" t="n">
        <v>161</v>
      </c>
      <c r="V5661" s="17">
        <f>ROUNDUP((T5661+U5661+2*'Read Me'!$B$13)*(1+'Read Me'!$B$12),-1)</f>
        <v/>
      </c>
      <c r="W5661" s="17">
        <f>V5661*N5661*O5661</f>
        <v/>
      </c>
      <c r="X5661" s="12">
        <f>IF(LEFT(I5661,2)="MV",2*N5661*IF(L5661="1/C",O5661,1),0)</f>
        <v/>
      </c>
      <c r="Y5661" s="12">
        <f>IF(OR(LEFT(K5661,4)="LVAX",LEFT(K5661,6)="MV15AX",LEFT(K5661,4)="CTAX",LEFT(K5661,2)="W|"),2*N5661*O5661,0)</f>
        <v/>
      </c>
      <c r="Z5661" s="12" t="inlineStr"/>
      <c r="AA5661" s="12">
        <f>N5661*O5661</f>
        <v/>
      </c>
    </row>
    <row r="5662">
      <c r="A5662" s="12" t="inlineStr">
        <is>
          <t>C-C-0131</t>
        </is>
      </c>
      <c r="B5662" s="12" t="inlineStr">
        <is>
          <t>C</t>
        </is>
      </c>
      <c r="C5662" s="12" t="inlineStr">
        <is>
          <t>Grid interface</t>
        </is>
      </c>
      <c r="D5662" s="12" t="inlineStr">
        <is>
          <t>Motor 4 of 10: control / local station</t>
        </is>
      </c>
      <c r="E5662" s="12" t="inlineStr">
        <is>
          <t>MCC-C1</t>
        </is>
      </c>
      <c r="F5662" s="12" t="inlineStr">
        <is>
          <t>R1 MCC-C1</t>
        </is>
      </c>
      <c r="G5662" s="12" t="inlineStr"/>
      <c r="H5662" s="12" t="inlineStr">
        <is>
          <t xml:space="preserve">CO2 compression 3 x ~19 MW + dehydration: rooftop HVAC, exhaust fans, </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Tray</t>
        </is>
      </c>
      <c r="T5662" s="17" t="n">
        <v>1744</v>
      </c>
      <c r="U5662" s="17" t="n">
        <v>161</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C-C-0132</t>
        </is>
      </c>
      <c r="B5663" s="12" t="inlineStr">
        <is>
          <t>C</t>
        </is>
      </c>
      <c r="C5663" s="12" t="inlineStr">
        <is>
          <t>Grid interface</t>
        </is>
      </c>
      <c r="D5663" s="12" t="inlineStr">
        <is>
          <t>Motor 5 of 10: control / local station</t>
        </is>
      </c>
      <c r="E5663" s="12" t="inlineStr">
        <is>
          <t>MCC-C1</t>
        </is>
      </c>
      <c r="F5663" s="12" t="inlineStr">
        <is>
          <t>R1 MCC-C1</t>
        </is>
      </c>
      <c r="G5663" s="12" t="inlineStr"/>
      <c r="H5663" s="12" t="inlineStr">
        <is>
          <t xml:space="preserve">CO2 compression 3 x ~19 MW + dehydration: rooftop HVAC, exhaust fans, </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Tray</t>
        </is>
      </c>
      <c r="T5663" s="17" t="n">
        <v>1744</v>
      </c>
      <c r="U5663" s="17" t="n">
        <v>161</v>
      </c>
      <c r="V5663" s="17">
        <f>ROUNDUP((T5663+U5663+2*'Read Me'!$B$13)*(1+'Read Me'!$B$12),-1)</f>
        <v/>
      </c>
      <c r="W5663" s="17">
        <f>V5663*N5663*O5663</f>
        <v/>
      </c>
      <c r="X5663" s="12">
        <f>IF(LEFT(I5663,2)="MV",2*N5663*IF(L5663="1/C",O5663,1),0)</f>
        <v/>
      </c>
      <c r="Y5663" s="12">
        <f>IF(OR(LEFT(K5663,4)="LVAX",LEFT(K5663,6)="MV15AX",LEFT(K5663,4)="CTAX",LEFT(K5663,2)="W|"),2*N5663*O5663,0)</f>
        <v/>
      </c>
      <c r="Z5663" s="12" t="inlineStr"/>
      <c r="AA5663" s="12">
        <f>N5663*O5663</f>
        <v/>
      </c>
    </row>
    <row r="5664">
      <c r="A5664" s="12" t="inlineStr">
        <is>
          <t>C-C-0133</t>
        </is>
      </c>
      <c r="B5664" s="12" t="inlineStr">
        <is>
          <t>C</t>
        </is>
      </c>
      <c r="C5664" s="12" t="inlineStr">
        <is>
          <t>Grid interface</t>
        </is>
      </c>
      <c r="D5664" s="12" t="inlineStr">
        <is>
          <t>Motor 6 of 10: control / local station</t>
        </is>
      </c>
      <c r="E5664" s="12" t="inlineStr">
        <is>
          <t>MCC-C1</t>
        </is>
      </c>
      <c r="F5664" s="12" t="inlineStr">
        <is>
          <t>R1 MCC-C1</t>
        </is>
      </c>
      <c r="G5664" s="12" t="inlineStr"/>
      <c r="H5664" s="12" t="inlineStr">
        <is>
          <t xml:space="preserve">CO2 compression 3 x ~19 MW + dehydration: rooftop HVAC, exhaust fans, </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Tray</t>
        </is>
      </c>
      <c r="T5664" s="17" t="n">
        <v>1744</v>
      </c>
      <c r="U5664" s="17" t="n">
        <v>161</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C-C-0134</t>
        </is>
      </c>
      <c r="B5665" s="12" t="inlineStr">
        <is>
          <t>C</t>
        </is>
      </c>
      <c r="C5665" s="12" t="inlineStr">
        <is>
          <t>Grid interface</t>
        </is>
      </c>
      <c r="D5665" s="12" t="inlineStr">
        <is>
          <t>Motor 7 of 10: control / local station</t>
        </is>
      </c>
      <c r="E5665" s="12" t="inlineStr">
        <is>
          <t>MCC-C1</t>
        </is>
      </c>
      <c r="F5665" s="12" t="inlineStr">
        <is>
          <t>R1 MCC-C1</t>
        </is>
      </c>
      <c r="G5665" s="12" t="inlineStr"/>
      <c r="H5665" s="12" t="inlineStr">
        <is>
          <t xml:space="preserve">CO2 compression 3 x ~19 MW + dehydration: rooftop HVAC, exhaust fans, </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Tray</t>
        </is>
      </c>
      <c r="T5665" s="17" t="n">
        <v>1744</v>
      </c>
      <c r="U5665" s="17" t="n">
        <v>161</v>
      </c>
      <c r="V5665" s="17">
        <f>ROUNDUP((T5665+U5665+2*'Read Me'!$B$13)*(1+'Read Me'!$B$12),-1)</f>
        <v/>
      </c>
      <c r="W5665" s="17">
        <f>V5665*N5665*O5665</f>
        <v/>
      </c>
      <c r="X5665" s="12">
        <f>IF(LEFT(I5665,2)="MV",2*N5665*IF(L5665="1/C",O5665,1),0)</f>
        <v/>
      </c>
      <c r="Y5665" s="12">
        <f>IF(OR(LEFT(K5665,4)="LVAX",LEFT(K5665,6)="MV15AX",LEFT(K5665,4)="CTAX",LEFT(K5665,2)="W|"),2*N5665*O5665,0)</f>
        <v/>
      </c>
      <c r="Z5665" s="12" t="inlineStr"/>
      <c r="AA5665" s="12">
        <f>N5665*O5665</f>
        <v/>
      </c>
    </row>
    <row r="5666">
      <c r="A5666" s="12" t="inlineStr">
        <is>
          <t>C-C-0135</t>
        </is>
      </c>
      <c r="B5666" s="12" t="inlineStr">
        <is>
          <t>C</t>
        </is>
      </c>
      <c r="C5666" s="12" t="inlineStr">
        <is>
          <t>Grid interface</t>
        </is>
      </c>
      <c r="D5666" s="12" t="inlineStr">
        <is>
          <t>Motor 8 of 10: control / local station</t>
        </is>
      </c>
      <c r="E5666" s="12" t="inlineStr">
        <is>
          <t>MCC-C1</t>
        </is>
      </c>
      <c r="F5666" s="12" t="inlineStr">
        <is>
          <t>R1 MCC-C1</t>
        </is>
      </c>
      <c r="G5666" s="12" t="inlineStr"/>
      <c r="H5666" s="12" t="inlineStr">
        <is>
          <t xml:space="preserve">CO2 compression 3 x ~19 MW + dehydration: rooftop HVAC, exhaust fans, </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Tray</t>
        </is>
      </c>
      <c r="T5666" s="17" t="n">
        <v>1744</v>
      </c>
      <c r="U5666" s="17" t="n">
        <v>161</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C-C-0136</t>
        </is>
      </c>
      <c r="B5667" s="12" t="inlineStr">
        <is>
          <t>C</t>
        </is>
      </c>
      <c r="C5667" s="12" t="inlineStr">
        <is>
          <t>Grid interface</t>
        </is>
      </c>
      <c r="D5667" s="12" t="inlineStr">
        <is>
          <t>Motor 9 of 10: control / local station</t>
        </is>
      </c>
      <c r="E5667" s="12" t="inlineStr">
        <is>
          <t>MCC-C1</t>
        </is>
      </c>
      <c r="F5667" s="12" t="inlineStr">
        <is>
          <t>R1 MCC-C1</t>
        </is>
      </c>
      <c r="G5667" s="12" t="inlineStr"/>
      <c r="H5667" s="12" t="inlineStr">
        <is>
          <t xml:space="preserve">CO2 compression 3 x ~19 MW + dehydration: rooftop HVAC, exhaust fans, </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Tray</t>
        </is>
      </c>
      <c r="T5667" s="17" t="n">
        <v>1744</v>
      </c>
      <c r="U5667" s="17" t="n">
        <v>161</v>
      </c>
      <c r="V5667" s="17">
        <f>ROUNDUP((T5667+U5667+2*'Read Me'!$B$13)*(1+'Read Me'!$B$12),-1)</f>
        <v/>
      </c>
      <c r="W5667" s="17">
        <f>V5667*N5667*O5667</f>
        <v/>
      </c>
      <c r="X5667" s="12">
        <f>IF(LEFT(I5667,2)="MV",2*N5667*IF(L5667="1/C",O5667,1),0)</f>
        <v/>
      </c>
      <c r="Y5667" s="12">
        <f>IF(OR(LEFT(K5667,4)="LVAX",LEFT(K5667,6)="MV15AX",LEFT(K5667,4)="CTAX",LEFT(K5667,2)="W|"),2*N5667*O5667,0)</f>
        <v/>
      </c>
      <c r="Z5667" s="12" t="inlineStr"/>
      <c r="AA5667" s="12">
        <f>N5667*O5667</f>
        <v/>
      </c>
    </row>
    <row r="5668">
      <c r="A5668" s="12" t="inlineStr">
        <is>
          <t>C-C-0137</t>
        </is>
      </c>
      <c r="B5668" s="12" t="inlineStr">
        <is>
          <t>C</t>
        </is>
      </c>
      <c r="C5668" s="12" t="inlineStr">
        <is>
          <t>Grid interface</t>
        </is>
      </c>
      <c r="D5668" s="12" t="inlineStr">
        <is>
          <t>Motor 10 of 10: control / local station</t>
        </is>
      </c>
      <c r="E5668" s="12" t="inlineStr">
        <is>
          <t>MCC-C1</t>
        </is>
      </c>
      <c r="F5668" s="12" t="inlineStr">
        <is>
          <t>R1 MCC-C1</t>
        </is>
      </c>
      <c r="G5668" s="12" t="inlineStr"/>
      <c r="H5668" s="12" t="inlineStr">
        <is>
          <t xml:space="preserve">CO2 compression 3 x ~19 MW + dehydration: rooftop HVAC, exhaust fans, </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Tray</t>
        </is>
      </c>
      <c r="T5668" s="17" t="n">
        <v>1744</v>
      </c>
      <c r="U5668" s="17" t="n">
        <v>161</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C-C-0138</t>
        </is>
      </c>
      <c r="B5669" s="12" t="inlineStr">
        <is>
          <t>C</t>
        </is>
      </c>
      <c r="C5669" s="12" t="inlineStr">
        <is>
          <t>Grid interface</t>
        </is>
      </c>
      <c r="D5669" s="12" t="inlineStr">
        <is>
          <t>Motor 1 of 2: control / local station</t>
        </is>
      </c>
      <c r="E5669" s="12" t="inlineStr">
        <is>
          <t>MCC-C1</t>
        </is>
      </c>
      <c r="F5669" s="12" t="inlineStr">
        <is>
          <t>R1 MCC-C1</t>
        </is>
      </c>
      <c r="G5669" s="12" t="inlineStr"/>
      <c r="H5669" s="12" t="inlineStr">
        <is>
          <t>Small-bore piping: instrument air, service water, nitrogen, HRSG drain</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Tray</t>
        </is>
      </c>
      <c r="T5669" s="17" t="n">
        <v>614</v>
      </c>
      <c r="U5669" s="17" t="n">
        <v>145</v>
      </c>
      <c r="V5669" s="17">
        <f>ROUNDUP((T5669+U5669+2*'Read Me'!$B$13)*(1+'Read Me'!$B$12),-1)</f>
        <v/>
      </c>
      <c r="W5669" s="17">
        <f>V5669*N5669*O5669</f>
        <v/>
      </c>
      <c r="X5669" s="12">
        <f>IF(LEFT(I5669,2)="MV",2*N5669*IF(L5669="1/C",O5669,1),0)</f>
        <v/>
      </c>
      <c r="Y5669" s="12">
        <f>IF(OR(LEFT(K5669,4)="LVAX",LEFT(K5669,6)="MV15AX",LEFT(K5669,4)="CTAX",LEFT(K5669,2)="W|"),2*N5669*O5669,0)</f>
        <v/>
      </c>
      <c r="Z5669" s="12" t="inlineStr"/>
      <c r="AA5669" s="12">
        <f>N5669*O5669</f>
        <v/>
      </c>
    </row>
    <row r="5670">
      <c r="A5670" s="12" t="inlineStr">
        <is>
          <t>C-C-0139</t>
        </is>
      </c>
      <c r="B5670" s="12" t="inlineStr">
        <is>
          <t>C</t>
        </is>
      </c>
      <c r="C5670" s="12" t="inlineStr">
        <is>
          <t>Grid interface</t>
        </is>
      </c>
      <c r="D5670" s="12" t="inlineStr">
        <is>
          <t>Motor 2 of 2: control / local station</t>
        </is>
      </c>
      <c r="E5670" s="12" t="inlineStr">
        <is>
          <t>MCC-C1</t>
        </is>
      </c>
      <c r="F5670" s="12" t="inlineStr">
        <is>
          <t>R1 MCC-C1</t>
        </is>
      </c>
      <c r="G5670" s="12" t="inlineStr"/>
      <c r="H5670" s="12" t="inlineStr">
        <is>
          <t>Small-bore piping: instrument air, service water, nitrogen, HRSG drain</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Tray</t>
        </is>
      </c>
      <c r="T5670" s="17" t="n">
        <v>614</v>
      </c>
      <c r="U5670" s="17" t="n">
        <v>145</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C-C-0140</t>
        </is>
      </c>
      <c r="B5671" s="12" t="inlineStr">
        <is>
          <t>C</t>
        </is>
      </c>
      <c r="C5671" s="12" t="inlineStr">
        <is>
          <t>Grid interface</t>
        </is>
      </c>
      <c r="D5671" s="12" t="inlineStr">
        <is>
          <t>Motor 1 of 8: control / local station</t>
        </is>
      </c>
      <c r="E5671" s="12" t="inlineStr">
        <is>
          <t>MCC-C1</t>
        </is>
      </c>
      <c r="F5671" s="12" t="inlineStr">
        <is>
          <t>R1 MCC-C1</t>
        </is>
      </c>
      <c r="G5671" s="12" t="inlineStr"/>
      <c r="H5671" s="12" t="inlineStr">
        <is>
          <t>Wastewater treatment: rooftop HVAC, exhaust fans, vents</t>
        </is>
      </c>
      <c r="I5671" s="12" t="inlineStr">
        <is>
          <t>Control</t>
        </is>
      </c>
      <c r="J5671" s="12" t="inlineStr">
        <is>
          <t>Control cable 600 V Type TC-ER, Cu #14 AWG, PVC jacket</t>
        </is>
      </c>
      <c r="K5671" s="12" t="inlineStr">
        <is>
          <t>CT|7/C|14</t>
        </is>
      </c>
      <c r="L5671" s="12" t="inlineStr">
        <is>
          <t>7/C</t>
        </is>
      </c>
      <c r="M5671" s="12" t="inlineStr">
        <is>
          <t>14</t>
        </is>
      </c>
      <c r="N5671" s="12" t="n">
        <v>1</v>
      </c>
      <c r="O5671" s="12" t="n">
        <v>1</v>
      </c>
      <c r="P5671" s="12" t="n"/>
      <c r="Q5671" s="12" t="n"/>
      <c r="R5671" s="12" t="n"/>
      <c r="S5671" s="12" t="inlineStr">
        <is>
          <t>Duct bank</t>
        </is>
      </c>
      <c r="T5671" s="17" t="n">
        <v>1859</v>
      </c>
      <c r="U5671" s="17" t="n">
        <v>228</v>
      </c>
      <c r="V5671" s="17">
        <f>ROUNDUP((T5671+U5671+2*'Read Me'!$B$13)*(1+'Read Me'!$B$12),-1)</f>
        <v/>
      </c>
      <c r="W5671" s="17">
        <f>V5671*N5671*O5671</f>
        <v/>
      </c>
      <c r="X5671" s="12">
        <f>IF(LEFT(I5671,2)="MV",2*N5671*IF(L5671="1/C",O5671,1),0)</f>
        <v/>
      </c>
      <c r="Y5671" s="12">
        <f>IF(OR(LEFT(K5671,4)="LVAX",LEFT(K5671,6)="MV15AX",LEFT(K5671,4)="CTAX",LEFT(K5671,2)="W|"),2*N5671*O5671,0)</f>
        <v/>
      </c>
      <c r="Z5671" s="12" t="inlineStr"/>
      <c r="AA5671" s="12">
        <f>N5671*O5671</f>
        <v/>
      </c>
    </row>
    <row r="5672">
      <c r="A5672" s="12" t="inlineStr">
        <is>
          <t>C-C-0141</t>
        </is>
      </c>
      <c r="B5672" s="12" t="inlineStr">
        <is>
          <t>C</t>
        </is>
      </c>
      <c r="C5672" s="12" t="inlineStr">
        <is>
          <t>Grid interface</t>
        </is>
      </c>
      <c r="D5672" s="12" t="inlineStr">
        <is>
          <t>Motor 2 of 8: control / local station</t>
        </is>
      </c>
      <c r="E5672" s="12" t="inlineStr">
        <is>
          <t>MCC-C1</t>
        </is>
      </c>
      <c r="F5672" s="12" t="inlineStr">
        <is>
          <t>R1 MCC-C1</t>
        </is>
      </c>
      <c r="G5672" s="12" t="inlineStr"/>
      <c r="H5672" s="12" t="inlineStr">
        <is>
          <t>Wastewater treatment: rooftop HVAC, exhaust fans, vents</t>
        </is>
      </c>
      <c r="I5672" s="12" t="inlineStr">
        <is>
          <t>Control</t>
        </is>
      </c>
      <c r="J5672" s="12" t="inlineStr">
        <is>
          <t>Control cable 600 V Type TC-ER, Cu #14 AWG, PVC jacket</t>
        </is>
      </c>
      <c r="K5672" s="12" t="inlineStr">
        <is>
          <t>CT|7/C|14</t>
        </is>
      </c>
      <c r="L5672" s="12" t="inlineStr">
        <is>
          <t>7/C</t>
        </is>
      </c>
      <c r="M5672" s="12" t="inlineStr">
        <is>
          <t>14</t>
        </is>
      </c>
      <c r="N5672" s="12" t="n">
        <v>1</v>
      </c>
      <c r="O5672" s="12" t="n">
        <v>1</v>
      </c>
      <c r="P5672" s="12" t="n"/>
      <c r="Q5672" s="12" t="n"/>
      <c r="R5672" s="12" t="n"/>
      <c r="S5672" s="12" t="inlineStr">
        <is>
          <t>Duct bank</t>
        </is>
      </c>
      <c r="T5672" s="17" t="n">
        <v>1859</v>
      </c>
      <c r="U5672" s="17" t="n">
        <v>228</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C-C-0142</t>
        </is>
      </c>
      <c r="B5673" s="12" t="inlineStr">
        <is>
          <t>C</t>
        </is>
      </c>
      <c r="C5673" s="12" t="inlineStr">
        <is>
          <t>Grid interface</t>
        </is>
      </c>
      <c r="D5673" s="12" t="inlineStr">
        <is>
          <t>Motor 3 of 8: control / local station</t>
        </is>
      </c>
      <c r="E5673" s="12" t="inlineStr">
        <is>
          <t>MCC-C1</t>
        </is>
      </c>
      <c r="F5673" s="12" t="inlineStr">
        <is>
          <t>R1 MCC-C1</t>
        </is>
      </c>
      <c r="G5673" s="12" t="inlineStr"/>
      <c r="H5673" s="12" t="inlineStr">
        <is>
          <t>Wastewater treatment: rooftop HVAC, exhaust fans, vents</t>
        </is>
      </c>
      <c r="I5673" s="12" t="inlineStr">
        <is>
          <t>Control</t>
        </is>
      </c>
      <c r="J5673" s="12" t="inlineStr">
        <is>
          <t>Control cable 600 V Type TC-ER, Cu #14 AWG, PVC jacket</t>
        </is>
      </c>
      <c r="K5673" s="12" t="inlineStr">
        <is>
          <t>CT|7/C|14</t>
        </is>
      </c>
      <c r="L5673" s="12" t="inlineStr">
        <is>
          <t>7/C</t>
        </is>
      </c>
      <c r="M5673" s="12" t="inlineStr">
        <is>
          <t>14</t>
        </is>
      </c>
      <c r="N5673" s="12" t="n">
        <v>1</v>
      </c>
      <c r="O5673" s="12" t="n">
        <v>1</v>
      </c>
      <c r="P5673" s="12" t="n"/>
      <c r="Q5673" s="12" t="n"/>
      <c r="R5673" s="12" t="n"/>
      <c r="S5673" s="12" t="inlineStr">
        <is>
          <t>Duct bank</t>
        </is>
      </c>
      <c r="T5673" s="17" t="n">
        <v>1859</v>
      </c>
      <c r="U5673" s="17" t="n">
        <v>228</v>
      </c>
      <c r="V5673" s="17">
        <f>ROUNDUP((T5673+U5673+2*'Read Me'!$B$13)*(1+'Read Me'!$B$12),-1)</f>
        <v/>
      </c>
      <c r="W5673" s="17">
        <f>V5673*N5673*O5673</f>
        <v/>
      </c>
      <c r="X5673" s="12">
        <f>IF(LEFT(I5673,2)="MV",2*N5673*IF(L5673="1/C",O5673,1),0)</f>
        <v/>
      </c>
      <c r="Y5673" s="12">
        <f>IF(OR(LEFT(K5673,4)="LVAX",LEFT(K5673,6)="MV15AX",LEFT(K5673,4)="CTAX",LEFT(K5673,2)="W|"),2*N5673*O5673,0)</f>
        <v/>
      </c>
      <c r="Z5673" s="12" t="inlineStr"/>
      <c r="AA5673" s="12">
        <f>N5673*O5673</f>
        <v/>
      </c>
    </row>
    <row r="5674">
      <c r="A5674" s="12" t="inlineStr">
        <is>
          <t>C-C-0143</t>
        </is>
      </c>
      <c r="B5674" s="12" t="inlineStr">
        <is>
          <t>C</t>
        </is>
      </c>
      <c r="C5674" s="12" t="inlineStr">
        <is>
          <t>Grid interface</t>
        </is>
      </c>
      <c r="D5674" s="12" t="inlineStr">
        <is>
          <t>Motor 4 of 8: control / local station</t>
        </is>
      </c>
      <c r="E5674" s="12" t="inlineStr">
        <is>
          <t>MCC-C1</t>
        </is>
      </c>
      <c r="F5674" s="12" t="inlineStr">
        <is>
          <t>R1 MCC-C1</t>
        </is>
      </c>
      <c r="G5674" s="12" t="inlineStr"/>
      <c r="H5674" s="12" t="inlineStr">
        <is>
          <t>Wastewater treatment: rooftop HVAC, exhaust fans, vents</t>
        </is>
      </c>
      <c r="I5674" s="12" t="inlineStr">
        <is>
          <t>Control</t>
        </is>
      </c>
      <c r="J5674" s="12" t="inlineStr">
        <is>
          <t>Control cable 600 V Type TC-ER, Cu #14 AWG, PVC jacket</t>
        </is>
      </c>
      <c r="K5674" s="12" t="inlineStr">
        <is>
          <t>CT|7/C|14</t>
        </is>
      </c>
      <c r="L5674" s="12" t="inlineStr">
        <is>
          <t>7/C</t>
        </is>
      </c>
      <c r="M5674" s="12" t="inlineStr">
        <is>
          <t>14</t>
        </is>
      </c>
      <c r="N5674" s="12" t="n">
        <v>1</v>
      </c>
      <c r="O5674" s="12" t="n">
        <v>1</v>
      </c>
      <c r="P5674" s="12" t="n"/>
      <c r="Q5674" s="12" t="n"/>
      <c r="R5674" s="12" t="n"/>
      <c r="S5674" s="12" t="inlineStr">
        <is>
          <t>Duct bank</t>
        </is>
      </c>
      <c r="T5674" s="17" t="n">
        <v>1859</v>
      </c>
      <c r="U5674" s="17" t="n">
        <v>228</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C-C-0144</t>
        </is>
      </c>
      <c r="B5675" s="12" t="inlineStr">
        <is>
          <t>C</t>
        </is>
      </c>
      <c r="C5675" s="12" t="inlineStr">
        <is>
          <t>Grid interface</t>
        </is>
      </c>
      <c r="D5675" s="12" t="inlineStr">
        <is>
          <t>Motor 5 of 8: control / local station</t>
        </is>
      </c>
      <c r="E5675" s="12" t="inlineStr">
        <is>
          <t>MCC-C1</t>
        </is>
      </c>
      <c r="F5675" s="12" t="inlineStr">
        <is>
          <t>R1 MCC-C1</t>
        </is>
      </c>
      <c r="G5675" s="12" t="inlineStr"/>
      <c r="H5675" s="12" t="inlineStr">
        <is>
          <t>Wastewater treatment: rooftop HVAC, exhaust fans, vents</t>
        </is>
      </c>
      <c r="I5675" s="12" t="inlineStr">
        <is>
          <t>Control</t>
        </is>
      </c>
      <c r="J5675" s="12" t="inlineStr">
        <is>
          <t>Control cable 600 V Type TC-ER, Cu #14 AWG, PVC jacket</t>
        </is>
      </c>
      <c r="K5675" s="12" t="inlineStr">
        <is>
          <t>CT|7/C|14</t>
        </is>
      </c>
      <c r="L5675" s="12" t="inlineStr">
        <is>
          <t>7/C</t>
        </is>
      </c>
      <c r="M5675" s="12" t="inlineStr">
        <is>
          <t>14</t>
        </is>
      </c>
      <c r="N5675" s="12" t="n">
        <v>1</v>
      </c>
      <c r="O5675" s="12" t="n">
        <v>1</v>
      </c>
      <c r="P5675" s="12" t="n"/>
      <c r="Q5675" s="12" t="n"/>
      <c r="R5675" s="12" t="n"/>
      <c r="S5675" s="12" t="inlineStr">
        <is>
          <t>Duct bank</t>
        </is>
      </c>
      <c r="T5675" s="17" t="n">
        <v>1859</v>
      </c>
      <c r="U5675" s="17" t="n">
        <v>228</v>
      </c>
      <c r="V5675" s="17">
        <f>ROUNDUP((T5675+U5675+2*'Read Me'!$B$13)*(1+'Read Me'!$B$12),-1)</f>
        <v/>
      </c>
      <c r="W5675" s="17">
        <f>V5675*N5675*O5675</f>
        <v/>
      </c>
      <c r="X5675" s="12">
        <f>IF(LEFT(I5675,2)="MV",2*N5675*IF(L5675="1/C",O5675,1),0)</f>
        <v/>
      </c>
      <c r="Y5675" s="12">
        <f>IF(OR(LEFT(K5675,4)="LVAX",LEFT(K5675,6)="MV15AX",LEFT(K5675,4)="CTAX",LEFT(K5675,2)="W|"),2*N5675*O5675,0)</f>
        <v/>
      </c>
      <c r="Z5675" s="12" t="inlineStr"/>
      <c r="AA5675" s="12">
        <f>N5675*O5675</f>
        <v/>
      </c>
    </row>
    <row r="5676">
      <c r="A5676" s="12" t="inlineStr">
        <is>
          <t>C-C-0145</t>
        </is>
      </c>
      <c r="B5676" s="12" t="inlineStr">
        <is>
          <t>C</t>
        </is>
      </c>
      <c r="C5676" s="12" t="inlineStr">
        <is>
          <t>Grid interface</t>
        </is>
      </c>
      <c r="D5676" s="12" t="inlineStr">
        <is>
          <t>Motor 6 of 8: control / local station</t>
        </is>
      </c>
      <c r="E5676" s="12" t="inlineStr">
        <is>
          <t>MCC-C1</t>
        </is>
      </c>
      <c r="F5676" s="12" t="inlineStr">
        <is>
          <t>R1 MCC-C1</t>
        </is>
      </c>
      <c r="G5676" s="12" t="inlineStr"/>
      <c r="H5676" s="12" t="inlineStr">
        <is>
          <t>Wastewater treatment: rooftop HVAC, exhaust fans, vents</t>
        </is>
      </c>
      <c r="I5676" s="12" t="inlineStr">
        <is>
          <t>Control</t>
        </is>
      </c>
      <c r="J5676" s="12" t="inlineStr">
        <is>
          <t>Control cable 600 V Type TC-ER, Cu #14 AWG, PVC jacket</t>
        </is>
      </c>
      <c r="K5676" s="12" t="inlineStr">
        <is>
          <t>CT|7/C|14</t>
        </is>
      </c>
      <c r="L5676" s="12" t="inlineStr">
        <is>
          <t>7/C</t>
        </is>
      </c>
      <c r="M5676" s="12" t="inlineStr">
        <is>
          <t>14</t>
        </is>
      </c>
      <c r="N5676" s="12" t="n">
        <v>1</v>
      </c>
      <c r="O5676" s="12" t="n">
        <v>1</v>
      </c>
      <c r="P5676" s="12" t="n"/>
      <c r="Q5676" s="12" t="n"/>
      <c r="R5676" s="12" t="n"/>
      <c r="S5676" s="12" t="inlineStr">
        <is>
          <t>Duct bank</t>
        </is>
      </c>
      <c r="T5676" s="17" t="n">
        <v>1859</v>
      </c>
      <c r="U5676" s="17" t="n">
        <v>228</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C-C-0146</t>
        </is>
      </c>
      <c r="B5677" s="12" t="inlineStr">
        <is>
          <t>C</t>
        </is>
      </c>
      <c r="C5677" s="12" t="inlineStr">
        <is>
          <t>Grid interface</t>
        </is>
      </c>
      <c r="D5677" s="12" t="inlineStr">
        <is>
          <t>Motor 7 of 8: control / local station</t>
        </is>
      </c>
      <c r="E5677" s="12" t="inlineStr">
        <is>
          <t>MCC-C1</t>
        </is>
      </c>
      <c r="F5677" s="12" t="inlineStr">
        <is>
          <t>R1 MCC-C1</t>
        </is>
      </c>
      <c r="G5677" s="12" t="inlineStr"/>
      <c r="H5677" s="12" t="inlineStr">
        <is>
          <t>Wastewater treatment: rooftop HVAC, exhaust fans, vents</t>
        </is>
      </c>
      <c r="I5677" s="12" t="inlineStr">
        <is>
          <t>Control</t>
        </is>
      </c>
      <c r="J5677" s="12" t="inlineStr">
        <is>
          <t>Control cable 600 V Type TC-ER, Cu #14 AWG, PVC jacket</t>
        </is>
      </c>
      <c r="K5677" s="12" t="inlineStr">
        <is>
          <t>CT|7/C|14</t>
        </is>
      </c>
      <c r="L5677" s="12" t="inlineStr">
        <is>
          <t>7/C</t>
        </is>
      </c>
      <c r="M5677" s="12" t="inlineStr">
        <is>
          <t>14</t>
        </is>
      </c>
      <c r="N5677" s="12" t="n">
        <v>1</v>
      </c>
      <c r="O5677" s="12" t="n">
        <v>1</v>
      </c>
      <c r="P5677" s="12" t="n"/>
      <c r="Q5677" s="12" t="n"/>
      <c r="R5677" s="12" t="n"/>
      <c r="S5677" s="12" t="inlineStr">
        <is>
          <t>Duct bank</t>
        </is>
      </c>
      <c r="T5677" s="17" t="n">
        <v>1859</v>
      </c>
      <c r="U5677" s="17" t="n">
        <v>228</v>
      </c>
      <c r="V5677" s="17">
        <f>ROUNDUP((T5677+U5677+2*'Read Me'!$B$13)*(1+'Read Me'!$B$12),-1)</f>
        <v/>
      </c>
      <c r="W5677" s="17">
        <f>V5677*N5677*O5677</f>
        <v/>
      </c>
      <c r="X5677" s="12">
        <f>IF(LEFT(I5677,2)="MV",2*N5677*IF(L5677="1/C",O5677,1),0)</f>
        <v/>
      </c>
      <c r="Y5677" s="12">
        <f>IF(OR(LEFT(K5677,4)="LVAX",LEFT(K5677,6)="MV15AX",LEFT(K5677,4)="CTAX",LEFT(K5677,2)="W|"),2*N5677*O5677,0)</f>
        <v/>
      </c>
      <c r="Z5677" s="12" t="inlineStr"/>
      <c r="AA5677" s="12">
        <f>N5677*O5677</f>
        <v/>
      </c>
    </row>
    <row r="5678">
      <c r="A5678" s="12" t="inlineStr">
        <is>
          <t>C-C-0147</t>
        </is>
      </c>
      <c r="B5678" s="12" t="inlineStr">
        <is>
          <t>C</t>
        </is>
      </c>
      <c r="C5678" s="12" t="inlineStr">
        <is>
          <t>Grid interface</t>
        </is>
      </c>
      <c r="D5678" s="12" t="inlineStr">
        <is>
          <t>Motor 8 of 8: control / local station</t>
        </is>
      </c>
      <c r="E5678" s="12" t="inlineStr">
        <is>
          <t>MCC-C1</t>
        </is>
      </c>
      <c r="F5678" s="12" t="inlineStr">
        <is>
          <t>R1 MCC-C1</t>
        </is>
      </c>
      <c r="G5678" s="12" t="inlineStr"/>
      <c r="H5678" s="12" t="inlineStr">
        <is>
          <t>Wastewater treatment: rooftop HVAC, exhaust fans, vents</t>
        </is>
      </c>
      <c r="I5678" s="12" t="inlineStr">
        <is>
          <t>Control</t>
        </is>
      </c>
      <c r="J5678" s="12" t="inlineStr">
        <is>
          <t>Control cable 600 V Type TC-ER, Cu #14 AWG, PVC jacket</t>
        </is>
      </c>
      <c r="K5678" s="12" t="inlineStr">
        <is>
          <t>CT|7/C|14</t>
        </is>
      </c>
      <c r="L5678" s="12" t="inlineStr">
        <is>
          <t>7/C</t>
        </is>
      </c>
      <c r="M5678" s="12" t="inlineStr">
        <is>
          <t>14</t>
        </is>
      </c>
      <c r="N5678" s="12" t="n">
        <v>1</v>
      </c>
      <c r="O5678" s="12" t="n">
        <v>1</v>
      </c>
      <c r="P5678" s="12" t="n"/>
      <c r="Q5678" s="12" t="n"/>
      <c r="R5678" s="12" t="n"/>
      <c r="S5678" s="12" t="inlineStr">
        <is>
          <t>Duct bank</t>
        </is>
      </c>
      <c r="T5678" s="17" t="n">
        <v>1859</v>
      </c>
      <c r="U5678" s="17" t="n">
        <v>228</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C-C-0148</t>
        </is>
      </c>
      <c r="B5679" s="12" t="inlineStr">
        <is>
          <t>C</t>
        </is>
      </c>
      <c r="C5679" s="12" t="inlineStr">
        <is>
          <t>Grid interface</t>
        </is>
      </c>
      <c r="D5679" s="12" t="inlineStr">
        <is>
          <t>Motor 1 of 20: control / local station</t>
        </is>
      </c>
      <c r="E5679" s="12" t="inlineStr">
        <is>
          <t>MCC-C1</t>
        </is>
      </c>
      <c r="F5679" s="12" t="inlineStr">
        <is>
          <t>R1 MCC-C1</t>
        </is>
      </c>
      <c r="G5679" s="12" t="inlineStr"/>
      <c r="H5679" s="12" t="inlineStr">
        <is>
          <t>Water treatment building: rooftop HVAC, exhaust fans, vents</t>
        </is>
      </c>
      <c r="I5679" s="12" t="inlineStr">
        <is>
          <t>Control</t>
        </is>
      </c>
      <c r="J5679" s="12" t="inlineStr">
        <is>
          <t>Control cable 600 V Type TC-ER, Cu #14 AWG, PVC jacket</t>
        </is>
      </c>
      <c r="K5679" s="12" t="inlineStr">
        <is>
          <t>CT|7/C|14</t>
        </is>
      </c>
      <c r="L5679" s="12" t="inlineStr">
        <is>
          <t>7/C</t>
        </is>
      </c>
      <c r="M5679" s="12" t="inlineStr">
        <is>
          <t>14</t>
        </is>
      </c>
      <c r="N5679" s="12" t="n">
        <v>1</v>
      </c>
      <c r="O5679" s="12" t="n">
        <v>1</v>
      </c>
      <c r="P5679" s="12" t="n"/>
      <c r="Q5679" s="12" t="n"/>
      <c r="R5679" s="12" t="n"/>
      <c r="S5679" s="12" t="inlineStr">
        <is>
          <t>Duct bank</t>
        </is>
      </c>
      <c r="T5679" s="17" t="n">
        <v>1629</v>
      </c>
      <c r="U5679" s="17" t="n">
        <v>161</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C-C-0149</t>
        </is>
      </c>
      <c r="B5680" s="12" t="inlineStr">
        <is>
          <t>C</t>
        </is>
      </c>
      <c r="C5680" s="12" t="inlineStr">
        <is>
          <t>Grid interface</t>
        </is>
      </c>
      <c r="D5680" s="12" t="inlineStr">
        <is>
          <t>Motor 2 of 20: control / local station</t>
        </is>
      </c>
      <c r="E5680" s="12" t="inlineStr">
        <is>
          <t>MCC-C1</t>
        </is>
      </c>
      <c r="F5680" s="12" t="inlineStr">
        <is>
          <t>R1 MCC-C1</t>
        </is>
      </c>
      <c r="G5680" s="12" t="inlineStr"/>
      <c r="H5680" s="12" t="inlineStr">
        <is>
          <t>Water treatment building: rooftop HVAC, exhaust fans, vents</t>
        </is>
      </c>
      <c r="I5680" s="12" t="inlineStr">
        <is>
          <t>Control</t>
        </is>
      </c>
      <c r="J5680" s="12" t="inlineStr">
        <is>
          <t>Control cable 600 V Type TC-ER, Cu #14 AWG, PVC jacket</t>
        </is>
      </c>
      <c r="K5680" s="12" t="inlineStr">
        <is>
          <t>CT|7/C|14</t>
        </is>
      </c>
      <c r="L5680" s="12" t="inlineStr">
        <is>
          <t>7/C</t>
        </is>
      </c>
      <c r="M5680" s="12" t="inlineStr">
        <is>
          <t>14</t>
        </is>
      </c>
      <c r="N5680" s="12" t="n">
        <v>1</v>
      </c>
      <c r="O5680" s="12" t="n">
        <v>1</v>
      </c>
      <c r="P5680" s="12" t="n"/>
      <c r="Q5680" s="12" t="n"/>
      <c r="R5680" s="12" t="n"/>
      <c r="S5680" s="12" t="inlineStr">
        <is>
          <t>Duct bank</t>
        </is>
      </c>
      <c r="T5680" s="17" t="n">
        <v>1629</v>
      </c>
      <c r="U5680" s="17" t="n">
        <v>161</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C-C-0150</t>
        </is>
      </c>
      <c r="B5681" s="12" t="inlineStr">
        <is>
          <t>C</t>
        </is>
      </c>
      <c r="C5681" s="12" t="inlineStr">
        <is>
          <t>Grid interface</t>
        </is>
      </c>
      <c r="D5681" s="12" t="inlineStr">
        <is>
          <t>Motor 3 of 20: control / local station</t>
        </is>
      </c>
      <c r="E5681" s="12" t="inlineStr">
        <is>
          <t>MCC-C1</t>
        </is>
      </c>
      <c r="F5681" s="12" t="inlineStr">
        <is>
          <t>R1 MCC-C1</t>
        </is>
      </c>
      <c r="G5681" s="12" t="inlineStr"/>
      <c r="H5681" s="12" t="inlineStr">
        <is>
          <t>Water treatment building: rooftop HVAC, exhaust fans, vents</t>
        </is>
      </c>
      <c r="I5681" s="12" t="inlineStr">
        <is>
          <t>Control</t>
        </is>
      </c>
      <c r="J5681" s="12" t="inlineStr">
        <is>
          <t>Control cable 600 V Type TC-ER, Cu #14 AWG, PVC jacket</t>
        </is>
      </c>
      <c r="K5681" s="12" t="inlineStr">
        <is>
          <t>CT|7/C|14</t>
        </is>
      </c>
      <c r="L5681" s="12" t="inlineStr">
        <is>
          <t>7/C</t>
        </is>
      </c>
      <c r="M5681" s="12" t="inlineStr">
        <is>
          <t>14</t>
        </is>
      </c>
      <c r="N5681" s="12" t="n">
        <v>1</v>
      </c>
      <c r="O5681" s="12" t="n">
        <v>1</v>
      </c>
      <c r="P5681" s="12" t="n"/>
      <c r="Q5681" s="12" t="n"/>
      <c r="R5681" s="12" t="n"/>
      <c r="S5681" s="12" t="inlineStr">
        <is>
          <t>Duct bank</t>
        </is>
      </c>
      <c r="T5681" s="17" t="n">
        <v>1629</v>
      </c>
      <c r="U5681" s="17" t="n">
        <v>161</v>
      </c>
      <c r="V5681" s="17">
        <f>ROUNDUP((T5681+U5681+2*'Read Me'!$B$13)*(1+'Read Me'!$B$12),-1)</f>
        <v/>
      </c>
      <c r="W5681" s="17">
        <f>V5681*N5681*O5681</f>
        <v/>
      </c>
      <c r="X5681" s="12">
        <f>IF(LEFT(I5681,2)="MV",2*N5681*IF(L5681="1/C",O5681,1),0)</f>
        <v/>
      </c>
      <c r="Y5681" s="12">
        <f>IF(OR(LEFT(K5681,4)="LVAX",LEFT(K5681,6)="MV15AX",LEFT(K5681,4)="CTAX",LEFT(K5681,2)="W|"),2*N5681*O5681,0)</f>
        <v/>
      </c>
      <c r="Z5681" s="12" t="inlineStr"/>
      <c r="AA5681" s="12">
        <f>N5681*O5681</f>
        <v/>
      </c>
    </row>
    <row r="5682">
      <c r="A5682" s="12" t="inlineStr">
        <is>
          <t>C-C-0151</t>
        </is>
      </c>
      <c r="B5682" s="12" t="inlineStr">
        <is>
          <t>C</t>
        </is>
      </c>
      <c r="C5682" s="12" t="inlineStr">
        <is>
          <t>Grid interface</t>
        </is>
      </c>
      <c r="D5682" s="12" t="inlineStr">
        <is>
          <t>Motor 4 of 20: control / local station</t>
        </is>
      </c>
      <c r="E5682" s="12" t="inlineStr">
        <is>
          <t>MCC-C1</t>
        </is>
      </c>
      <c r="F5682" s="12" t="inlineStr">
        <is>
          <t>R1 MCC-C1</t>
        </is>
      </c>
      <c r="G5682" s="12" t="inlineStr"/>
      <c r="H5682" s="12" t="inlineStr">
        <is>
          <t>Water treatment building: rooftop HVAC, exhaust fans, vents</t>
        </is>
      </c>
      <c r="I5682" s="12" t="inlineStr">
        <is>
          <t>Control</t>
        </is>
      </c>
      <c r="J5682" s="12" t="inlineStr">
        <is>
          <t>Control cable 600 V Type TC-ER, Cu #14 AWG, PVC jacket</t>
        </is>
      </c>
      <c r="K5682" s="12" t="inlineStr">
        <is>
          <t>CT|7/C|14</t>
        </is>
      </c>
      <c r="L5682" s="12" t="inlineStr">
        <is>
          <t>7/C</t>
        </is>
      </c>
      <c r="M5682" s="12" t="inlineStr">
        <is>
          <t>14</t>
        </is>
      </c>
      <c r="N5682" s="12" t="n">
        <v>1</v>
      </c>
      <c r="O5682" s="12" t="n">
        <v>1</v>
      </c>
      <c r="P5682" s="12" t="n"/>
      <c r="Q5682" s="12" t="n"/>
      <c r="R5682" s="12" t="n"/>
      <c r="S5682" s="12" t="inlineStr">
        <is>
          <t>Duct bank</t>
        </is>
      </c>
      <c r="T5682" s="17" t="n">
        <v>1629</v>
      </c>
      <c r="U5682" s="17" t="n">
        <v>161</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C-C-0152</t>
        </is>
      </c>
      <c r="B5683" s="12" t="inlineStr">
        <is>
          <t>C</t>
        </is>
      </c>
      <c r="C5683" s="12" t="inlineStr">
        <is>
          <t>Grid interface</t>
        </is>
      </c>
      <c r="D5683" s="12" t="inlineStr">
        <is>
          <t>Motor 5 of 20: control / local station</t>
        </is>
      </c>
      <c r="E5683" s="12" t="inlineStr">
        <is>
          <t>MCC-C1</t>
        </is>
      </c>
      <c r="F5683" s="12" t="inlineStr">
        <is>
          <t>R1 MCC-C1</t>
        </is>
      </c>
      <c r="G5683" s="12" t="inlineStr"/>
      <c r="H5683" s="12" t="inlineStr">
        <is>
          <t>Water treatment building: rooftop HVAC, exhaust fans, vents</t>
        </is>
      </c>
      <c r="I5683" s="12" t="inlineStr">
        <is>
          <t>Control</t>
        </is>
      </c>
      <c r="J5683" s="12" t="inlineStr">
        <is>
          <t>Control cable 600 V Type TC-ER, Cu #14 AWG, PVC jacket</t>
        </is>
      </c>
      <c r="K5683" s="12" t="inlineStr">
        <is>
          <t>CT|7/C|14</t>
        </is>
      </c>
      <c r="L5683" s="12" t="inlineStr">
        <is>
          <t>7/C</t>
        </is>
      </c>
      <c r="M5683" s="12" t="inlineStr">
        <is>
          <t>14</t>
        </is>
      </c>
      <c r="N5683" s="12" t="n">
        <v>1</v>
      </c>
      <c r="O5683" s="12" t="n">
        <v>1</v>
      </c>
      <c r="P5683" s="12" t="n"/>
      <c r="Q5683" s="12" t="n"/>
      <c r="R5683" s="12" t="n"/>
      <c r="S5683" s="12" t="inlineStr">
        <is>
          <t>Duct bank</t>
        </is>
      </c>
      <c r="T5683" s="17" t="n">
        <v>1629</v>
      </c>
      <c r="U5683" s="17" t="n">
        <v>161</v>
      </c>
      <c r="V5683" s="17">
        <f>ROUNDUP((T5683+U5683+2*'Read Me'!$B$13)*(1+'Read Me'!$B$12),-1)</f>
        <v/>
      </c>
      <c r="W5683" s="17">
        <f>V5683*N5683*O5683</f>
        <v/>
      </c>
      <c r="X5683" s="12">
        <f>IF(LEFT(I5683,2)="MV",2*N5683*IF(L5683="1/C",O5683,1),0)</f>
        <v/>
      </c>
      <c r="Y5683" s="12">
        <f>IF(OR(LEFT(K5683,4)="LVAX",LEFT(K5683,6)="MV15AX",LEFT(K5683,4)="CTAX",LEFT(K5683,2)="W|"),2*N5683*O5683,0)</f>
        <v/>
      </c>
      <c r="Z5683" s="12" t="inlineStr"/>
      <c r="AA5683" s="12">
        <f>N5683*O5683</f>
        <v/>
      </c>
    </row>
    <row r="5684">
      <c r="A5684" s="12" t="inlineStr">
        <is>
          <t>C-C-0153</t>
        </is>
      </c>
      <c r="B5684" s="12" t="inlineStr">
        <is>
          <t>C</t>
        </is>
      </c>
      <c r="C5684" s="12" t="inlineStr">
        <is>
          <t>Grid interface</t>
        </is>
      </c>
      <c r="D5684" s="12" t="inlineStr">
        <is>
          <t>Motor 6 of 20: control / local station</t>
        </is>
      </c>
      <c r="E5684" s="12" t="inlineStr">
        <is>
          <t>MCC-C1</t>
        </is>
      </c>
      <c r="F5684" s="12" t="inlineStr">
        <is>
          <t>R1 MCC-C1</t>
        </is>
      </c>
      <c r="G5684" s="12" t="inlineStr"/>
      <c r="H5684" s="12" t="inlineStr">
        <is>
          <t>Water treatment building: rooftop HVAC, exhaust fans, vents</t>
        </is>
      </c>
      <c r="I5684" s="12" t="inlineStr">
        <is>
          <t>Control</t>
        </is>
      </c>
      <c r="J5684" s="12" t="inlineStr">
        <is>
          <t>Control cable 600 V Type TC-ER, Cu #14 AWG, PVC jacket</t>
        </is>
      </c>
      <c r="K5684" s="12" t="inlineStr">
        <is>
          <t>CT|7/C|14</t>
        </is>
      </c>
      <c r="L5684" s="12" t="inlineStr">
        <is>
          <t>7/C</t>
        </is>
      </c>
      <c r="M5684" s="12" t="inlineStr">
        <is>
          <t>14</t>
        </is>
      </c>
      <c r="N5684" s="12" t="n">
        <v>1</v>
      </c>
      <c r="O5684" s="12" t="n">
        <v>1</v>
      </c>
      <c r="P5684" s="12" t="n"/>
      <c r="Q5684" s="12" t="n"/>
      <c r="R5684" s="12" t="n"/>
      <c r="S5684" s="12" t="inlineStr">
        <is>
          <t>Duct bank</t>
        </is>
      </c>
      <c r="T5684" s="17" t="n">
        <v>1629</v>
      </c>
      <c r="U5684" s="17" t="n">
        <v>161</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C-C-0154</t>
        </is>
      </c>
      <c r="B5685" s="12" t="inlineStr">
        <is>
          <t>C</t>
        </is>
      </c>
      <c r="C5685" s="12" t="inlineStr">
        <is>
          <t>Grid interface</t>
        </is>
      </c>
      <c r="D5685" s="12" t="inlineStr">
        <is>
          <t>Motor 7 of 20: control / local station</t>
        </is>
      </c>
      <c r="E5685" s="12" t="inlineStr">
        <is>
          <t>MCC-C1</t>
        </is>
      </c>
      <c r="F5685" s="12" t="inlineStr">
        <is>
          <t>R1 MCC-C1</t>
        </is>
      </c>
      <c r="G5685" s="12" t="inlineStr"/>
      <c r="H5685" s="12" t="inlineStr">
        <is>
          <t>Water treatment building: rooftop HVAC, exhaust fans, vents</t>
        </is>
      </c>
      <c r="I5685" s="12" t="inlineStr">
        <is>
          <t>Control</t>
        </is>
      </c>
      <c r="J5685" s="12" t="inlineStr">
        <is>
          <t>Control cable 600 V Type TC-ER, Cu #14 AWG, PVC jacket</t>
        </is>
      </c>
      <c r="K5685" s="12" t="inlineStr">
        <is>
          <t>CT|7/C|14</t>
        </is>
      </c>
      <c r="L5685" s="12" t="inlineStr">
        <is>
          <t>7/C</t>
        </is>
      </c>
      <c r="M5685" s="12" t="inlineStr">
        <is>
          <t>14</t>
        </is>
      </c>
      <c r="N5685" s="12" t="n">
        <v>1</v>
      </c>
      <c r="O5685" s="12" t="n">
        <v>1</v>
      </c>
      <c r="P5685" s="12" t="n"/>
      <c r="Q5685" s="12" t="n"/>
      <c r="R5685" s="12" t="n"/>
      <c r="S5685" s="12" t="inlineStr">
        <is>
          <t>Duct bank</t>
        </is>
      </c>
      <c r="T5685" s="17" t="n">
        <v>1629</v>
      </c>
      <c r="U5685" s="17" t="n">
        <v>161</v>
      </c>
      <c r="V5685" s="17">
        <f>ROUNDUP((T5685+U5685+2*'Read Me'!$B$13)*(1+'Read Me'!$B$12),-1)</f>
        <v/>
      </c>
      <c r="W5685" s="17">
        <f>V5685*N5685*O5685</f>
        <v/>
      </c>
      <c r="X5685" s="12">
        <f>IF(LEFT(I5685,2)="MV",2*N5685*IF(L5685="1/C",O5685,1),0)</f>
        <v/>
      </c>
      <c r="Y5685" s="12">
        <f>IF(OR(LEFT(K5685,4)="LVAX",LEFT(K5685,6)="MV15AX",LEFT(K5685,4)="CTAX",LEFT(K5685,2)="W|"),2*N5685*O5685,0)</f>
        <v/>
      </c>
      <c r="Z5685" s="12" t="inlineStr"/>
      <c r="AA5685" s="12">
        <f>N5685*O5685</f>
        <v/>
      </c>
    </row>
    <row r="5686">
      <c r="A5686" s="12" t="inlineStr">
        <is>
          <t>C-C-0155</t>
        </is>
      </c>
      <c r="B5686" s="12" t="inlineStr">
        <is>
          <t>C</t>
        </is>
      </c>
      <c r="C5686" s="12" t="inlineStr">
        <is>
          <t>Grid interface</t>
        </is>
      </c>
      <c r="D5686" s="12" t="inlineStr">
        <is>
          <t>Motor 8 of 20: control / local station</t>
        </is>
      </c>
      <c r="E5686" s="12" t="inlineStr">
        <is>
          <t>MCC-C1</t>
        </is>
      </c>
      <c r="F5686" s="12" t="inlineStr">
        <is>
          <t>R1 MCC-C1</t>
        </is>
      </c>
      <c r="G5686" s="12" t="inlineStr"/>
      <c r="H5686" s="12" t="inlineStr">
        <is>
          <t>Water treatment building: rooftop HVAC, exhaust fans, vents</t>
        </is>
      </c>
      <c r="I5686" s="12" t="inlineStr">
        <is>
          <t>Control</t>
        </is>
      </c>
      <c r="J5686" s="12" t="inlineStr">
        <is>
          <t>Control cable 600 V Type TC-ER, Cu #14 AWG, PVC jacket</t>
        </is>
      </c>
      <c r="K5686" s="12" t="inlineStr">
        <is>
          <t>CT|7/C|14</t>
        </is>
      </c>
      <c r="L5686" s="12" t="inlineStr">
        <is>
          <t>7/C</t>
        </is>
      </c>
      <c r="M5686" s="12" t="inlineStr">
        <is>
          <t>14</t>
        </is>
      </c>
      <c r="N5686" s="12" t="n">
        <v>1</v>
      </c>
      <c r="O5686" s="12" t="n">
        <v>1</v>
      </c>
      <c r="P5686" s="12" t="n"/>
      <c r="Q5686" s="12" t="n"/>
      <c r="R5686" s="12" t="n"/>
      <c r="S5686" s="12" t="inlineStr">
        <is>
          <t>Duct bank</t>
        </is>
      </c>
      <c r="T5686" s="17" t="n">
        <v>1629</v>
      </c>
      <c r="U5686" s="17" t="n">
        <v>161</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C-C-0156</t>
        </is>
      </c>
      <c r="B5687" s="12" t="inlineStr">
        <is>
          <t>C</t>
        </is>
      </c>
      <c r="C5687" s="12" t="inlineStr">
        <is>
          <t>Grid interface</t>
        </is>
      </c>
      <c r="D5687" s="12" t="inlineStr">
        <is>
          <t>Motor 9 of 20: control / local station</t>
        </is>
      </c>
      <c r="E5687" s="12" t="inlineStr">
        <is>
          <t>MCC-C1</t>
        </is>
      </c>
      <c r="F5687" s="12" t="inlineStr">
        <is>
          <t>R1 MCC-C1</t>
        </is>
      </c>
      <c r="G5687" s="12" t="inlineStr"/>
      <c r="H5687" s="12" t="inlineStr">
        <is>
          <t>Water treatment building: rooftop HVAC, exhaust fans, vents</t>
        </is>
      </c>
      <c r="I5687" s="12" t="inlineStr">
        <is>
          <t>Control</t>
        </is>
      </c>
      <c r="J5687" s="12" t="inlineStr">
        <is>
          <t>Control cable 600 V Type TC-ER, Cu #14 AWG, PVC jacket</t>
        </is>
      </c>
      <c r="K5687" s="12" t="inlineStr">
        <is>
          <t>CT|7/C|14</t>
        </is>
      </c>
      <c r="L5687" s="12" t="inlineStr">
        <is>
          <t>7/C</t>
        </is>
      </c>
      <c r="M5687" s="12" t="inlineStr">
        <is>
          <t>14</t>
        </is>
      </c>
      <c r="N5687" s="12" t="n">
        <v>1</v>
      </c>
      <c r="O5687" s="12" t="n">
        <v>1</v>
      </c>
      <c r="P5687" s="12" t="n"/>
      <c r="Q5687" s="12" t="n"/>
      <c r="R5687" s="12" t="n"/>
      <c r="S5687" s="12" t="inlineStr">
        <is>
          <t>Duct bank</t>
        </is>
      </c>
      <c r="T5687" s="17" t="n">
        <v>1629</v>
      </c>
      <c r="U5687" s="17" t="n">
        <v>161</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C-C-0157</t>
        </is>
      </c>
      <c r="B5688" s="12" t="inlineStr">
        <is>
          <t>C</t>
        </is>
      </c>
      <c r="C5688" s="12" t="inlineStr">
        <is>
          <t>Grid interface</t>
        </is>
      </c>
      <c r="D5688" s="12" t="inlineStr">
        <is>
          <t>Motor 10 of 20: control / local station</t>
        </is>
      </c>
      <c r="E5688" s="12" t="inlineStr">
        <is>
          <t>MCC-C1</t>
        </is>
      </c>
      <c r="F5688" s="12" t="inlineStr">
        <is>
          <t>R1 MCC-C1</t>
        </is>
      </c>
      <c r="G5688" s="12" t="inlineStr"/>
      <c r="H5688" s="12" t="inlineStr">
        <is>
          <t>Water treatment building: rooftop HVAC, exhaust fans, vents</t>
        </is>
      </c>
      <c r="I5688" s="12" t="inlineStr">
        <is>
          <t>Control</t>
        </is>
      </c>
      <c r="J5688" s="12" t="inlineStr">
        <is>
          <t>Control cable 600 V Type TC-ER, Cu #14 AWG, PVC jacket</t>
        </is>
      </c>
      <c r="K5688" s="12" t="inlineStr">
        <is>
          <t>CT|7/C|14</t>
        </is>
      </c>
      <c r="L5688" s="12" t="inlineStr">
        <is>
          <t>7/C</t>
        </is>
      </c>
      <c r="M5688" s="12" t="inlineStr">
        <is>
          <t>14</t>
        </is>
      </c>
      <c r="N5688" s="12" t="n">
        <v>1</v>
      </c>
      <c r="O5688" s="12" t="n">
        <v>1</v>
      </c>
      <c r="P5688" s="12" t="n"/>
      <c r="Q5688" s="12" t="n"/>
      <c r="R5688" s="12" t="n"/>
      <c r="S5688" s="12" t="inlineStr">
        <is>
          <t>Duct bank</t>
        </is>
      </c>
      <c r="T5688" s="17" t="n">
        <v>1629</v>
      </c>
      <c r="U5688" s="17" t="n">
        <v>161</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C-C-0158</t>
        </is>
      </c>
      <c r="B5689" s="12" t="inlineStr">
        <is>
          <t>C</t>
        </is>
      </c>
      <c r="C5689" s="12" t="inlineStr">
        <is>
          <t>Grid interface</t>
        </is>
      </c>
      <c r="D5689" s="12" t="inlineStr">
        <is>
          <t>Motor 11 of 20: control / local station</t>
        </is>
      </c>
      <c r="E5689" s="12" t="inlineStr">
        <is>
          <t>MCC-C1</t>
        </is>
      </c>
      <c r="F5689" s="12" t="inlineStr">
        <is>
          <t>R1 MCC-C1</t>
        </is>
      </c>
      <c r="G5689" s="12" t="inlineStr"/>
      <c r="H5689" s="12" t="inlineStr">
        <is>
          <t>Water treatment building: rooftop HVAC, exhaust fans, vents</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Duct bank</t>
        </is>
      </c>
      <c r="T5689" s="17" t="n">
        <v>1629</v>
      </c>
      <c r="U5689" s="17" t="n">
        <v>161</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C-C-0159</t>
        </is>
      </c>
      <c r="B5690" s="12" t="inlineStr">
        <is>
          <t>C</t>
        </is>
      </c>
      <c r="C5690" s="12" t="inlineStr">
        <is>
          <t>Grid interface</t>
        </is>
      </c>
      <c r="D5690" s="12" t="inlineStr">
        <is>
          <t>Motor 12 of 20: control / local station</t>
        </is>
      </c>
      <c r="E5690" s="12" t="inlineStr">
        <is>
          <t>MCC-C1</t>
        </is>
      </c>
      <c r="F5690" s="12" t="inlineStr">
        <is>
          <t>R1 MCC-C1</t>
        </is>
      </c>
      <c r="G5690" s="12" t="inlineStr"/>
      <c r="H5690" s="12" t="inlineStr">
        <is>
          <t>Water treatment building: rooftop HVAC, exhaust fans, vents</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Duct bank</t>
        </is>
      </c>
      <c r="T5690" s="17" t="n">
        <v>1629</v>
      </c>
      <c r="U5690" s="17" t="n">
        <v>161</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C-C-0160</t>
        </is>
      </c>
      <c r="B5691" s="12" t="inlineStr">
        <is>
          <t>C</t>
        </is>
      </c>
      <c r="C5691" s="12" t="inlineStr">
        <is>
          <t>Grid interface</t>
        </is>
      </c>
      <c r="D5691" s="12" t="inlineStr">
        <is>
          <t>Motor 13 of 20: control / local station</t>
        </is>
      </c>
      <c r="E5691" s="12" t="inlineStr">
        <is>
          <t>MCC-C1</t>
        </is>
      </c>
      <c r="F5691" s="12" t="inlineStr">
        <is>
          <t>R1 MCC-C1</t>
        </is>
      </c>
      <c r="G5691" s="12" t="inlineStr"/>
      <c r="H5691" s="12" t="inlineStr">
        <is>
          <t>Water treatment building: rooftop HVAC, exhaust fans, vents</t>
        </is>
      </c>
      <c r="I5691" s="12" t="inlineStr">
        <is>
          <t>Control</t>
        </is>
      </c>
      <c r="J5691" s="12" t="inlineStr">
        <is>
          <t>Control cable 600 V Type TC-ER, Cu #14 AWG, PVC jacket</t>
        </is>
      </c>
      <c r="K5691" s="12" t="inlineStr">
        <is>
          <t>CT|7/C|14</t>
        </is>
      </c>
      <c r="L5691" s="12" t="inlineStr">
        <is>
          <t>7/C</t>
        </is>
      </c>
      <c r="M5691" s="12" t="inlineStr">
        <is>
          <t>14</t>
        </is>
      </c>
      <c r="N5691" s="12" t="n">
        <v>1</v>
      </c>
      <c r="O5691" s="12" t="n">
        <v>1</v>
      </c>
      <c r="P5691" s="12" t="n"/>
      <c r="Q5691" s="12" t="n"/>
      <c r="R5691" s="12" t="n"/>
      <c r="S5691" s="12" t="inlineStr">
        <is>
          <t>Duct bank</t>
        </is>
      </c>
      <c r="T5691" s="17" t="n">
        <v>1629</v>
      </c>
      <c r="U5691" s="17" t="n">
        <v>161</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C-C-0161</t>
        </is>
      </c>
      <c r="B5692" s="12" t="inlineStr">
        <is>
          <t>C</t>
        </is>
      </c>
      <c r="C5692" s="12" t="inlineStr">
        <is>
          <t>Grid interface</t>
        </is>
      </c>
      <c r="D5692" s="12" t="inlineStr">
        <is>
          <t>Motor 14 of 20: control / local station</t>
        </is>
      </c>
      <c r="E5692" s="12" t="inlineStr">
        <is>
          <t>MCC-C1</t>
        </is>
      </c>
      <c r="F5692" s="12" t="inlineStr">
        <is>
          <t>R1 MCC-C1</t>
        </is>
      </c>
      <c r="G5692" s="12" t="inlineStr"/>
      <c r="H5692" s="12" t="inlineStr">
        <is>
          <t>Water treatment building: rooftop HVAC, exhaust fans, vents</t>
        </is>
      </c>
      <c r="I5692" s="12" t="inlineStr">
        <is>
          <t>Control</t>
        </is>
      </c>
      <c r="J5692" s="12" t="inlineStr">
        <is>
          <t>Control cable 600 V Type TC-ER, Cu #14 AWG, PVC jacket</t>
        </is>
      </c>
      <c r="K5692" s="12" t="inlineStr">
        <is>
          <t>CT|7/C|14</t>
        </is>
      </c>
      <c r="L5692" s="12" t="inlineStr">
        <is>
          <t>7/C</t>
        </is>
      </c>
      <c r="M5692" s="12" t="inlineStr">
        <is>
          <t>14</t>
        </is>
      </c>
      <c r="N5692" s="12" t="n">
        <v>1</v>
      </c>
      <c r="O5692" s="12" t="n">
        <v>1</v>
      </c>
      <c r="P5692" s="12" t="n"/>
      <c r="Q5692" s="12" t="n"/>
      <c r="R5692" s="12" t="n"/>
      <c r="S5692" s="12" t="inlineStr">
        <is>
          <t>Duct bank</t>
        </is>
      </c>
      <c r="T5692" s="17" t="n">
        <v>1629</v>
      </c>
      <c r="U5692" s="17" t="n">
        <v>161</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C-C-0162</t>
        </is>
      </c>
      <c r="B5693" s="12" t="inlineStr">
        <is>
          <t>C</t>
        </is>
      </c>
      <c r="C5693" s="12" t="inlineStr">
        <is>
          <t>Grid interface</t>
        </is>
      </c>
      <c r="D5693" s="12" t="inlineStr">
        <is>
          <t>Motor 15 of 20: control / local station</t>
        </is>
      </c>
      <c r="E5693" s="12" t="inlineStr">
        <is>
          <t>MCC-C1</t>
        </is>
      </c>
      <c r="F5693" s="12" t="inlineStr">
        <is>
          <t>R1 MCC-C1</t>
        </is>
      </c>
      <c r="G5693" s="12" t="inlineStr"/>
      <c r="H5693" s="12" t="inlineStr">
        <is>
          <t>Water treatment building: rooftop HVAC, exhaust fans, vents</t>
        </is>
      </c>
      <c r="I5693" s="12" t="inlineStr">
        <is>
          <t>Control</t>
        </is>
      </c>
      <c r="J5693" s="12" t="inlineStr">
        <is>
          <t>Control cable 600 V Type TC-ER, Cu #14 AWG, PVC jacket</t>
        </is>
      </c>
      <c r="K5693" s="12" t="inlineStr">
        <is>
          <t>CT|7/C|14</t>
        </is>
      </c>
      <c r="L5693" s="12" t="inlineStr">
        <is>
          <t>7/C</t>
        </is>
      </c>
      <c r="M5693" s="12" t="inlineStr">
        <is>
          <t>14</t>
        </is>
      </c>
      <c r="N5693" s="12" t="n">
        <v>1</v>
      </c>
      <c r="O5693" s="12" t="n">
        <v>1</v>
      </c>
      <c r="P5693" s="12" t="n"/>
      <c r="Q5693" s="12" t="n"/>
      <c r="R5693" s="12" t="n"/>
      <c r="S5693" s="12" t="inlineStr">
        <is>
          <t>Duct bank</t>
        </is>
      </c>
      <c r="T5693" s="17" t="n">
        <v>1629</v>
      </c>
      <c r="U5693" s="17" t="n">
        <v>161</v>
      </c>
      <c r="V5693" s="17">
        <f>ROUNDUP((T5693+U5693+2*'Read Me'!$B$13)*(1+'Read Me'!$B$12),-1)</f>
        <v/>
      </c>
      <c r="W5693" s="17">
        <f>V5693*N5693*O5693</f>
        <v/>
      </c>
      <c r="X5693" s="12">
        <f>IF(LEFT(I5693,2)="MV",2*N5693*IF(L5693="1/C",O5693,1),0)</f>
        <v/>
      </c>
      <c r="Y5693" s="12">
        <f>IF(OR(LEFT(K5693,4)="LVAX",LEFT(K5693,6)="MV15AX",LEFT(K5693,4)="CTAX",LEFT(K5693,2)="W|"),2*N5693*O5693,0)</f>
        <v/>
      </c>
      <c r="Z5693" s="12" t="inlineStr"/>
      <c r="AA5693" s="12">
        <f>N5693*O5693</f>
        <v/>
      </c>
    </row>
    <row r="5694">
      <c r="A5694" s="12" t="inlineStr">
        <is>
          <t>C-C-0163</t>
        </is>
      </c>
      <c r="B5694" s="12" t="inlineStr">
        <is>
          <t>C</t>
        </is>
      </c>
      <c r="C5694" s="12" t="inlineStr">
        <is>
          <t>Grid interface</t>
        </is>
      </c>
      <c r="D5694" s="12" t="inlineStr">
        <is>
          <t>Motor 16 of 20: control / local station</t>
        </is>
      </c>
      <c r="E5694" s="12" t="inlineStr">
        <is>
          <t>MCC-C1</t>
        </is>
      </c>
      <c r="F5694" s="12" t="inlineStr">
        <is>
          <t>R1 MCC-C1</t>
        </is>
      </c>
      <c r="G5694" s="12" t="inlineStr"/>
      <c r="H5694" s="12" t="inlineStr">
        <is>
          <t>Water treatment building: rooftop HVAC, exhaust fans, vents</t>
        </is>
      </c>
      <c r="I5694" s="12" t="inlineStr">
        <is>
          <t>Control</t>
        </is>
      </c>
      <c r="J5694" s="12" t="inlineStr">
        <is>
          <t>Control cable 600 V Type TC-ER, Cu #14 AWG, PVC jacket</t>
        </is>
      </c>
      <c r="K5694" s="12" t="inlineStr">
        <is>
          <t>CT|7/C|14</t>
        </is>
      </c>
      <c r="L5694" s="12" t="inlineStr">
        <is>
          <t>7/C</t>
        </is>
      </c>
      <c r="M5694" s="12" t="inlineStr">
        <is>
          <t>14</t>
        </is>
      </c>
      <c r="N5694" s="12" t="n">
        <v>1</v>
      </c>
      <c r="O5694" s="12" t="n">
        <v>1</v>
      </c>
      <c r="P5694" s="12" t="n"/>
      <c r="Q5694" s="12" t="n"/>
      <c r="R5694" s="12" t="n"/>
      <c r="S5694" s="12" t="inlineStr">
        <is>
          <t>Duct bank</t>
        </is>
      </c>
      <c r="T5694" s="17" t="n">
        <v>1629</v>
      </c>
      <c r="U5694" s="17" t="n">
        <v>161</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C-C-0164</t>
        </is>
      </c>
      <c r="B5695" s="12" t="inlineStr">
        <is>
          <t>C</t>
        </is>
      </c>
      <c r="C5695" s="12" t="inlineStr">
        <is>
          <t>Grid interface</t>
        </is>
      </c>
      <c r="D5695" s="12" t="inlineStr">
        <is>
          <t>Motor 17 of 20: control / local station</t>
        </is>
      </c>
      <c r="E5695" s="12" t="inlineStr">
        <is>
          <t>MCC-C1</t>
        </is>
      </c>
      <c r="F5695" s="12" t="inlineStr">
        <is>
          <t>R1 MCC-C1</t>
        </is>
      </c>
      <c r="G5695" s="12" t="inlineStr"/>
      <c r="H5695" s="12" t="inlineStr">
        <is>
          <t>Water treatment building: rooftop HVAC, exhaust fans, vents</t>
        </is>
      </c>
      <c r="I5695" s="12" t="inlineStr">
        <is>
          <t>Control</t>
        </is>
      </c>
      <c r="J5695" s="12" t="inlineStr">
        <is>
          <t>Control cable 600 V Type TC-ER, Cu #14 AWG, PVC jacket</t>
        </is>
      </c>
      <c r="K5695" s="12" t="inlineStr">
        <is>
          <t>CT|7/C|14</t>
        </is>
      </c>
      <c r="L5695" s="12" t="inlineStr">
        <is>
          <t>7/C</t>
        </is>
      </c>
      <c r="M5695" s="12" t="inlineStr">
        <is>
          <t>14</t>
        </is>
      </c>
      <c r="N5695" s="12" t="n">
        <v>1</v>
      </c>
      <c r="O5695" s="12" t="n">
        <v>1</v>
      </c>
      <c r="P5695" s="12" t="n"/>
      <c r="Q5695" s="12" t="n"/>
      <c r="R5695" s="12" t="n"/>
      <c r="S5695" s="12" t="inlineStr">
        <is>
          <t>Duct bank</t>
        </is>
      </c>
      <c r="T5695" s="17" t="n">
        <v>1629</v>
      </c>
      <c r="U5695" s="17" t="n">
        <v>161</v>
      </c>
      <c r="V5695" s="17">
        <f>ROUNDUP((T5695+U5695+2*'Read Me'!$B$13)*(1+'Read Me'!$B$12),-1)</f>
        <v/>
      </c>
      <c r="W5695" s="17">
        <f>V5695*N5695*O5695</f>
        <v/>
      </c>
      <c r="X5695" s="12">
        <f>IF(LEFT(I5695,2)="MV",2*N5695*IF(L5695="1/C",O5695,1),0)</f>
        <v/>
      </c>
      <c r="Y5695" s="12">
        <f>IF(OR(LEFT(K5695,4)="LVAX",LEFT(K5695,6)="MV15AX",LEFT(K5695,4)="CTAX",LEFT(K5695,2)="W|"),2*N5695*O5695,0)</f>
        <v/>
      </c>
      <c r="Z5695" s="12" t="inlineStr"/>
      <c r="AA5695" s="12">
        <f>N5695*O5695</f>
        <v/>
      </c>
    </row>
    <row r="5696">
      <c r="A5696" s="12" t="inlineStr">
        <is>
          <t>C-C-0165</t>
        </is>
      </c>
      <c r="B5696" s="12" t="inlineStr">
        <is>
          <t>C</t>
        </is>
      </c>
      <c r="C5696" s="12" t="inlineStr">
        <is>
          <t>Grid interface</t>
        </is>
      </c>
      <c r="D5696" s="12" t="inlineStr">
        <is>
          <t>Motor 18 of 20: control / local station</t>
        </is>
      </c>
      <c r="E5696" s="12" t="inlineStr">
        <is>
          <t>MCC-C1</t>
        </is>
      </c>
      <c r="F5696" s="12" t="inlineStr">
        <is>
          <t>R1 MCC-C1</t>
        </is>
      </c>
      <c r="G5696" s="12" t="inlineStr"/>
      <c r="H5696" s="12" t="inlineStr">
        <is>
          <t>Water treatment building: rooftop HVAC, exhaust fans, vents</t>
        </is>
      </c>
      <c r="I5696" s="12" t="inlineStr">
        <is>
          <t>Control</t>
        </is>
      </c>
      <c r="J5696" s="12" t="inlineStr">
        <is>
          <t>Control cable 600 V Type TC-ER, Cu #14 AWG, PVC jacket</t>
        </is>
      </c>
      <c r="K5696" s="12" t="inlineStr">
        <is>
          <t>CT|7/C|14</t>
        </is>
      </c>
      <c r="L5696" s="12" t="inlineStr">
        <is>
          <t>7/C</t>
        </is>
      </c>
      <c r="M5696" s="12" t="inlineStr">
        <is>
          <t>14</t>
        </is>
      </c>
      <c r="N5696" s="12" t="n">
        <v>1</v>
      </c>
      <c r="O5696" s="12" t="n">
        <v>1</v>
      </c>
      <c r="P5696" s="12" t="n"/>
      <c r="Q5696" s="12" t="n"/>
      <c r="R5696" s="12" t="n"/>
      <c r="S5696" s="12" t="inlineStr">
        <is>
          <t>Duct bank</t>
        </is>
      </c>
      <c r="T5696" s="17" t="n">
        <v>1629</v>
      </c>
      <c r="U5696" s="17" t="n">
        <v>161</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C-C-0166</t>
        </is>
      </c>
      <c r="B5697" s="12" t="inlineStr">
        <is>
          <t>C</t>
        </is>
      </c>
      <c r="C5697" s="12" t="inlineStr">
        <is>
          <t>Grid interface</t>
        </is>
      </c>
      <c r="D5697" s="12" t="inlineStr">
        <is>
          <t>Motor 19 of 20: control / local station</t>
        </is>
      </c>
      <c r="E5697" s="12" t="inlineStr">
        <is>
          <t>MCC-C1</t>
        </is>
      </c>
      <c r="F5697" s="12" t="inlineStr">
        <is>
          <t>R1 MCC-C1</t>
        </is>
      </c>
      <c r="G5697" s="12" t="inlineStr"/>
      <c r="H5697" s="12" t="inlineStr">
        <is>
          <t>Water treatment building: rooftop HVAC, exhaust fans, vents</t>
        </is>
      </c>
      <c r="I5697" s="12" t="inlineStr">
        <is>
          <t>Control</t>
        </is>
      </c>
      <c r="J5697" s="12" t="inlineStr">
        <is>
          <t>Control cable 600 V Type TC-ER, Cu #14 AWG, PVC jacket</t>
        </is>
      </c>
      <c r="K5697" s="12" t="inlineStr">
        <is>
          <t>CT|7/C|14</t>
        </is>
      </c>
      <c r="L5697" s="12" t="inlineStr">
        <is>
          <t>7/C</t>
        </is>
      </c>
      <c r="M5697" s="12" t="inlineStr">
        <is>
          <t>14</t>
        </is>
      </c>
      <c r="N5697" s="12" t="n">
        <v>1</v>
      </c>
      <c r="O5697" s="12" t="n">
        <v>1</v>
      </c>
      <c r="P5697" s="12" t="n"/>
      <c r="Q5697" s="12" t="n"/>
      <c r="R5697" s="12" t="n"/>
      <c r="S5697" s="12" t="inlineStr">
        <is>
          <t>Duct bank</t>
        </is>
      </c>
      <c r="T5697" s="17" t="n">
        <v>1629</v>
      </c>
      <c r="U5697" s="17" t="n">
        <v>161</v>
      </c>
      <c r="V5697" s="17">
        <f>ROUNDUP((T5697+U5697+2*'Read Me'!$B$13)*(1+'Read Me'!$B$12),-1)</f>
        <v/>
      </c>
      <c r="W5697" s="17">
        <f>V5697*N5697*O5697</f>
        <v/>
      </c>
      <c r="X5697" s="12">
        <f>IF(LEFT(I5697,2)="MV",2*N5697*IF(L5697="1/C",O5697,1),0)</f>
        <v/>
      </c>
      <c r="Y5697" s="12">
        <f>IF(OR(LEFT(K5697,4)="LVAX",LEFT(K5697,6)="MV15AX",LEFT(K5697,4)="CTAX",LEFT(K5697,2)="W|"),2*N5697*O5697,0)</f>
        <v/>
      </c>
      <c r="Z5697" s="12" t="inlineStr"/>
      <c r="AA5697" s="12">
        <f>N5697*O5697</f>
        <v/>
      </c>
    </row>
    <row r="5698">
      <c r="A5698" s="12" t="inlineStr">
        <is>
          <t>C-C-0167</t>
        </is>
      </c>
      <c r="B5698" s="12" t="inlineStr">
        <is>
          <t>C</t>
        </is>
      </c>
      <c r="C5698" s="12" t="inlineStr">
        <is>
          <t>Grid interface</t>
        </is>
      </c>
      <c r="D5698" s="12" t="inlineStr">
        <is>
          <t>Motor 20 of 20: control / local station</t>
        </is>
      </c>
      <c r="E5698" s="12" t="inlineStr">
        <is>
          <t>MCC-C1</t>
        </is>
      </c>
      <c r="F5698" s="12" t="inlineStr">
        <is>
          <t>R1 MCC-C1</t>
        </is>
      </c>
      <c r="G5698" s="12" t="inlineStr"/>
      <c r="H5698" s="12" t="inlineStr">
        <is>
          <t>Water treatment building: rooftop HVAC, exhaust fans, vents</t>
        </is>
      </c>
      <c r="I5698" s="12" t="inlineStr">
        <is>
          <t>Control</t>
        </is>
      </c>
      <c r="J5698" s="12" t="inlineStr">
        <is>
          <t>Control cable 600 V Type TC-ER, Cu #14 AWG, PVC jacket</t>
        </is>
      </c>
      <c r="K5698" s="12" t="inlineStr">
        <is>
          <t>CT|7/C|14</t>
        </is>
      </c>
      <c r="L5698" s="12" t="inlineStr">
        <is>
          <t>7/C</t>
        </is>
      </c>
      <c r="M5698" s="12" t="inlineStr">
        <is>
          <t>14</t>
        </is>
      </c>
      <c r="N5698" s="12" t="n">
        <v>1</v>
      </c>
      <c r="O5698" s="12" t="n">
        <v>1</v>
      </c>
      <c r="P5698" s="12" t="n"/>
      <c r="Q5698" s="12" t="n"/>
      <c r="R5698" s="12" t="n"/>
      <c r="S5698" s="12" t="inlineStr">
        <is>
          <t>Duct bank</t>
        </is>
      </c>
      <c r="T5698" s="17" t="n">
        <v>1629</v>
      </c>
      <c r="U5698" s="17" t="n">
        <v>161</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C-I-0081</t>
        </is>
      </c>
      <c r="B5699" s="12" t="inlineStr">
        <is>
          <t>C</t>
        </is>
      </c>
      <c r="C5699" s="12" t="inlineStr">
        <is>
          <t>Grid interface</t>
        </is>
      </c>
      <c r="D5699" s="12" t="inlineStr">
        <is>
          <t>Analog instrument to JB JB-CO2 compression 3 -AI01: 20 x 1 pr (field cables)</t>
        </is>
      </c>
      <c r="E5699" s="12" t="inlineStr"/>
      <c r="F5699" s="12" t="inlineStr">
        <is>
          <t xml:space="preserve">CO2 compression 3 x ~19 MW + dehydration: rooftop HVAC, exhaust fans, </t>
        </is>
      </c>
      <c r="G5699" s="12" t="inlineStr">
        <is>
          <t>JB-CO2 compression 3 -AI01</t>
        </is>
      </c>
      <c r="H5699" s="12" t="inlineStr">
        <is>
          <t xml:space="preserve">CO2 compression 3 x ~19 MW + dehydration: rooftop HVAC, exhaust fans, </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7" t="n">
        <v>161</v>
      </c>
      <c r="U5699" s="17" t="n">
        <v>10</v>
      </c>
      <c r="V5699" s="17">
        <f>ROUNDUP((T5699+U5699+2*'Read Me'!$B$13)*(1+'Read Me'!$B$12),-1)</f>
        <v/>
      </c>
      <c r="W5699" s="17">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C-I-0082</t>
        </is>
      </c>
      <c r="B5700" s="12" t="inlineStr">
        <is>
          <t>C</t>
        </is>
      </c>
      <c r="C5700" s="12" t="inlineStr">
        <is>
          <t>Grid interface</t>
        </is>
      </c>
      <c r="D5700" s="12" t="inlineStr">
        <is>
          <t>Home run JB-CO2 compression 3 -AI01 to the control / marshalling room</t>
        </is>
      </c>
      <c r="E5700" s="12" t="inlineStr">
        <is>
          <t>R1</t>
        </is>
      </c>
      <c r="F5700" s="12" t="inlineStr">
        <is>
          <t>R1: main electrical building (64 x 180 ft)</t>
        </is>
      </c>
      <c r="G5700" s="12" t="inlineStr">
        <is>
          <t>JB-CO2 compression 3 -AI01</t>
        </is>
      </c>
      <c r="H5700" s="12" t="inlineStr">
        <is>
          <t xml:space="preserve">CO2 compression 3 x ~19 MW + dehydration: rooftop HVAC, exhaust fans, </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Tray</t>
        </is>
      </c>
      <c r="T5700" s="17" t="n">
        <v>2186</v>
      </c>
      <c r="U5700" s="17" t="n">
        <v>268</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C-I-0083</t>
        </is>
      </c>
      <c r="B5701" s="12" t="inlineStr">
        <is>
          <t>C</t>
        </is>
      </c>
      <c r="C5701" s="12" t="inlineStr">
        <is>
          <t>Grid interface</t>
        </is>
      </c>
      <c r="D5701" s="12" t="inlineStr">
        <is>
          <t>Analog instrument to JB JB-CO2 compression 3 -AI02: 20 x 1 pr (field cables)</t>
        </is>
      </c>
      <c r="E5701" s="12" t="inlineStr"/>
      <c r="F5701" s="12" t="inlineStr">
        <is>
          <t xml:space="preserve">CO2 compression 3 x ~19 MW + dehydration: rooftop HVAC, exhaust fans, </t>
        </is>
      </c>
      <c r="G5701" s="12" t="inlineStr">
        <is>
          <t>JB-CO2 compression 3 -AI02</t>
        </is>
      </c>
      <c r="H5701" s="12" t="inlineStr">
        <is>
          <t xml:space="preserve">CO2 compression 3 x ~19 MW + dehydration: rooftop HVAC, exhaust fans, </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7" t="n">
        <v>161</v>
      </c>
      <c r="U5701" s="17" t="n">
        <v>10</v>
      </c>
      <c r="V5701" s="17">
        <f>ROUNDUP((T5701+U5701+2*'Read Me'!$B$13)*(1+'Read Me'!$B$12),-1)</f>
        <v/>
      </c>
      <c r="W5701" s="17">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C-I-0084</t>
        </is>
      </c>
      <c r="B5702" s="12" t="inlineStr">
        <is>
          <t>C</t>
        </is>
      </c>
      <c r="C5702" s="12" t="inlineStr">
        <is>
          <t>Grid interface</t>
        </is>
      </c>
      <c r="D5702" s="12" t="inlineStr">
        <is>
          <t>Home run JB-CO2 compression 3 -AI02 to the control / marshalling room</t>
        </is>
      </c>
      <c r="E5702" s="12" t="inlineStr">
        <is>
          <t>R1</t>
        </is>
      </c>
      <c r="F5702" s="12" t="inlineStr">
        <is>
          <t>R1: main electrical building (64 x 180 ft)</t>
        </is>
      </c>
      <c r="G5702" s="12" t="inlineStr">
        <is>
          <t>JB-CO2 compression 3 -AI02</t>
        </is>
      </c>
      <c r="H5702" s="12" t="inlineStr">
        <is>
          <t xml:space="preserve">CO2 compression 3 x ~19 MW + dehydration: rooftop HVAC, exhaust fans, </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Tray</t>
        </is>
      </c>
      <c r="T5702" s="17" t="n">
        <v>2186</v>
      </c>
      <c r="U5702" s="17" t="n">
        <v>268</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C-I-0085</t>
        </is>
      </c>
      <c r="B5703" s="12" t="inlineStr">
        <is>
          <t>C</t>
        </is>
      </c>
      <c r="C5703" s="12" t="inlineStr">
        <is>
          <t>Grid interface</t>
        </is>
      </c>
      <c r="D5703" s="12" t="inlineStr">
        <is>
          <t>Analog instrument to JB JB-CO2 compression 3 -AI03: 20 x 1 pr (field cables)</t>
        </is>
      </c>
      <c r="E5703" s="12" t="inlineStr"/>
      <c r="F5703" s="12" t="inlineStr">
        <is>
          <t xml:space="preserve">CO2 compression 3 x ~19 MW + dehydration: rooftop HVAC, exhaust fans, </t>
        </is>
      </c>
      <c r="G5703" s="12" t="inlineStr">
        <is>
          <t>JB-CO2 compression 3 -AI03</t>
        </is>
      </c>
      <c r="H5703" s="12" t="inlineStr">
        <is>
          <t xml:space="preserve">CO2 compression 3 x ~19 MW + dehydration: rooftop HVAC, exhaust fans, </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7" t="n">
        <v>161</v>
      </c>
      <c r="U5703" s="17" t="n">
        <v>10</v>
      </c>
      <c r="V5703" s="17">
        <f>ROUNDUP((T5703+U5703+2*'Read Me'!$B$13)*(1+'Read Me'!$B$12),-1)</f>
        <v/>
      </c>
      <c r="W5703" s="17">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C-I-0086</t>
        </is>
      </c>
      <c r="B5704" s="12" t="inlineStr">
        <is>
          <t>C</t>
        </is>
      </c>
      <c r="C5704" s="12" t="inlineStr">
        <is>
          <t>Grid interface</t>
        </is>
      </c>
      <c r="D5704" s="12" t="inlineStr">
        <is>
          <t>Home run JB-CO2 compression 3 -AI03 to the control / marshalling room</t>
        </is>
      </c>
      <c r="E5704" s="12" t="inlineStr">
        <is>
          <t>R1</t>
        </is>
      </c>
      <c r="F5704" s="12" t="inlineStr">
        <is>
          <t>R1: main electrical building (64 x 180 ft)</t>
        </is>
      </c>
      <c r="G5704" s="12" t="inlineStr">
        <is>
          <t>JB-CO2 compression 3 -AI03</t>
        </is>
      </c>
      <c r="H5704" s="12" t="inlineStr">
        <is>
          <t xml:space="preserve">CO2 compression 3 x ~19 MW + dehydration: rooftop HVAC, exhaust fans, </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Tray</t>
        </is>
      </c>
      <c r="T5704" s="17" t="n">
        <v>2186</v>
      </c>
      <c r="U5704" s="17" t="n">
        <v>268</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C-I-0087</t>
        </is>
      </c>
      <c r="B5705" s="12" t="inlineStr">
        <is>
          <t>C</t>
        </is>
      </c>
      <c r="C5705" s="12" t="inlineStr">
        <is>
          <t>Grid interface</t>
        </is>
      </c>
      <c r="D5705" s="12" t="inlineStr">
        <is>
          <t>Analog instrument to JB JB-CO2 compression 3 -AI04: 20 x 1 pr (field cables)</t>
        </is>
      </c>
      <c r="E5705" s="12" t="inlineStr"/>
      <c r="F5705" s="12" t="inlineStr">
        <is>
          <t xml:space="preserve">CO2 compression 3 x ~19 MW + dehydration: rooftop HVAC, exhaust fans, </t>
        </is>
      </c>
      <c r="G5705" s="12" t="inlineStr">
        <is>
          <t>JB-CO2 compression 3 -AI04</t>
        </is>
      </c>
      <c r="H5705" s="12" t="inlineStr">
        <is>
          <t xml:space="preserve">CO2 compression 3 x ~19 MW + dehydration: rooftop HVAC, exhaust fans, </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7" t="n">
        <v>161</v>
      </c>
      <c r="U5705" s="17" t="n">
        <v>10</v>
      </c>
      <c r="V5705" s="17">
        <f>ROUNDUP((T5705+U5705+2*'Read Me'!$B$13)*(1+'Read Me'!$B$12),-1)</f>
        <v/>
      </c>
      <c r="W5705" s="17">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C-I-0088</t>
        </is>
      </c>
      <c r="B5706" s="12" t="inlineStr">
        <is>
          <t>C</t>
        </is>
      </c>
      <c r="C5706" s="12" t="inlineStr">
        <is>
          <t>Grid interface</t>
        </is>
      </c>
      <c r="D5706" s="12" t="inlineStr">
        <is>
          <t>Home run JB-CO2 compression 3 -AI04 to the control / marshalling room</t>
        </is>
      </c>
      <c r="E5706" s="12" t="inlineStr">
        <is>
          <t>R1</t>
        </is>
      </c>
      <c r="F5706" s="12" t="inlineStr">
        <is>
          <t>R1: main electrical building (64 x 180 ft)</t>
        </is>
      </c>
      <c r="G5706" s="12" t="inlineStr">
        <is>
          <t>JB-CO2 compression 3 -AI04</t>
        </is>
      </c>
      <c r="H5706" s="12" t="inlineStr">
        <is>
          <t xml:space="preserve">CO2 compression 3 x ~19 MW + dehydration: rooftop HVAC, exhaust fans, </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Tray</t>
        </is>
      </c>
      <c r="T5706" s="17" t="n">
        <v>2186</v>
      </c>
      <c r="U5706" s="17" t="n">
        <v>268</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C-I-0089</t>
        </is>
      </c>
      <c r="B5707" s="12" t="inlineStr">
        <is>
          <t>C</t>
        </is>
      </c>
      <c r="C5707" s="12" t="inlineStr">
        <is>
          <t>Grid interface</t>
        </is>
      </c>
      <c r="D5707" s="12" t="inlineStr">
        <is>
          <t>Analog instrument to JB JB-CO2 compression 3 -AI05: 20 x 1 pr (field cables)</t>
        </is>
      </c>
      <c r="E5707" s="12" t="inlineStr"/>
      <c r="F5707" s="12" t="inlineStr">
        <is>
          <t xml:space="preserve">CO2 compression 3 x ~19 MW + dehydration: rooftop HVAC, exhaust fans, </t>
        </is>
      </c>
      <c r="G5707" s="12" t="inlineStr">
        <is>
          <t>JB-CO2 compression 3 -AI05</t>
        </is>
      </c>
      <c r="H5707" s="12" t="inlineStr">
        <is>
          <t xml:space="preserve">CO2 compression 3 x ~19 MW + dehydration: rooftop HVAC, exhaust fans, </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7" t="n">
        <v>161</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C-I-0090</t>
        </is>
      </c>
      <c r="B5708" s="12" t="inlineStr">
        <is>
          <t>C</t>
        </is>
      </c>
      <c r="C5708" s="12" t="inlineStr">
        <is>
          <t>Grid interface</t>
        </is>
      </c>
      <c r="D5708" s="12" t="inlineStr">
        <is>
          <t>Home run JB-CO2 compression 3 -AI05 to the control / marshalling room</t>
        </is>
      </c>
      <c r="E5708" s="12" t="inlineStr">
        <is>
          <t>R1</t>
        </is>
      </c>
      <c r="F5708" s="12" t="inlineStr">
        <is>
          <t>R1: main electrical building (64 x 180 ft)</t>
        </is>
      </c>
      <c r="G5708" s="12" t="inlineStr">
        <is>
          <t>JB-CO2 compression 3 -AI05</t>
        </is>
      </c>
      <c r="H5708" s="12" t="inlineStr">
        <is>
          <t xml:space="preserve">CO2 compression 3 x ~19 MW + dehydration: rooftop HVAC, exhaust fans, </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Tray</t>
        </is>
      </c>
      <c r="T5708" s="17" t="n">
        <v>2186</v>
      </c>
      <c r="U5708" s="17" t="n">
        <v>268</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C-I-0091</t>
        </is>
      </c>
      <c r="B5709" s="12" t="inlineStr">
        <is>
          <t>C</t>
        </is>
      </c>
      <c r="C5709" s="12" t="inlineStr">
        <is>
          <t>Grid interface</t>
        </is>
      </c>
      <c r="D5709" s="12" t="inlineStr">
        <is>
          <t>Analog instrument to JB JB-CO2 compression 3 -AI06: 20 x 1 pr (field cables)</t>
        </is>
      </c>
      <c r="E5709" s="12" t="inlineStr"/>
      <c r="F5709" s="12" t="inlineStr">
        <is>
          <t xml:space="preserve">CO2 compression 3 x ~19 MW + dehydration: rooftop HVAC, exhaust fans, </t>
        </is>
      </c>
      <c r="G5709" s="12" t="inlineStr">
        <is>
          <t>JB-CO2 compression 3 -AI06</t>
        </is>
      </c>
      <c r="H5709" s="12" t="inlineStr">
        <is>
          <t xml:space="preserve">CO2 compression 3 x ~19 MW + dehydration: rooftop HVAC, exhaust fans, </t>
        </is>
      </c>
      <c r="I5709" s="12" t="inlineStr">
        <is>
          <t>Instrumentation</t>
        </is>
      </c>
      <c r="J5709" s="12" t="inlineStr">
        <is>
          <t>Instrumentation PLTC / TC-ER 300 V, #18 twisted shielded pairs, overall shield</t>
        </is>
      </c>
      <c r="K5709" s="12" t="inlineStr">
        <is>
          <t>PLTC|1 pr|16</t>
        </is>
      </c>
      <c r="L5709" s="12" t="inlineStr">
        <is>
          <t>1 pr</t>
        </is>
      </c>
      <c r="M5709" s="12" t="inlineStr">
        <is>
          <t>16</t>
        </is>
      </c>
      <c r="N5709" s="12" t="n">
        <v>20</v>
      </c>
      <c r="O5709" s="12" t="n">
        <v>1</v>
      </c>
      <c r="P5709" s="12" t="n"/>
      <c r="Q5709" s="12" t="n"/>
      <c r="R5709" s="12" t="n"/>
      <c r="S5709" s="12" t="inlineStr">
        <is>
          <t>Tray / conduit</t>
        </is>
      </c>
      <c r="T5709" s="17" t="n">
        <v>161</v>
      </c>
      <c r="U5709" s="17" t="n">
        <v>10</v>
      </c>
      <c r="V5709" s="17">
        <f>ROUNDUP((T5709+U5709+2*'Read Me'!$B$13)*(1+'Read Me'!$B$12),-1)</f>
        <v/>
      </c>
      <c r="W5709" s="17">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C-I-0092</t>
        </is>
      </c>
      <c r="B5710" s="12" t="inlineStr">
        <is>
          <t>C</t>
        </is>
      </c>
      <c r="C5710" s="12" t="inlineStr">
        <is>
          <t>Grid interface</t>
        </is>
      </c>
      <c r="D5710" s="12" t="inlineStr">
        <is>
          <t>Home run JB-CO2 compression 3 -AI06 to the control / marshalling room</t>
        </is>
      </c>
      <c r="E5710" s="12" t="inlineStr">
        <is>
          <t>R1</t>
        </is>
      </c>
      <c r="F5710" s="12" t="inlineStr">
        <is>
          <t>R1: main electrical building (64 x 180 ft)</t>
        </is>
      </c>
      <c r="G5710" s="12" t="inlineStr">
        <is>
          <t>JB-CO2 compression 3 -AI06</t>
        </is>
      </c>
      <c r="H5710" s="12" t="inlineStr">
        <is>
          <t xml:space="preserve">CO2 compression 3 x ~19 MW + dehydration: rooftop HVAC, exhaust fans, </t>
        </is>
      </c>
      <c r="I5710" s="12" t="inlineStr">
        <is>
          <t>Instrumentation</t>
        </is>
      </c>
      <c r="J5710" s="12" t="inlineStr">
        <is>
          <t>Instrumentation PLTC / TC-ER 300 V, #18 twisted shielded pairs, overall shield</t>
        </is>
      </c>
      <c r="K5710" s="12" t="inlineStr">
        <is>
          <t>PLTC|24 pr|18</t>
        </is>
      </c>
      <c r="L5710" s="12" t="inlineStr">
        <is>
          <t>24 pr</t>
        </is>
      </c>
      <c r="M5710" s="12" t="inlineStr">
        <is>
          <t>18</t>
        </is>
      </c>
      <c r="N5710" s="12" t="n">
        <v>1</v>
      </c>
      <c r="O5710" s="12" t="n">
        <v>1</v>
      </c>
      <c r="P5710" s="12" t="n"/>
      <c r="Q5710" s="12" t="n"/>
      <c r="R5710" s="12" t="n"/>
      <c r="S5710" s="12" t="inlineStr">
        <is>
          <t>Tray</t>
        </is>
      </c>
      <c r="T5710" s="17" t="n">
        <v>2186</v>
      </c>
      <c r="U5710" s="17" t="n">
        <v>268</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C-I-0093</t>
        </is>
      </c>
      <c r="B5711" s="12" t="inlineStr">
        <is>
          <t>C</t>
        </is>
      </c>
      <c r="C5711" s="12" t="inlineStr">
        <is>
          <t>Grid interface</t>
        </is>
      </c>
      <c r="D5711" s="12" t="inlineStr">
        <is>
          <t>Analog instrument to JB JB-CO2 compression 3 -AI07: 20 x 1 pr (field cables)</t>
        </is>
      </c>
      <c r="E5711" s="12" t="inlineStr"/>
      <c r="F5711" s="12" t="inlineStr">
        <is>
          <t xml:space="preserve">CO2 compression 3 x ~19 MW + dehydration: rooftop HVAC, exhaust fans, </t>
        </is>
      </c>
      <c r="G5711" s="12" t="inlineStr">
        <is>
          <t>JB-CO2 compression 3 -AI07</t>
        </is>
      </c>
      <c r="H5711" s="12" t="inlineStr">
        <is>
          <t xml:space="preserve">CO2 compression 3 x ~19 MW + dehydration: rooftop HVAC, exhaust fans, </t>
        </is>
      </c>
      <c r="I5711" s="12" t="inlineStr">
        <is>
          <t>Instrumentation</t>
        </is>
      </c>
      <c r="J5711" s="12" t="inlineStr">
        <is>
          <t>Instrumentation PLTC / TC-ER 300 V, #18 twisted shielded pairs, overall shield</t>
        </is>
      </c>
      <c r="K5711" s="12" t="inlineStr">
        <is>
          <t>PLTC|1 pr|16</t>
        </is>
      </c>
      <c r="L5711" s="12" t="inlineStr">
        <is>
          <t>1 pr</t>
        </is>
      </c>
      <c r="M5711" s="12" t="inlineStr">
        <is>
          <t>16</t>
        </is>
      </c>
      <c r="N5711" s="12" t="n">
        <v>20</v>
      </c>
      <c r="O5711" s="12" t="n">
        <v>1</v>
      </c>
      <c r="P5711" s="12" t="n"/>
      <c r="Q5711" s="12" t="n"/>
      <c r="R5711" s="12" t="n"/>
      <c r="S5711" s="12" t="inlineStr">
        <is>
          <t>Tray / conduit</t>
        </is>
      </c>
      <c r="T5711" s="17" t="n">
        <v>161</v>
      </c>
      <c r="U5711" s="17" t="n">
        <v>10</v>
      </c>
      <c r="V5711" s="17">
        <f>ROUNDUP((T5711+U5711+2*'Read Me'!$B$13)*(1+'Read Me'!$B$12),-1)</f>
        <v/>
      </c>
      <c r="W5711" s="17">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C-I-0094</t>
        </is>
      </c>
      <c r="B5712" s="12" t="inlineStr">
        <is>
          <t>C</t>
        </is>
      </c>
      <c r="C5712" s="12" t="inlineStr">
        <is>
          <t>Grid interface</t>
        </is>
      </c>
      <c r="D5712" s="12" t="inlineStr">
        <is>
          <t>Home run JB-CO2 compression 3 -AI07 to the control / marshalling room</t>
        </is>
      </c>
      <c r="E5712" s="12" t="inlineStr">
        <is>
          <t>R1</t>
        </is>
      </c>
      <c r="F5712" s="12" t="inlineStr">
        <is>
          <t>R1: main electrical building (64 x 180 ft)</t>
        </is>
      </c>
      <c r="G5712" s="12" t="inlineStr">
        <is>
          <t>JB-CO2 compression 3 -AI07</t>
        </is>
      </c>
      <c r="H5712" s="12" t="inlineStr">
        <is>
          <t xml:space="preserve">CO2 compression 3 x ~19 MW + dehydration: rooftop HVAC, exhaust fans, </t>
        </is>
      </c>
      <c r="I5712" s="12" t="inlineStr">
        <is>
          <t>Instrumentation</t>
        </is>
      </c>
      <c r="J5712" s="12" t="inlineStr">
        <is>
          <t>Instrumentation PLTC / TC-ER 300 V, #18 twisted shielded pairs, overall shield</t>
        </is>
      </c>
      <c r="K5712" s="12" t="inlineStr">
        <is>
          <t>PLTC|24 pr|18</t>
        </is>
      </c>
      <c r="L5712" s="12" t="inlineStr">
        <is>
          <t>24 pr</t>
        </is>
      </c>
      <c r="M5712" s="12" t="inlineStr">
        <is>
          <t>18</t>
        </is>
      </c>
      <c r="N5712" s="12" t="n">
        <v>1</v>
      </c>
      <c r="O5712" s="12" t="n">
        <v>1</v>
      </c>
      <c r="P5712" s="12" t="n"/>
      <c r="Q5712" s="12" t="n"/>
      <c r="R5712" s="12" t="n"/>
      <c r="S5712" s="12" t="inlineStr">
        <is>
          <t>Tray</t>
        </is>
      </c>
      <c r="T5712" s="17" t="n">
        <v>2186</v>
      </c>
      <c r="U5712" s="17" t="n">
        <v>268</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C-I-0095</t>
        </is>
      </c>
      <c r="B5713" s="12" t="inlineStr">
        <is>
          <t>C</t>
        </is>
      </c>
      <c r="C5713" s="12" t="inlineStr">
        <is>
          <t>Grid interface</t>
        </is>
      </c>
      <c r="D5713" s="12" t="inlineStr">
        <is>
          <t>Analog instrument to JB JB-CO2 compression 3 -AI08: 10 x 1 pr (field cables)</t>
        </is>
      </c>
      <c r="E5713" s="12" t="inlineStr"/>
      <c r="F5713" s="12" t="inlineStr">
        <is>
          <t xml:space="preserve">CO2 compression 3 x ~19 MW + dehydration: rooftop HVAC, exhaust fans, </t>
        </is>
      </c>
      <c r="G5713" s="12" t="inlineStr">
        <is>
          <t>JB-CO2 compression 3 -AI08</t>
        </is>
      </c>
      <c r="H5713" s="12" t="inlineStr">
        <is>
          <t xml:space="preserve">CO2 compression 3 x ~19 MW + dehydration: rooftop HVAC, exhaust fans, </t>
        </is>
      </c>
      <c r="I5713" s="12" t="inlineStr">
        <is>
          <t>Instrumentation</t>
        </is>
      </c>
      <c r="J5713" s="12" t="inlineStr">
        <is>
          <t>Instrumentation PLTC / TC-ER 300 V, #18 twisted shielded pairs, overall shield</t>
        </is>
      </c>
      <c r="K5713" s="12" t="inlineStr">
        <is>
          <t>PLTC|1 pr|16</t>
        </is>
      </c>
      <c r="L5713" s="12" t="inlineStr">
        <is>
          <t>1 pr</t>
        </is>
      </c>
      <c r="M5713" s="12" t="inlineStr">
        <is>
          <t>16</t>
        </is>
      </c>
      <c r="N5713" s="12" t="n">
        <v>10</v>
      </c>
      <c r="O5713" s="12" t="n">
        <v>1</v>
      </c>
      <c r="P5713" s="12" t="n"/>
      <c r="Q5713" s="12" t="n"/>
      <c r="R5713" s="12" t="n"/>
      <c r="S5713" s="12" t="inlineStr">
        <is>
          <t>Tray / conduit</t>
        </is>
      </c>
      <c r="T5713" s="17" t="n">
        <v>161</v>
      </c>
      <c r="U5713" s="17" t="n">
        <v>10</v>
      </c>
      <c r="V5713" s="17">
        <f>ROUNDUP((T5713+U5713+2*'Read Me'!$B$13)*(1+'Read Me'!$B$12),-1)</f>
        <v/>
      </c>
      <c r="W5713" s="17">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C-I-0096</t>
        </is>
      </c>
      <c r="B5714" s="12" t="inlineStr">
        <is>
          <t>C</t>
        </is>
      </c>
      <c r="C5714" s="12" t="inlineStr">
        <is>
          <t>Grid interface</t>
        </is>
      </c>
      <c r="D5714" s="12" t="inlineStr">
        <is>
          <t>Home run JB-CO2 compression 3 -AI08 to the control / marshalling room</t>
        </is>
      </c>
      <c r="E5714" s="12" t="inlineStr">
        <is>
          <t>R1</t>
        </is>
      </c>
      <c r="F5714" s="12" t="inlineStr">
        <is>
          <t>R1: main electrical building (64 x 180 ft)</t>
        </is>
      </c>
      <c r="G5714" s="12" t="inlineStr">
        <is>
          <t>JB-CO2 compression 3 -AI08</t>
        </is>
      </c>
      <c r="H5714" s="12" t="inlineStr">
        <is>
          <t xml:space="preserve">CO2 compression 3 x ~19 MW + dehydration: rooftop HVAC, exhaust fans, </t>
        </is>
      </c>
      <c r="I5714" s="12" t="inlineStr">
        <is>
          <t>Instrumentation</t>
        </is>
      </c>
      <c r="J5714" s="12" t="inlineStr">
        <is>
          <t>Instrumentation PLTC / TC-ER 300 V, #18 twisted shielded pairs, overall shield</t>
        </is>
      </c>
      <c r="K5714" s="12" t="inlineStr">
        <is>
          <t>PLTC|24 pr|18</t>
        </is>
      </c>
      <c r="L5714" s="12" t="inlineStr">
        <is>
          <t>24 pr</t>
        </is>
      </c>
      <c r="M5714" s="12" t="inlineStr">
        <is>
          <t>18</t>
        </is>
      </c>
      <c r="N5714" s="12" t="n">
        <v>1</v>
      </c>
      <c r="O5714" s="12" t="n">
        <v>1</v>
      </c>
      <c r="P5714" s="12" t="n"/>
      <c r="Q5714" s="12" t="n"/>
      <c r="R5714" s="12" t="n"/>
      <c r="S5714" s="12" t="inlineStr">
        <is>
          <t>Tray</t>
        </is>
      </c>
      <c r="T5714" s="17" t="n">
        <v>2186</v>
      </c>
      <c r="U5714" s="17" t="n">
        <v>268</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C-I-0097</t>
        </is>
      </c>
      <c r="B5715" s="12" t="inlineStr">
        <is>
          <t>C</t>
        </is>
      </c>
      <c r="C5715" s="12" t="inlineStr">
        <is>
          <t>Grid interface</t>
        </is>
      </c>
      <c r="D5715" s="12" t="inlineStr">
        <is>
          <t>Discrete device to JB JB-CO2 compression 3 -DI01: 20 x 1 pr (field cables)</t>
        </is>
      </c>
      <c r="E5715" s="12" t="inlineStr"/>
      <c r="F5715" s="12" t="inlineStr">
        <is>
          <t xml:space="preserve">CO2 compression 3 x ~19 MW + dehydration: rooftop HVAC, exhaust fans, </t>
        </is>
      </c>
      <c r="G5715" s="12" t="inlineStr">
        <is>
          <t>JB-CO2 compression 3 -DI01</t>
        </is>
      </c>
      <c r="H5715" s="12" t="inlineStr">
        <is>
          <t xml:space="preserve">CO2 compression 3 x ~19 MW + dehydration: rooftop HVAC, exhaust fans, </t>
        </is>
      </c>
      <c r="I5715" s="12" t="inlineStr">
        <is>
          <t>Instrumentation</t>
        </is>
      </c>
      <c r="J5715" s="12" t="inlineStr">
        <is>
          <t>Instrumentation PLTC / TC-ER 300 V, #18 twisted shielded pairs, overall shield</t>
        </is>
      </c>
      <c r="K5715" s="12" t="inlineStr">
        <is>
          <t>PLTC|1 pr|16</t>
        </is>
      </c>
      <c r="L5715" s="12" t="inlineStr">
        <is>
          <t>1 pr</t>
        </is>
      </c>
      <c r="M5715" s="12" t="inlineStr">
        <is>
          <t>16</t>
        </is>
      </c>
      <c r="N5715" s="12" t="n">
        <v>20</v>
      </c>
      <c r="O5715" s="12" t="n">
        <v>1</v>
      </c>
      <c r="P5715" s="12" t="n"/>
      <c r="Q5715" s="12" t="n"/>
      <c r="R5715" s="12" t="n"/>
      <c r="S5715" s="12" t="inlineStr">
        <is>
          <t>Tray / conduit</t>
        </is>
      </c>
      <c r="T5715" s="17" t="n">
        <v>161</v>
      </c>
      <c r="U5715" s="17" t="n">
        <v>10</v>
      </c>
      <c r="V5715" s="17">
        <f>ROUNDUP((T5715+U5715+2*'Read Me'!$B$13)*(1+'Read Me'!$B$12),-1)</f>
        <v/>
      </c>
      <c r="W5715" s="17">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C-I-0098</t>
        </is>
      </c>
      <c r="B5716" s="12" t="inlineStr">
        <is>
          <t>C</t>
        </is>
      </c>
      <c r="C5716" s="12" t="inlineStr">
        <is>
          <t>Grid interface</t>
        </is>
      </c>
      <c r="D5716" s="12" t="inlineStr">
        <is>
          <t>Home run JB-CO2 compression 3 -DI01 to the control / marshalling room</t>
        </is>
      </c>
      <c r="E5716" s="12" t="inlineStr">
        <is>
          <t>R1</t>
        </is>
      </c>
      <c r="F5716" s="12" t="inlineStr">
        <is>
          <t>R1: main electrical building (64 x 180 ft)</t>
        </is>
      </c>
      <c r="G5716" s="12" t="inlineStr">
        <is>
          <t>JB-CO2 compression 3 -DI01</t>
        </is>
      </c>
      <c r="H5716" s="12" t="inlineStr">
        <is>
          <t xml:space="preserve">CO2 compression 3 x ~19 MW + dehydration: rooftop HVAC, exhaust fans, </t>
        </is>
      </c>
      <c r="I5716" s="12" t="inlineStr">
        <is>
          <t>Instrumentation</t>
        </is>
      </c>
      <c r="J5716" s="12" t="inlineStr">
        <is>
          <t>Instrumentation PLTC / TC-ER 300 V, #18 twisted shielded pairs, overall shield</t>
        </is>
      </c>
      <c r="K5716" s="12" t="inlineStr">
        <is>
          <t>PLTC|24 pr|18</t>
        </is>
      </c>
      <c r="L5716" s="12" t="inlineStr">
        <is>
          <t>24 pr</t>
        </is>
      </c>
      <c r="M5716" s="12" t="inlineStr">
        <is>
          <t>18</t>
        </is>
      </c>
      <c r="N5716" s="12" t="n">
        <v>1</v>
      </c>
      <c r="O5716" s="12" t="n">
        <v>1</v>
      </c>
      <c r="P5716" s="12" t="n"/>
      <c r="Q5716" s="12" t="n"/>
      <c r="R5716" s="12" t="n"/>
      <c r="S5716" s="12" t="inlineStr">
        <is>
          <t>Tray</t>
        </is>
      </c>
      <c r="T5716" s="17" t="n">
        <v>2186</v>
      </c>
      <c r="U5716" s="17" t="n">
        <v>268</v>
      </c>
      <c r="V5716" s="17">
        <f>ROUNDUP((T5716+U5716+2*'Read Me'!$B$13)*(1+'Read Me'!$B$12),-1)</f>
        <v/>
      </c>
      <c r="W5716" s="17">
        <f>V5716*N5716*O5716</f>
        <v/>
      </c>
      <c r="X5716" s="12">
        <f>IF(LEFT(I5716,2)="MV",2*N5716*IF(L5716="1/C",O5716,1),0)</f>
        <v/>
      </c>
      <c r="Y5716" s="12">
        <f>IF(OR(LEFT(K5716,4)="LVAX",LEFT(K5716,6)="MV15AX",LEFT(K5716,4)="CTAX",LEFT(K5716,2)="W|"),2*N5716*O5716,0)</f>
        <v/>
      </c>
      <c r="Z5716" s="12" t="inlineStr"/>
      <c r="AA5716" s="12">
        <f>N5716*O5716</f>
        <v/>
      </c>
    </row>
    <row r="5717">
      <c r="A5717" s="12" t="inlineStr">
        <is>
          <t>C-I-0099</t>
        </is>
      </c>
      <c r="B5717" s="12" t="inlineStr">
        <is>
          <t>C</t>
        </is>
      </c>
      <c r="C5717" s="12" t="inlineStr">
        <is>
          <t>Grid interface</t>
        </is>
      </c>
      <c r="D5717" s="12" t="inlineStr">
        <is>
          <t>Discrete device to JB JB-CO2 compression 3 -DI02: 20 x 1 pr (field cables)</t>
        </is>
      </c>
      <c r="E5717" s="12" t="inlineStr"/>
      <c r="F5717" s="12" t="inlineStr">
        <is>
          <t xml:space="preserve">CO2 compression 3 x ~19 MW + dehydration: rooftop HVAC, exhaust fans, </t>
        </is>
      </c>
      <c r="G5717" s="12" t="inlineStr">
        <is>
          <t>JB-CO2 compression 3 -DI02</t>
        </is>
      </c>
      <c r="H5717" s="12" t="inlineStr">
        <is>
          <t xml:space="preserve">CO2 compression 3 x ~19 MW + dehydration: rooftop HVAC, exhaust fans, </t>
        </is>
      </c>
      <c r="I5717" s="12" t="inlineStr">
        <is>
          <t>Instrumentation</t>
        </is>
      </c>
      <c r="J5717" s="12" t="inlineStr">
        <is>
          <t>Instrumentation PLTC / TC-ER 300 V, #18 twisted shielded pairs, overall shield</t>
        </is>
      </c>
      <c r="K5717" s="12" t="inlineStr">
        <is>
          <t>PLTC|1 pr|16</t>
        </is>
      </c>
      <c r="L5717" s="12" t="inlineStr">
        <is>
          <t>1 pr</t>
        </is>
      </c>
      <c r="M5717" s="12" t="inlineStr">
        <is>
          <t>16</t>
        </is>
      </c>
      <c r="N5717" s="12" t="n">
        <v>20</v>
      </c>
      <c r="O5717" s="12" t="n">
        <v>1</v>
      </c>
      <c r="P5717" s="12" t="n"/>
      <c r="Q5717" s="12" t="n"/>
      <c r="R5717" s="12" t="n"/>
      <c r="S5717" s="12" t="inlineStr">
        <is>
          <t>Tray / conduit</t>
        </is>
      </c>
      <c r="T5717" s="17" t="n">
        <v>161</v>
      </c>
      <c r="U5717" s="17" t="n">
        <v>10</v>
      </c>
      <c r="V5717" s="17">
        <f>ROUNDUP((T5717+U5717+2*'Read Me'!$B$13)*(1+'Read Me'!$B$12),-1)</f>
        <v/>
      </c>
      <c r="W5717" s="17">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C-I-0100</t>
        </is>
      </c>
      <c r="B5718" s="12" t="inlineStr">
        <is>
          <t>C</t>
        </is>
      </c>
      <c r="C5718" s="12" t="inlineStr">
        <is>
          <t>Grid interface</t>
        </is>
      </c>
      <c r="D5718" s="12" t="inlineStr">
        <is>
          <t>Home run JB-CO2 compression 3 -DI02 to the control / marshalling room</t>
        </is>
      </c>
      <c r="E5718" s="12" t="inlineStr">
        <is>
          <t>R1</t>
        </is>
      </c>
      <c r="F5718" s="12" t="inlineStr">
        <is>
          <t>R1: main electrical building (64 x 180 ft)</t>
        </is>
      </c>
      <c r="G5718" s="12" t="inlineStr">
        <is>
          <t>JB-CO2 compression 3 -DI02</t>
        </is>
      </c>
      <c r="H5718" s="12" t="inlineStr">
        <is>
          <t xml:space="preserve">CO2 compression 3 x ~19 MW + dehydration: rooftop HVAC, exhaust fans, </t>
        </is>
      </c>
      <c r="I5718" s="12" t="inlineStr">
        <is>
          <t>Instrumentation</t>
        </is>
      </c>
      <c r="J5718" s="12" t="inlineStr">
        <is>
          <t>Instrumentation PLTC / TC-ER 300 V, #18 twisted shielded pairs, overall shield</t>
        </is>
      </c>
      <c r="K5718" s="12" t="inlineStr">
        <is>
          <t>PLTC|24 pr|18</t>
        </is>
      </c>
      <c r="L5718" s="12" t="inlineStr">
        <is>
          <t>24 pr</t>
        </is>
      </c>
      <c r="M5718" s="12" t="inlineStr">
        <is>
          <t>18</t>
        </is>
      </c>
      <c r="N5718" s="12" t="n">
        <v>1</v>
      </c>
      <c r="O5718" s="12" t="n">
        <v>1</v>
      </c>
      <c r="P5718" s="12" t="n"/>
      <c r="Q5718" s="12" t="n"/>
      <c r="R5718" s="12" t="n"/>
      <c r="S5718" s="12" t="inlineStr">
        <is>
          <t>Tray</t>
        </is>
      </c>
      <c r="T5718" s="17" t="n">
        <v>2186</v>
      </c>
      <c r="U5718" s="17" t="n">
        <v>268</v>
      </c>
      <c r="V5718" s="17">
        <f>ROUNDUP((T5718+U5718+2*'Read Me'!$B$13)*(1+'Read Me'!$B$12),-1)</f>
        <v/>
      </c>
      <c r="W5718" s="17">
        <f>V5718*N5718*O5718</f>
        <v/>
      </c>
      <c r="X5718" s="12">
        <f>IF(LEFT(I5718,2)="MV",2*N5718*IF(L5718="1/C",O5718,1),0)</f>
        <v/>
      </c>
      <c r="Y5718" s="12">
        <f>IF(OR(LEFT(K5718,4)="LVAX",LEFT(K5718,6)="MV15AX",LEFT(K5718,4)="CTAX",LEFT(K5718,2)="W|"),2*N5718*O5718,0)</f>
        <v/>
      </c>
      <c r="Z5718" s="12" t="inlineStr"/>
      <c r="AA5718" s="12">
        <f>N5718*O5718</f>
        <v/>
      </c>
    </row>
    <row r="5719">
      <c r="A5719" s="12" t="inlineStr">
        <is>
          <t>C-I-0101</t>
        </is>
      </c>
      <c r="B5719" s="12" t="inlineStr">
        <is>
          <t>C</t>
        </is>
      </c>
      <c r="C5719" s="12" t="inlineStr">
        <is>
          <t>Grid interface</t>
        </is>
      </c>
      <c r="D5719" s="12" t="inlineStr">
        <is>
          <t>Discrete device to JB JB-CO2 compression 3 -DI03: 20 x 1 pr (field cables)</t>
        </is>
      </c>
      <c r="E5719" s="12" t="inlineStr"/>
      <c r="F5719" s="12" t="inlineStr">
        <is>
          <t xml:space="preserve">CO2 compression 3 x ~19 MW + dehydration: rooftop HVAC, exhaust fans, </t>
        </is>
      </c>
      <c r="G5719" s="12" t="inlineStr">
        <is>
          <t>JB-CO2 compression 3 -DI03</t>
        </is>
      </c>
      <c r="H5719" s="12" t="inlineStr">
        <is>
          <t xml:space="preserve">CO2 compression 3 x ~19 MW + dehydration: rooftop HVAC, exhaust fans, </t>
        </is>
      </c>
      <c r="I5719" s="12" t="inlineStr">
        <is>
          <t>Instrumentation</t>
        </is>
      </c>
      <c r="J5719" s="12" t="inlineStr">
        <is>
          <t>Instrumentation PLTC / TC-ER 300 V, #18 twisted shielded pairs, overall shield</t>
        </is>
      </c>
      <c r="K5719" s="12" t="inlineStr">
        <is>
          <t>PLTC|1 pr|16</t>
        </is>
      </c>
      <c r="L5719" s="12" t="inlineStr">
        <is>
          <t>1 pr</t>
        </is>
      </c>
      <c r="M5719" s="12" t="inlineStr">
        <is>
          <t>16</t>
        </is>
      </c>
      <c r="N5719" s="12" t="n">
        <v>20</v>
      </c>
      <c r="O5719" s="12" t="n">
        <v>1</v>
      </c>
      <c r="P5719" s="12" t="n"/>
      <c r="Q5719" s="12" t="n"/>
      <c r="R5719" s="12" t="n"/>
      <c r="S5719" s="12" t="inlineStr">
        <is>
          <t>Tray / conduit</t>
        </is>
      </c>
      <c r="T5719" s="17" t="n">
        <v>161</v>
      </c>
      <c r="U5719" s="17" t="n">
        <v>10</v>
      </c>
      <c r="V5719" s="17">
        <f>ROUNDUP((T5719+U5719+2*'Read Me'!$B$13)*(1+'Read Me'!$B$12),-1)</f>
        <v/>
      </c>
      <c r="W5719" s="17">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C-I-0102</t>
        </is>
      </c>
      <c r="B5720" s="12" t="inlineStr">
        <is>
          <t>C</t>
        </is>
      </c>
      <c r="C5720" s="12" t="inlineStr">
        <is>
          <t>Grid interface</t>
        </is>
      </c>
      <c r="D5720" s="12" t="inlineStr">
        <is>
          <t>Home run JB-CO2 compression 3 -DI03 to the control / marshalling room</t>
        </is>
      </c>
      <c r="E5720" s="12" t="inlineStr">
        <is>
          <t>R1</t>
        </is>
      </c>
      <c r="F5720" s="12" t="inlineStr">
        <is>
          <t>R1: main electrical building (64 x 180 ft)</t>
        </is>
      </c>
      <c r="G5720" s="12" t="inlineStr">
        <is>
          <t>JB-CO2 compression 3 -DI03</t>
        </is>
      </c>
      <c r="H5720" s="12" t="inlineStr">
        <is>
          <t xml:space="preserve">CO2 compression 3 x ~19 MW + dehydration: rooftop HVAC, exhaust fans, </t>
        </is>
      </c>
      <c r="I5720" s="12" t="inlineStr">
        <is>
          <t>Instrumentation</t>
        </is>
      </c>
      <c r="J5720" s="12" t="inlineStr">
        <is>
          <t>Instrumentation PLTC / TC-ER 300 V, #18 twisted shielded pairs, overall shield</t>
        </is>
      </c>
      <c r="K5720" s="12" t="inlineStr">
        <is>
          <t>PLTC|24 pr|18</t>
        </is>
      </c>
      <c r="L5720" s="12" t="inlineStr">
        <is>
          <t>24 pr</t>
        </is>
      </c>
      <c r="M5720" s="12" t="inlineStr">
        <is>
          <t>18</t>
        </is>
      </c>
      <c r="N5720" s="12" t="n">
        <v>1</v>
      </c>
      <c r="O5720" s="12" t="n">
        <v>1</v>
      </c>
      <c r="P5720" s="12" t="n"/>
      <c r="Q5720" s="12" t="n"/>
      <c r="R5720" s="12" t="n"/>
      <c r="S5720" s="12" t="inlineStr">
        <is>
          <t>Tray</t>
        </is>
      </c>
      <c r="T5720" s="17" t="n">
        <v>2186</v>
      </c>
      <c r="U5720" s="17" t="n">
        <v>268</v>
      </c>
      <c r="V5720" s="17">
        <f>ROUNDUP((T5720+U5720+2*'Read Me'!$B$13)*(1+'Read Me'!$B$12),-1)</f>
        <v/>
      </c>
      <c r="W5720" s="17">
        <f>V5720*N5720*O5720</f>
        <v/>
      </c>
      <c r="X5720" s="12">
        <f>IF(LEFT(I5720,2)="MV",2*N5720*IF(L5720="1/C",O5720,1),0)</f>
        <v/>
      </c>
      <c r="Y5720" s="12">
        <f>IF(OR(LEFT(K5720,4)="LVAX",LEFT(K5720,6)="MV15AX",LEFT(K5720,4)="CTAX",LEFT(K5720,2)="W|"),2*N5720*O5720,0)</f>
        <v/>
      </c>
      <c r="Z5720" s="12" t="inlineStr"/>
      <c r="AA5720" s="12">
        <f>N5720*O5720</f>
        <v/>
      </c>
    </row>
    <row r="5721">
      <c r="A5721" s="12" t="inlineStr">
        <is>
          <t>C-I-0103</t>
        </is>
      </c>
      <c r="B5721" s="12" t="inlineStr">
        <is>
          <t>C</t>
        </is>
      </c>
      <c r="C5721" s="12" t="inlineStr">
        <is>
          <t>Grid interface</t>
        </is>
      </c>
      <c r="D5721" s="12" t="inlineStr">
        <is>
          <t>Discrete device to JB JB-CO2 compression 3 -DI04: 20 x 1 pr (field cables)</t>
        </is>
      </c>
      <c r="E5721" s="12" t="inlineStr"/>
      <c r="F5721" s="12" t="inlineStr">
        <is>
          <t xml:space="preserve">CO2 compression 3 x ~19 MW + dehydration: rooftop HVAC, exhaust fans, </t>
        </is>
      </c>
      <c r="G5721" s="12" t="inlineStr">
        <is>
          <t>JB-CO2 compression 3 -DI04</t>
        </is>
      </c>
      <c r="H5721" s="12" t="inlineStr">
        <is>
          <t xml:space="preserve">CO2 compression 3 x ~19 MW + dehydration: rooftop HVAC, exhaust fans, </t>
        </is>
      </c>
      <c r="I5721" s="12" t="inlineStr">
        <is>
          <t>Instrumentation</t>
        </is>
      </c>
      <c r="J5721" s="12" t="inlineStr">
        <is>
          <t>Instrumentation PLTC / TC-ER 300 V, #18 twisted shielded pairs, overall shield</t>
        </is>
      </c>
      <c r="K5721" s="12" t="inlineStr">
        <is>
          <t>PLTC|1 pr|16</t>
        </is>
      </c>
      <c r="L5721" s="12" t="inlineStr">
        <is>
          <t>1 pr</t>
        </is>
      </c>
      <c r="M5721" s="12" t="inlineStr">
        <is>
          <t>16</t>
        </is>
      </c>
      <c r="N5721" s="12" t="n">
        <v>20</v>
      </c>
      <c r="O5721" s="12" t="n">
        <v>1</v>
      </c>
      <c r="P5721" s="12" t="n"/>
      <c r="Q5721" s="12" t="n"/>
      <c r="R5721" s="12" t="n"/>
      <c r="S5721" s="12" t="inlineStr">
        <is>
          <t>Tray / conduit</t>
        </is>
      </c>
      <c r="T5721" s="17" t="n">
        <v>161</v>
      </c>
      <c r="U5721" s="17" t="n">
        <v>10</v>
      </c>
      <c r="V5721" s="17">
        <f>ROUNDUP((T5721+U5721+2*'Read Me'!$B$13)*(1+'Read Me'!$B$12),-1)</f>
        <v/>
      </c>
      <c r="W5721" s="17">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C-I-0104</t>
        </is>
      </c>
      <c r="B5722" s="12" t="inlineStr">
        <is>
          <t>C</t>
        </is>
      </c>
      <c r="C5722" s="12" t="inlineStr">
        <is>
          <t>Grid interface</t>
        </is>
      </c>
      <c r="D5722" s="12" t="inlineStr">
        <is>
          <t>Home run JB-CO2 compression 3 -DI04 to the control / marshalling room</t>
        </is>
      </c>
      <c r="E5722" s="12" t="inlineStr">
        <is>
          <t>R1</t>
        </is>
      </c>
      <c r="F5722" s="12" t="inlineStr">
        <is>
          <t>R1: main electrical building (64 x 180 ft)</t>
        </is>
      </c>
      <c r="G5722" s="12" t="inlineStr">
        <is>
          <t>JB-CO2 compression 3 -DI04</t>
        </is>
      </c>
      <c r="H5722" s="12" t="inlineStr">
        <is>
          <t xml:space="preserve">CO2 compression 3 x ~19 MW + dehydration: rooftop HVAC, exhaust fans, </t>
        </is>
      </c>
      <c r="I5722" s="12" t="inlineStr">
        <is>
          <t>Instrumentation</t>
        </is>
      </c>
      <c r="J5722" s="12" t="inlineStr">
        <is>
          <t>Instrumentation PLTC / TC-ER 300 V, #18 twisted shielded pairs, overall shield</t>
        </is>
      </c>
      <c r="K5722" s="12" t="inlineStr">
        <is>
          <t>PLTC|24 pr|18</t>
        </is>
      </c>
      <c r="L5722" s="12" t="inlineStr">
        <is>
          <t>24 pr</t>
        </is>
      </c>
      <c r="M5722" s="12" t="inlineStr">
        <is>
          <t>18</t>
        </is>
      </c>
      <c r="N5722" s="12" t="n">
        <v>1</v>
      </c>
      <c r="O5722" s="12" t="n">
        <v>1</v>
      </c>
      <c r="P5722" s="12" t="n"/>
      <c r="Q5722" s="12" t="n"/>
      <c r="R5722" s="12" t="n"/>
      <c r="S5722" s="12" t="inlineStr">
        <is>
          <t>Tray</t>
        </is>
      </c>
      <c r="T5722" s="17" t="n">
        <v>2186</v>
      </c>
      <c r="U5722" s="17" t="n">
        <v>268</v>
      </c>
      <c r="V5722" s="17">
        <f>ROUNDUP((T5722+U5722+2*'Read Me'!$B$13)*(1+'Read Me'!$B$12),-1)</f>
        <v/>
      </c>
      <c r="W5722" s="17">
        <f>V5722*N5722*O5722</f>
        <v/>
      </c>
      <c r="X5722" s="12">
        <f>IF(LEFT(I5722,2)="MV",2*N5722*IF(L5722="1/C",O5722,1),0)</f>
        <v/>
      </c>
      <c r="Y5722" s="12">
        <f>IF(OR(LEFT(K5722,4)="LVAX",LEFT(K5722,6)="MV15AX",LEFT(K5722,4)="CTAX",LEFT(K5722,2)="W|"),2*N5722*O5722,0)</f>
        <v/>
      </c>
      <c r="Z5722" s="12" t="inlineStr"/>
      <c r="AA5722" s="12">
        <f>N5722*O5722</f>
        <v/>
      </c>
    </row>
    <row r="5723">
      <c r="A5723" s="12" t="inlineStr">
        <is>
          <t>C-I-0105</t>
        </is>
      </c>
      <c r="B5723" s="12" t="inlineStr">
        <is>
          <t>C</t>
        </is>
      </c>
      <c r="C5723" s="12" t="inlineStr">
        <is>
          <t>Grid interface</t>
        </is>
      </c>
      <c r="D5723" s="12" t="inlineStr">
        <is>
          <t>Discrete device to JB JB-CO2 compression 3 -DI05: 20 x 1 pr (field cables)</t>
        </is>
      </c>
      <c r="E5723" s="12" t="inlineStr"/>
      <c r="F5723" s="12" t="inlineStr">
        <is>
          <t xml:space="preserve">CO2 compression 3 x ~19 MW + dehydration: rooftop HVAC, exhaust fans, </t>
        </is>
      </c>
      <c r="G5723" s="12" t="inlineStr">
        <is>
          <t>JB-CO2 compression 3 -DI05</t>
        </is>
      </c>
      <c r="H5723" s="12" t="inlineStr">
        <is>
          <t xml:space="preserve">CO2 compression 3 x ~19 MW + dehydration: rooftop HVAC, exhaust fans, </t>
        </is>
      </c>
      <c r="I5723" s="12" t="inlineStr">
        <is>
          <t>Instrumentation</t>
        </is>
      </c>
      <c r="J5723" s="12" t="inlineStr">
        <is>
          <t>Instrumentation PLTC / TC-ER 300 V, #18 twisted shielded pairs, overall shield</t>
        </is>
      </c>
      <c r="K5723" s="12" t="inlineStr">
        <is>
          <t>PLTC|1 pr|16</t>
        </is>
      </c>
      <c r="L5723" s="12" t="inlineStr">
        <is>
          <t>1 pr</t>
        </is>
      </c>
      <c r="M5723" s="12" t="inlineStr">
        <is>
          <t>16</t>
        </is>
      </c>
      <c r="N5723" s="12" t="n">
        <v>20</v>
      </c>
      <c r="O5723" s="12" t="n">
        <v>1</v>
      </c>
      <c r="P5723" s="12" t="n"/>
      <c r="Q5723" s="12" t="n"/>
      <c r="R5723" s="12" t="n"/>
      <c r="S5723" s="12" t="inlineStr">
        <is>
          <t>Tray / conduit</t>
        </is>
      </c>
      <c r="T5723" s="17" t="n">
        <v>161</v>
      </c>
      <c r="U5723" s="17" t="n">
        <v>10</v>
      </c>
      <c r="V5723" s="17">
        <f>ROUNDUP((T5723+U5723+2*'Read Me'!$B$13)*(1+'Read Me'!$B$12),-1)</f>
        <v/>
      </c>
      <c r="W5723" s="17">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C-I-0106</t>
        </is>
      </c>
      <c r="B5724" s="12" t="inlineStr">
        <is>
          <t>C</t>
        </is>
      </c>
      <c r="C5724" s="12" t="inlineStr">
        <is>
          <t>Grid interface</t>
        </is>
      </c>
      <c r="D5724" s="12" t="inlineStr">
        <is>
          <t>Home run JB-CO2 compression 3 -DI05 to the control / marshalling room</t>
        </is>
      </c>
      <c r="E5724" s="12" t="inlineStr">
        <is>
          <t>R1</t>
        </is>
      </c>
      <c r="F5724" s="12" t="inlineStr">
        <is>
          <t>R1: main electrical building (64 x 180 ft)</t>
        </is>
      </c>
      <c r="G5724" s="12" t="inlineStr">
        <is>
          <t>JB-CO2 compression 3 -DI05</t>
        </is>
      </c>
      <c r="H5724" s="12" t="inlineStr">
        <is>
          <t xml:space="preserve">CO2 compression 3 x ~19 MW + dehydration: rooftop HVAC, exhaust fans, </t>
        </is>
      </c>
      <c r="I5724" s="12" t="inlineStr">
        <is>
          <t>Instrumentation</t>
        </is>
      </c>
      <c r="J5724" s="12" t="inlineStr">
        <is>
          <t>Instrumentation PLTC / TC-ER 300 V, #18 twisted shielded pairs, overall shield</t>
        </is>
      </c>
      <c r="K5724" s="12" t="inlineStr">
        <is>
          <t>PLTC|24 pr|18</t>
        </is>
      </c>
      <c r="L5724" s="12" t="inlineStr">
        <is>
          <t>24 pr</t>
        </is>
      </c>
      <c r="M5724" s="12" t="inlineStr">
        <is>
          <t>18</t>
        </is>
      </c>
      <c r="N5724" s="12" t="n">
        <v>1</v>
      </c>
      <c r="O5724" s="12" t="n">
        <v>1</v>
      </c>
      <c r="P5724" s="12" t="n"/>
      <c r="Q5724" s="12" t="n"/>
      <c r="R5724" s="12" t="n"/>
      <c r="S5724" s="12" t="inlineStr">
        <is>
          <t>Tray</t>
        </is>
      </c>
      <c r="T5724" s="17" t="n">
        <v>2186</v>
      </c>
      <c r="U5724" s="17" t="n">
        <v>268</v>
      </c>
      <c r="V5724" s="17">
        <f>ROUNDUP((T5724+U5724+2*'Read Me'!$B$13)*(1+'Read Me'!$B$12),-1)</f>
        <v/>
      </c>
      <c r="W5724" s="17">
        <f>V5724*N5724*O5724</f>
        <v/>
      </c>
      <c r="X5724" s="12">
        <f>IF(LEFT(I5724,2)="MV",2*N5724*IF(L5724="1/C",O5724,1),0)</f>
        <v/>
      </c>
      <c r="Y5724" s="12">
        <f>IF(OR(LEFT(K5724,4)="LVAX",LEFT(K5724,6)="MV15AX",LEFT(K5724,4)="CTAX",LEFT(K5724,2)="W|"),2*N5724*O5724,0)</f>
        <v/>
      </c>
      <c r="Z5724" s="12" t="inlineStr"/>
      <c r="AA5724" s="12">
        <f>N5724*O5724</f>
        <v/>
      </c>
    </row>
    <row r="5725">
      <c r="A5725" s="12" t="inlineStr">
        <is>
          <t>C-I-0107</t>
        </is>
      </c>
      <c r="B5725" s="12" t="inlineStr">
        <is>
          <t>C</t>
        </is>
      </c>
      <c r="C5725" s="12" t="inlineStr">
        <is>
          <t>Grid interface</t>
        </is>
      </c>
      <c r="D5725" s="12" t="inlineStr">
        <is>
          <t>RTD to JB JB-CO2 compression 3 -RTD01: 10 x 1 tri (field cables)</t>
        </is>
      </c>
      <c r="E5725" s="12" t="inlineStr"/>
      <c r="F5725" s="12" t="inlineStr">
        <is>
          <t xml:space="preserve">CO2 compression 3 x ~19 MW + dehydration: rooftop HVAC, exhaust fans, </t>
        </is>
      </c>
      <c r="G5725" s="12" t="inlineStr">
        <is>
          <t>JB-CO2 compression 3 -RTD01</t>
        </is>
      </c>
      <c r="H5725" s="12" t="inlineStr">
        <is>
          <t xml:space="preserve">CO2 compression 3 x ~19 MW + dehydration: rooftop HVAC, exhaust fans, </t>
        </is>
      </c>
      <c r="I5725" s="12" t="inlineStr">
        <is>
          <t>Instrumentation</t>
        </is>
      </c>
      <c r="J5725" s="12" t="inlineStr">
        <is>
          <t>RTD cable, #18 shielded triads, PLTC</t>
        </is>
      </c>
      <c r="K5725" s="12" t="inlineStr">
        <is>
          <t>RTD|1 tri|18</t>
        </is>
      </c>
      <c r="L5725" s="12" t="inlineStr">
        <is>
          <t>1 tri</t>
        </is>
      </c>
      <c r="M5725" s="12" t="inlineStr">
        <is>
          <t>18</t>
        </is>
      </c>
      <c r="N5725" s="12" t="n">
        <v>10</v>
      </c>
      <c r="O5725" s="12" t="n">
        <v>1</v>
      </c>
      <c r="P5725" s="12" t="n"/>
      <c r="Q5725" s="12" t="n"/>
      <c r="R5725" s="12" t="n"/>
      <c r="S5725" s="12" t="inlineStr">
        <is>
          <t>Tray / conduit</t>
        </is>
      </c>
      <c r="T5725" s="17" t="n">
        <v>161</v>
      </c>
      <c r="U5725" s="17" t="n">
        <v>10</v>
      </c>
      <c r="V5725" s="17">
        <f>ROUNDUP((T5725+U5725+2*'Read Me'!$B$13)*(1+'Read Me'!$B$12),-1)</f>
        <v/>
      </c>
      <c r="W5725" s="17">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C-I-0108</t>
        </is>
      </c>
      <c r="B5726" s="12" t="inlineStr">
        <is>
          <t>C</t>
        </is>
      </c>
      <c r="C5726" s="12" t="inlineStr">
        <is>
          <t>Grid interface</t>
        </is>
      </c>
      <c r="D5726" s="12" t="inlineStr">
        <is>
          <t>Home run JB-CO2 compression 3 -RTD01 to the control / marshalling room</t>
        </is>
      </c>
      <c r="E5726" s="12" t="inlineStr">
        <is>
          <t>R1</t>
        </is>
      </c>
      <c r="F5726" s="12" t="inlineStr">
        <is>
          <t>R1: main electrical building (64 x 180 ft)</t>
        </is>
      </c>
      <c r="G5726" s="12" t="inlineStr">
        <is>
          <t>JB-CO2 compression 3 -RTD01</t>
        </is>
      </c>
      <c r="H5726" s="12" t="inlineStr">
        <is>
          <t xml:space="preserve">CO2 compression 3 x ~19 MW + dehydration: rooftop HVAC, exhaust fans, </t>
        </is>
      </c>
      <c r="I5726" s="12" t="inlineStr">
        <is>
          <t>Instrumentation</t>
        </is>
      </c>
      <c r="J5726" s="12" t="inlineStr">
        <is>
          <t>RTD cable, #18 shielded triads, PLTC</t>
        </is>
      </c>
      <c r="K5726" s="12" t="inlineStr">
        <is>
          <t>RTD|12 tri|18</t>
        </is>
      </c>
      <c r="L5726" s="12" t="inlineStr">
        <is>
          <t>12 tri</t>
        </is>
      </c>
      <c r="M5726" s="12" t="inlineStr">
        <is>
          <t>18</t>
        </is>
      </c>
      <c r="N5726" s="12" t="n">
        <v>1</v>
      </c>
      <c r="O5726" s="12" t="n">
        <v>1</v>
      </c>
      <c r="P5726" s="12" t="n"/>
      <c r="Q5726" s="12" t="n"/>
      <c r="R5726" s="12" t="n"/>
      <c r="S5726" s="12" t="inlineStr">
        <is>
          <t>Tray</t>
        </is>
      </c>
      <c r="T5726" s="17" t="n">
        <v>2186</v>
      </c>
      <c r="U5726" s="17" t="n">
        <v>268</v>
      </c>
      <c r="V5726" s="17">
        <f>ROUNDUP((T5726+U5726+2*'Read Me'!$B$13)*(1+'Read Me'!$B$12),-1)</f>
        <v/>
      </c>
      <c r="W5726" s="17">
        <f>V5726*N5726*O5726</f>
        <v/>
      </c>
      <c r="X5726" s="12">
        <f>IF(LEFT(I5726,2)="MV",2*N5726*IF(L5726="1/C",O5726,1),0)</f>
        <v/>
      </c>
      <c r="Y5726" s="12">
        <f>IF(OR(LEFT(K5726,4)="LVAX",LEFT(K5726,6)="MV15AX",LEFT(K5726,4)="CTAX",LEFT(K5726,2)="W|"),2*N5726*O5726,0)</f>
        <v/>
      </c>
      <c r="Z5726" s="12" t="inlineStr"/>
      <c r="AA5726" s="12">
        <f>N5726*O5726</f>
        <v/>
      </c>
    </row>
    <row r="5727">
      <c r="A5727" s="12" t="inlineStr">
        <is>
          <t>C-I-0109</t>
        </is>
      </c>
      <c r="B5727" s="12" t="inlineStr">
        <is>
          <t>C</t>
        </is>
      </c>
      <c r="C5727" s="12" t="inlineStr">
        <is>
          <t>Grid interface</t>
        </is>
      </c>
      <c r="D5727" s="12" t="inlineStr">
        <is>
          <t>RTD to JB JB-CO2 compression 3 -RTD02: 10 x 1 tri (field cables)</t>
        </is>
      </c>
      <c r="E5727" s="12" t="inlineStr"/>
      <c r="F5727" s="12" t="inlineStr">
        <is>
          <t xml:space="preserve">CO2 compression 3 x ~19 MW + dehydration: rooftop HVAC, exhaust fans, </t>
        </is>
      </c>
      <c r="G5727" s="12" t="inlineStr">
        <is>
          <t>JB-CO2 compression 3 -RTD02</t>
        </is>
      </c>
      <c r="H5727" s="12" t="inlineStr">
        <is>
          <t xml:space="preserve">CO2 compression 3 x ~19 MW + dehydration: rooftop HVAC, exhaust fans, </t>
        </is>
      </c>
      <c r="I5727" s="12" t="inlineStr">
        <is>
          <t>Instrumentation</t>
        </is>
      </c>
      <c r="J5727" s="12" t="inlineStr">
        <is>
          <t>RTD cable, #18 shielded triads, PLTC</t>
        </is>
      </c>
      <c r="K5727" s="12" t="inlineStr">
        <is>
          <t>RTD|1 tri|18</t>
        </is>
      </c>
      <c r="L5727" s="12" t="inlineStr">
        <is>
          <t>1 tri</t>
        </is>
      </c>
      <c r="M5727" s="12" t="inlineStr">
        <is>
          <t>18</t>
        </is>
      </c>
      <c r="N5727" s="12" t="n">
        <v>10</v>
      </c>
      <c r="O5727" s="12" t="n">
        <v>1</v>
      </c>
      <c r="P5727" s="12" t="n"/>
      <c r="Q5727" s="12" t="n"/>
      <c r="R5727" s="12" t="n"/>
      <c r="S5727" s="12" t="inlineStr">
        <is>
          <t>Tray / conduit</t>
        </is>
      </c>
      <c r="T5727" s="17" t="n">
        <v>161</v>
      </c>
      <c r="U5727" s="17" t="n">
        <v>10</v>
      </c>
      <c r="V5727" s="17">
        <f>ROUNDUP((T5727+U5727+2*'Read Me'!$B$13)*(1+'Read Me'!$B$12),-1)</f>
        <v/>
      </c>
      <c r="W5727" s="17">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C-I-0110</t>
        </is>
      </c>
      <c r="B5728" s="12" t="inlineStr">
        <is>
          <t>C</t>
        </is>
      </c>
      <c r="C5728" s="12" t="inlineStr">
        <is>
          <t>Grid interface</t>
        </is>
      </c>
      <c r="D5728" s="12" t="inlineStr">
        <is>
          <t>Home run JB-CO2 compression 3 -RTD02 to the control / marshalling room</t>
        </is>
      </c>
      <c r="E5728" s="12" t="inlineStr">
        <is>
          <t>R1</t>
        </is>
      </c>
      <c r="F5728" s="12" t="inlineStr">
        <is>
          <t>R1: main electrical building (64 x 180 ft)</t>
        </is>
      </c>
      <c r="G5728" s="12" t="inlineStr">
        <is>
          <t>JB-CO2 compression 3 -RTD02</t>
        </is>
      </c>
      <c r="H5728" s="12" t="inlineStr">
        <is>
          <t xml:space="preserve">CO2 compression 3 x ~19 MW + dehydration: rooftop HVAC, exhaust fans, </t>
        </is>
      </c>
      <c r="I5728" s="12" t="inlineStr">
        <is>
          <t>Instrumentation</t>
        </is>
      </c>
      <c r="J5728" s="12" t="inlineStr">
        <is>
          <t>RTD cable, #18 shielded triads, PLTC</t>
        </is>
      </c>
      <c r="K5728" s="12" t="inlineStr">
        <is>
          <t>RTD|12 tri|18</t>
        </is>
      </c>
      <c r="L5728" s="12" t="inlineStr">
        <is>
          <t>12 tri</t>
        </is>
      </c>
      <c r="M5728" s="12" t="inlineStr">
        <is>
          <t>18</t>
        </is>
      </c>
      <c r="N5728" s="12" t="n">
        <v>1</v>
      </c>
      <c r="O5728" s="12" t="n">
        <v>1</v>
      </c>
      <c r="P5728" s="12" t="n"/>
      <c r="Q5728" s="12" t="n"/>
      <c r="R5728" s="12" t="n"/>
      <c r="S5728" s="12" t="inlineStr">
        <is>
          <t>Tray</t>
        </is>
      </c>
      <c r="T5728" s="17" t="n">
        <v>2186</v>
      </c>
      <c r="U5728" s="17" t="n">
        <v>268</v>
      </c>
      <c r="V5728" s="17">
        <f>ROUNDUP((T5728+U5728+2*'Read Me'!$B$13)*(1+'Read Me'!$B$12),-1)</f>
        <v/>
      </c>
      <c r="W5728" s="17">
        <f>V5728*N5728*O5728</f>
        <v/>
      </c>
      <c r="X5728" s="12">
        <f>IF(LEFT(I5728,2)="MV",2*N5728*IF(L5728="1/C",O5728,1),0)</f>
        <v/>
      </c>
      <c r="Y5728" s="12">
        <f>IF(OR(LEFT(K5728,4)="LVAX",LEFT(K5728,6)="MV15AX",LEFT(K5728,4)="CTAX",LEFT(K5728,2)="W|"),2*N5728*O5728,0)</f>
        <v/>
      </c>
      <c r="Z5728" s="12" t="inlineStr"/>
      <c r="AA5728" s="12">
        <f>N5728*O5728</f>
        <v/>
      </c>
    </row>
    <row r="5729">
      <c r="A5729" s="12" t="inlineStr">
        <is>
          <t>C-I-0111</t>
        </is>
      </c>
      <c r="B5729" s="12" t="inlineStr">
        <is>
          <t>C</t>
        </is>
      </c>
      <c r="C5729" s="12" t="inlineStr">
        <is>
          <t>Grid interface</t>
        </is>
      </c>
      <c r="D5729" s="12" t="inlineStr">
        <is>
          <t>RTD to JB JB-CO2 compression 3 -RTD03: 10 x 1 tri (field cables)</t>
        </is>
      </c>
      <c r="E5729" s="12" t="inlineStr"/>
      <c r="F5729" s="12" t="inlineStr">
        <is>
          <t xml:space="preserve">CO2 compression 3 x ~19 MW + dehydration: rooftop HVAC, exhaust fans, </t>
        </is>
      </c>
      <c r="G5729" s="12" t="inlineStr">
        <is>
          <t>JB-CO2 compression 3 -RTD03</t>
        </is>
      </c>
      <c r="H5729" s="12" t="inlineStr">
        <is>
          <t xml:space="preserve">CO2 compression 3 x ~19 MW + dehydration: rooftop HVAC, exhaust fans, </t>
        </is>
      </c>
      <c r="I5729" s="12" t="inlineStr">
        <is>
          <t>Instrumentation</t>
        </is>
      </c>
      <c r="J5729" s="12" t="inlineStr">
        <is>
          <t>RTD cable, #18 shielded triads, PLTC</t>
        </is>
      </c>
      <c r="K5729" s="12" t="inlineStr">
        <is>
          <t>RTD|1 tri|18</t>
        </is>
      </c>
      <c r="L5729" s="12" t="inlineStr">
        <is>
          <t>1 tri</t>
        </is>
      </c>
      <c r="M5729" s="12" t="inlineStr">
        <is>
          <t>18</t>
        </is>
      </c>
      <c r="N5729" s="12" t="n">
        <v>10</v>
      </c>
      <c r="O5729" s="12" t="n">
        <v>1</v>
      </c>
      <c r="P5729" s="12" t="n"/>
      <c r="Q5729" s="12" t="n"/>
      <c r="R5729" s="12" t="n"/>
      <c r="S5729" s="12" t="inlineStr">
        <is>
          <t>Tray / conduit</t>
        </is>
      </c>
      <c r="T5729" s="17" t="n">
        <v>161</v>
      </c>
      <c r="U5729" s="17" t="n">
        <v>10</v>
      </c>
      <c r="V5729" s="17">
        <f>ROUNDUP((T5729+U5729+2*'Read Me'!$B$13)*(1+'Read Me'!$B$12),-1)</f>
        <v/>
      </c>
      <c r="W5729" s="17">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C-I-0112</t>
        </is>
      </c>
      <c r="B5730" s="12" t="inlineStr">
        <is>
          <t>C</t>
        </is>
      </c>
      <c r="C5730" s="12" t="inlineStr">
        <is>
          <t>Grid interface</t>
        </is>
      </c>
      <c r="D5730" s="12" t="inlineStr">
        <is>
          <t>Home run JB-CO2 compression 3 -RTD03 to the control / marshalling room</t>
        </is>
      </c>
      <c r="E5730" s="12" t="inlineStr">
        <is>
          <t>R1</t>
        </is>
      </c>
      <c r="F5730" s="12" t="inlineStr">
        <is>
          <t>R1: main electrical building (64 x 180 ft)</t>
        </is>
      </c>
      <c r="G5730" s="12" t="inlineStr">
        <is>
          <t>JB-CO2 compression 3 -RTD03</t>
        </is>
      </c>
      <c r="H5730" s="12" t="inlineStr">
        <is>
          <t xml:space="preserve">CO2 compression 3 x ~19 MW + dehydration: rooftop HVAC, exhaust fans, </t>
        </is>
      </c>
      <c r="I5730" s="12" t="inlineStr">
        <is>
          <t>Instrumentation</t>
        </is>
      </c>
      <c r="J5730" s="12" t="inlineStr">
        <is>
          <t>RTD cable, #18 shielded triads, PLTC</t>
        </is>
      </c>
      <c r="K5730" s="12" t="inlineStr">
        <is>
          <t>RTD|12 tri|18</t>
        </is>
      </c>
      <c r="L5730" s="12" t="inlineStr">
        <is>
          <t>12 tri</t>
        </is>
      </c>
      <c r="M5730" s="12" t="inlineStr">
        <is>
          <t>18</t>
        </is>
      </c>
      <c r="N5730" s="12" t="n">
        <v>1</v>
      </c>
      <c r="O5730" s="12" t="n">
        <v>1</v>
      </c>
      <c r="P5730" s="12" t="n"/>
      <c r="Q5730" s="12" t="n"/>
      <c r="R5730" s="12" t="n"/>
      <c r="S5730" s="12" t="inlineStr">
        <is>
          <t>Tray</t>
        </is>
      </c>
      <c r="T5730" s="17" t="n">
        <v>2186</v>
      </c>
      <c r="U5730" s="17" t="n">
        <v>268</v>
      </c>
      <c r="V5730" s="17">
        <f>ROUNDUP((T5730+U5730+2*'Read Me'!$B$13)*(1+'Read Me'!$B$12),-1)</f>
        <v/>
      </c>
      <c r="W5730" s="17">
        <f>V5730*N5730*O5730</f>
        <v/>
      </c>
      <c r="X5730" s="12">
        <f>IF(LEFT(I5730,2)="MV",2*N5730*IF(L5730="1/C",O5730,1),0)</f>
        <v/>
      </c>
      <c r="Y5730" s="12">
        <f>IF(OR(LEFT(K5730,4)="LVAX",LEFT(K5730,6)="MV15AX",LEFT(K5730,4)="CTAX",LEFT(K5730,2)="W|"),2*N5730*O5730,0)</f>
        <v/>
      </c>
      <c r="Z5730" s="12" t="inlineStr"/>
      <c r="AA5730" s="12">
        <f>N5730*O5730</f>
        <v/>
      </c>
    </row>
    <row r="5731">
      <c r="A5731" s="12" t="inlineStr">
        <is>
          <t>C-I-0113</t>
        </is>
      </c>
      <c r="B5731" s="12" t="inlineStr">
        <is>
          <t>C</t>
        </is>
      </c>
      <c r="C5731" s="12" t="inlineStr">
        <is>
          <t>Grid interface</t>
        </is>
      </c>
      <c r="D5731" s="12" t="inlineStr">
        <is>
          <t>RTD to JB JB-CO2 compression 3 -RTD04: 6 x 1 tri (field cables)</t>
        </is>
      </c>
      <c r="E5731" s="12" t="inlineStr"/>
      <c r="F5731" s="12" t="inlineStr">
        <is>
          <t xml:space="preserve">CO2 compression 3 x ~19 MW + dehydration: rooftop HVAC, exhaust fans, </t>
        </is>
      </c>
      <c r="G5731" s="12" t="inlineStr">
        <is>
          <t>JB-CO2 compression 3 -RTD04</t>
        </is>
      </c>
      <c r="H5731" s="12" t="inlineStr">
        <is>
          <t xml:space="preserve">CO2 compression 3 x ~19 MW + dehydration: rooftop HVAC, exhaust fans, </t>
        </is>
      </c>
      <c r="I5731" s="12" t="inlineStr">
        <is>
          <t>Instrumentation</t>
        </is>
      </c>
      <c r="J5731" s="12" t="inlineStr">
        <is>
          <t>RTD cable, #18 shielded triads, PLTC</t>
        </is>
      </c>
      <c r="K5731" s="12" t="inlineStr">
        <is>
          <t>RTD|1 tri|18</t>
        </is>
      </c>
      <c r="L5731" s="12" t="inlineStr">
        <is>
          <t>1 tri</t>
        </is>
      </c>
      <c r="M5731" s="12" t="inlineStr">
        <is>
          <t>18</t>
        </is>
      </c>
      <c r="N5731" s="12" t="n">
        <v>6</v>
      </c>
      <c r="O5731" s="12" t="n">
        <v>1</v>
      </c>
      <c r="P5731" s="12" t="n"/>
      <c r="Q5731" s="12" t="n"/>
      <c r="R5731" s="12" t="n"/>
      <c r="S5731" s="12" t="inlineStr">
        <is>
          <t>Tray / conduit</t>
        </is>
      </c>
      <c r="T5731" s="17" t="n">
        <v>161</v>
      </c>
      <c r="U5731" s="17" t="n">
        <v>10</v>
      </c>
      <c r="V5731" s="17">
        <f>ROUNDUP((T5731+U5731+2*'Read Me'!$B$13)*(1+'Read Me'!$B$12),-1)</f>
        <v/>
      </c>
      <c r="W5731" s="17">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C-I-0114</t>
        </is>
      </c>
      <c r="B5732" s="12" t="inlineStr">
        <is>
          <t>C</t>
        </is>
      </c>
      <c r="C5732" s="12" t="inlineStr">
        <is>
          <t>Grid interface</t>
        </is>
      </c>
      <c r="D5732" s="12" t="inlineStr">
        <is>
          <t>Home run JB-CO2 compression 3 -RTD04 to the control / marshalling room</t>
        </is>
      </c>
      <c r="E5732" s="12" t="inlineStr">
        <is>
          <t>R1</t>
        </is>
      </c>
      <c r="F5732" s="12" t="inlineStr">
        <is>
          <t>R1: main electrical building (64 x 180 ft)</t>
        </is>
      </c>
      <c r="G5732" s="12" t="inlineStr">
        <is>
          <t>JB-CO2 compression 3 -RTD04</t>
        </is>
      </c>
      <c r="H5732" s="12" t="inlineStr">
        <is>
          <t xml:space="preserve">CO2 compression 3 x ~19 MW + dehydration: rooftop HVAC, exhaust fans, </t>
        </is>
      </c>
      <c r="I5732" s="12" t="inlineStr">
        <is>
          <t>Instrumentation</t>
        </is>
      </c>
      <c r="J5732" s="12" t="inlineStr">
        <is>
          <t>RTD cable, #18 shielded triads, PLTC</t>
        </is>
      </c>
      <c r="K5732" s="12" t="inlineStr">
        <is>
          <t>RTD|12 tri|18</t>
        </is>
      </c>
      <c r="L5732" s="12" t="inlineStr">
        <is>
          <t>12 tri</t>
        </is>
      </c>
      <c r="M5732" s="12" t="inlineStr">
        <is>
          <t>18</t>
        </is>
      </c>
      <c r="N5732" s="12" t="n">
        <v>1</v>
      </c>
      <c r="O5732" s="12" t="n">
        <v>1</v>
      </c>
      <c r="P5732" s="12" t="n"/>
      <c r="Q5732" s="12" t="n"/>
      <c r="R5732" s="12" t="n"/>
      <c r="S5732" s="12" t="inlineStr">
        <is>
          <t>Tray</t>
        </is>
      </c>
      <c r="T5732" s="17" t="n">
        <v>2186</v>
      </c>
      <c r="U5732" s="17" t="n">
        <v>268</v>
      </c>
      <c r="V5732" s="17">
        <f>ROUNDUP((T5732+U5732+2*'Read Me'!$B$13)*(1+'Read Me'!$B$12),-1)</f>
        <v/>
      </c>
      <c r="W5732" s="17">
        <f>V5732*N5732*O5732</f>
        <v/>
      </c>
      <c r="X5732" s="12">
        <f>IF(LEFT(I5732,2)="MV",2*N5732*IF(L5732="1/C",O5732,1),0)</f>
        <v/>
      </c>
      <c r="Y5732" s="12">
        <f>IF(OR(LEFT(K5732,4)="LVAX",LEFT(K5732,6)="MV15AX",LEFT(K5732,4)="CTAX",LEFT(K5732,2)="W|"),2*N5732*O5732,0)</f>
        <v/>
      </c>
      <c r="Z5732" s="12" t="inlineStr"/>
      <c r="AA5732" s="12">
        <f>N5732*O5732</f>
        <v/>
      </c>
    </row>
    <row r="5733">
      <c r="A5733" s="12" t="inlineStr">
        <is>
          <t>C-I-0115</t>
        </is>
      </c>
      <c r="B5733" s="12" t="inlineStr">
        <is>
          <t>C</t>
        </is>
      </c>
      <c r="C5733" s="12" t="inlineStr">
        <is>
          <t>Grid interface</t>
        </is>
      </c>
      <c r="D5733" s="12" t="inlineStr">
        <is>
          <t>Analog instrument to JB JB-Small-bore piping:-AI01: 10 x 1 pr (field cables)</t>
        </is>
      </c>
      <c r="E5733" s="12" t="inlineStr"/>
      <c r="F5733" s="12" t="inlineStr">
        <is>
          <t>Small-bore piping: instrument air, service water, nitrogen, HRSG drain</t>
        </is>
      </c>
      <c r="G5733" s="12" t="inlineStr">
        <is>
          <t>JB-Small-bore piping:-AI01</t>
        </is>
      </c>
      <c r="H5733" s="12" t="inlineStr">
        <is>
          <t>Small-bore piping: instrument air, service water, nitrogen, HRSG drain</t>
        </is>
      </c>
      <c r="I5733" s="12" t="inlineStr">
        <is>
          <t>Instrumentation</t>
        </is>
      </c>
      <c r="J5733" s="12" t="inlineStr">
        <is>
          <t>Instrumentation PLTC / TC-ER 300 V, #18 twisted shielded pairs, overall shield</t>
        </is>
      </c>
      <c r="K5733" s="12" t="inlineStr">
        <is>
          <t>PLTC|1 pr|16</t>
        </is>
      </c>
      <c r="L5733" s="12" t="inlineStr">
        <is>
          <t>1 pr</t>
        </is>
      </c>
      <c r="M5733" s="12" t="inlineStr">
        <is>
          <t>16</t>
        </is>
      </c>
      <c r="N5733" s="12" t="n">
        <v>10</v>
      </c>
      <c r="O5733" s="12" t="n">
        <v>1</v>
      </c>
      <c r="P5733" s="12" t="n"/>
      <c r="Q5733" s="12" t="n"/>
      <c r="R5733" s="12" t="n"/>
      <c r="S5733" s="12" t="inlineStr">
        <is>
          <t>Tray / conduit</t>
        </is>
      </c>
      <c r="T5733" s="17" t="n">
        <v>250</v>
      </c>
      <c r="U5733" s="17" t="n">
        <v>10</v>
      </c>
      <c r="V5733" s="17">
        <f>ROUNDUP((T5733+U5733+2*'Read Me'!$B$13)*(1+'Read Me'!$B$12),-1)</f>
        <v/>
      </c>
      <c r="W5733" s="17">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C-I-0116</t>
        </is>
      </c>
      <c r="B5734" s="12" t="inlineStr">
        <is>
          <t>C</t>
        </is>
      </c>
      <c r="C5734" s="12" t="inlineStr">
        <is>
          <t>Grid interface</t>
        </is>
      </c>
      <c r="D5734" s="12" t="inlineStr">
        <is>
          <t>Home run JB-Small-bore piping:-AI01 to the control / marshalling room</t>
        </is>
      </c>
      <c r="E5734" s="12" t="inlineStr">
        <is>
          <t>R1</t>
        </is>
      </c>
      <c r="F5734" s="12" t="inlineStr">
        <is>
          <t>R1: main electrical building (64 x 180 ft)</t>
        </is>
      </c>
      <c r="G5734" s="12" t="inlineStr">
        <is>
          <t>JB-Small-bore piping:-AI01</t>
        </is>
      </c>
      <c r="H5734" s="12" t="inlineStr">
        <is>
          <t>Small-bore piping: instrument air, service water, nitrogen, HRSG drain</t>
        </is>
      </c>
      <c r="I5734" s="12" t="inlineStr">
        <is>
          <t>Instrumentation</t>
        </is>
      </c>
      <c r="J5734" s="12" t="inlineStr">
        <is>
          <t>Instrumentation PLTC / TC-ER 300 V, #18 twisted shielded pairs, overall shield</t>
        </is>
      </c>
      <c r="K5734" s="12" t="inlineStr">
        <is>
          <t>PLTC|24 pr|18</t>
        </is>
      </c>
      <c r="L5734" s="12" t="inlineStr">
        <is>
          <t>24 pr</t>
        </is>
      </c>
      <c r="M5734" s="12" t="inlineStr">
        <is>
          <t>18</t>
        </is>
      </c>
      <c r="N5734" s="12" t="n">
        <v>1</v>
      </c>
      <c r="O5734" s="12" t="n">
        <v>1</v>
      </c>
      <c r="P5734" s="12" t="n"/>
      <c r="Q5734" s="12" t="n"/>
      <c r="R5734" s="12" t="n"/>
      <c r="S5734" s="12" t="inlineStr">
        <is>
          <t>Tray</t>
        </is>
      </c>
      <c r="T5734" s="17" t="n">
        <v>1218</v>
      </c>
      <c r="U5734" s="17" t="n">
        <v>200</v>
      </c>
      <c r="V5734" s="17">
        <f>ROUNDUP((T5734+U5734+2*'Read Me'!$B$13)*(1+'Read Me'!$B$12),-1)</f>
        <v/>
      </c>
      <c r="W5734" s="17">
        <f>V5734*N5734*O5734</f>
        <v/>
      </c>
      <c r="X5734" s="12">
        <f>IF(LEFT(I5734,2)="MV",2*N5734*IF(L5734="1/C",O5734,1),0)</f>
        <v/>
      </c>
      <c r="Y5734" s="12">
        <f>IF(OR(LEFT(K5734,4)="LVAX",LEFT(K5734,6)="MV15AX",LEFT(K5734,4)="CTAX",LEFT(K5734,2)="W|"),2*N5734*O5734,0)</f>
        <v/>
      </c>
      <c r="Z5734" s="12" t="inlineStr"/>
      <c r="AA5734" s="12">
        <f>N5734*O5734</f>
        <v/>
      </c>
    </row>
    <row r="5735">
      <c r="A5735" s="12" t="inlineStr">
        <is>
          <t>C-I-0117</t>
        </is>
      </c>
      <c r="B5735" s="12" t="inlineStr">
        <is>
          <t>C</t>
        </is>
      </c>
      <c r="C5735" s="12" t="inlineStr">
        <is>
          <t>Grid interface</t>
        </is>
      </c>
      <c r="D5735" s="12" t="inlineStr">
        <is>
          <t>Discrete device to JB JB-Small-bore piping:-DI01: 10 x 1 pr (field cables)</t>
        </is>
      </c>
      <c r="E5735" s="12" t="inlineStr"/>
      <c r="F5735" s="12" t="inlineStr">
        <is>
          <t>Small-bore piping: instrument air, service water, nitrogen, HRSG drain</t>
        </is>
      </c>
      <c r="G5735" s="12" t="inlineStr">
        <is>
          <t>JB-Small-bore piping:-DI01</t>
        </is>
      </c>
      <c r="H5735" s="12" t="inlineStr">
        <is>
          <t>Small-bore piping: instrument air, service water, nitrogen, HRSG drain</t>
        </is>
      </c>
      <c r="I5735" s="12" t="inlineStr">
        <is>
          <t>Instrumentation</t>
        </is>
      </c>
      <c r="J5735" s="12" t="inlineStr">
        <is>
          <t>Instrumentation PLTC / TC-ER 300 V, #18 twisted shielded pairs, overall shield</t>
        </is>
      </c>
      <c r="K5735" s="12" t="inlineStr">
        <is>
          <t>PLTC|1 pr|16</t>
        </is>
      </c>
      <c r="L5735" s="12" t="inlineStr">
        <is>
          <t>1 pr</t>
        </is>
      </c>
      <c r="M5735" s="12" t="inlineStr">
        <is>
          <t>16</t>
        </is>
      </c>
      <c r="N5735" s="12" t="n">
        <v>10</v>
      </c>
      <c r="O5735" s="12" t="n">
        <v>1</v>
      </c>
      <c r="P5735" s="12" t="n"/>
      <c r="Q5735" s="12" t="n"/>
      <c r="R5735" s="12" t="n"/>
      <c r="S5735" s="12" t="inlineStr">
        <is>
          <t>Tray / conduit</t>
        </is>
      </c>
      <c r="T5735" s="17" t="n">
        <v>250</v>
      </c>
      <c r="U5735" s="17" t="n">
        <v>10</v>
      </c>
      <c r="V5735" s="17">
        <f>ROUNDUP((T5735+U5735+2*'Read Me'!$B$13)*(1+'Read Me'!$B$12),-1)</f>
        <v/>
      </c>
      <c r="W5735" s="17">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C-I-0118</t>
        </is>
      </c>
      <c r="B5736" s="12" t="inlineStr">
        <is>
          <t>C</t>
        </is>
      </c>
      <c r="C5736" s="12" t="inlineStr">
        <is>
          <t>Grid interface</t>
        </is>
      </c>
      <c r="D5736" s="12" t="inlineStr">
        <is>
          <t>Home run JB-Small-bore piping:-DI01 to the control / marshalling room</t>
        </is>
      </c>
      <c r="E5736" s="12" t="inlineStr">
        <is>
          <t>R1</t>
        </is>
      </c>
      <c r="F5736" s="12" t="inlineStr">
        <is>
          <t>R1: main electrical building (64 x 180 ft)</t>
        </is>
      </c>
      <c r="G5736" s="12" t="inlineStr">
        <is>
          <t>JB-Small-bore piping:-DI01</t>
        </is>
      </c>
      <c r="H5736" s="12" t="inlineStr">
        <is>
          <t>Small-bore piping: instrument air, service water, nitrogen, HRSG drain</t>
        </is>
      </c>
      <c r="I5736" s="12" t="inlineStr">
        <is>
          <t>Instrumentation</t>
        </is>
      </c>
      <c r="J5736" s="12" t="inlineStr">
        <is>
          <t>Instrumentation PLTC / TC-ER 300 V, #18 twisted shielded pairs, overall shield</t>
        </is>
      </c>
      <c r="K5736" s="12" t="inlineStr">
        <is>
          <t>PLTC|24 pr|18</t>
        </is>
      </c>
      <c r="L5736" s="12" t="inlineStr">
        <is>
          <t>24 pr</t>
        </is>
      </c>
      <c r="M5736" s="12" t="inlineStr">
        <is>
          <t>18</t>
        </is>
      </c>
      <c r="N5736" s="12" t="n">
        <v>1</v>
      </c>
      <c r="O5736" s="12" t="n">
        <v>1</v>
      </c>
      <c r="P5736" s="12" t="n"/>
      <c r="Q5736" s="12" t="n"/>
      <c r="R5736" s="12" t="n"/>
      <c r="S5736" s="12" t="inlineStr">
        <is>
          <t>Tray</t>
        </is>
      </c>
      <c r="T5736" s="17" t="n">
        <v>1218</v>
      </c>
      <c r="U5736" s="17" t="n">
        <v>200</v>
      </c>
      <c r="V5736" s="17">
        <f>ROUNDUP((T5736+U5736+2*'Read Me'!$B$13)*(1+'Read Me'!$B$12),-1)</f>
        <v/>
      </c>
      <c r="W5736" s="17">
        <f>V5736*N5736*O5736</f>
        <v/>
      </c>
      <c r="X5736" s="12">
        <f>IF(LEFT(I5736,2)="MV",2*N5736*IF(L5736="1/C",O5736,1),0)</f>
        <v/>
      </c>
      <c r="Y5736" s="12">
        <f>IF(OR(LEFT(K5736,4)="LVAX",LEFT(K5736,6)="MV15AX",LEFT(K5736,4)="CTAX",LEFT(K5736,2)="W|"),2*N5736*O5736,0)</f>
        <v/>
      </c>
      <c r="Z5736" s="12" t="inlineStr"/>
      <c r="AA5736" s="12">
        <f>N5736*O5736</f>
        <v/>
      </c>
    </row>
    <row r="5737">
      <c r="A5737" s="12" t="inlineStr">
        <is>
          <t>C-I-0119</t>
        </is>
      </c>
      <c r="B5737" s="12" t="inlineStr">
        <is>
          <t>C</t>
        </is>
      </c>
      <c r="C5737" s="12" t="inlineStr">
        <is>
          <t>Grid interface</t>
        </is>
      </c>
      <c r="D5737" s="12" t="inlineStr">
        <is>
          <t>Analog instrument to JB JB-Wastewater treatme-AI01: 20 x 1 pr (field cables)</t>
        </is>
      </c>
      <c r="E5737" s="12" t="inlineStr"/>
      <c r="F5737" s="12" t="inlineStr">
        <is>
          <t>Wastewater treatment: rooftop HVAC, exhaust fans, vents</t>
        </is>
      </c>
      <c r="G5737" s="12" t="inlineStr">
        <is>
          <t>JB-Wastewater treatme-AI01</t>
        </is>
      </c>
      <c r="H5737" s="12" t="inlineStr">
        <is>
          <t>Wastewater treatment: rooftop HVAC, exhaust fans, vents</t>
        </is>
      </c>
      <c r="I5737" s="12" t="inlineStr">
        <is>
          <t>Instrumentation</t>
        </is>
      </c>
      <c r="J5737" s="12" t="inlineStr">
        <is>
          <t>Instrumentation PLTC / TC-ER 300 V, #18 twisted shielded pairs, overall shield</t>
        </is>
      </c>
      <c r="K5737" s="12" t="inlineStr">
        <is>
          <t>PLTC|1 pr|16</t>
        </is>
      </c>
      <c r="L5737" s="12" t="inlineStr">
        <is>
          <t>1 pr</t>
        </is>
      </c>
      <c r="M5737" s="12" t="inlineStr">
        <is>
          <t>16</t>
        </is>
      </c>
      <c r="N5737" s="12" t="n">
        <v>20</v>
      </c>
      <c r="O5737" s="12" t="n">
        <v>1</v>
      </c>
      <c r="P5737" s="12" t="n"/>
      <c r="Q5737" s="12" t="n"/>
      <c r="R5737" s="12" t="n"/>
      <c r="S5737" s="12" t="inlineStr">
        <is>
          <t>Tray / conduit</t>
        </is>
      </c>
      <c r="T5737" s="17" t="n">
        <v>89</v>
      </c>
      <c r="U5737" s="17" t="n">
        <v>10</v>
      </c>
      <c r="V5737" s="17">
        <f>ROUNDUP((T5737+U5737+2*'Read Me'!$B$13)*(1+'Read Me'!$B$12),-1)</f>
        <v/>
      </c>
      <c r="W5737" s="17">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C-I-0120</t>
        </is>
      </c>
      <c r="B5738" s="12" t="inlineStr">
        <is>
          <t>C</t>
        </is>
      </c>
      <c r="C5738" s="12" t="inlineStr">
        <is>
          <t>Grid interface</t>
        </is>
      </c>
      <c r="D5738" s="12" t="inlineStr">
        <is>
          <t>Home run JB-Wastewater treatme-AI01 to the control / marshalling room</t>
        </is>
      </c>
      <c r="E5738" s="12" t="inlineStr">
        <is>
          <t>R1</t>
        </is>
      </c>
      <c r="F5738" s="12" t="inlineStr">
        <is>
          <t>R1: main electrical building (64 x 180 ft)</t>
        </is>
      </c>
      <c r="G5738" s="12" t="inlineStr">
        <is>
          <t>JB-Wastewater treatme-AI01</t>
        </is>
      </c>
      <c r="H5738" s="12" t="inlineStr">
        <is>
          <t>Wastewater treatment: rooftop HVAC, exhaust fans, vents</t>
        </is>
      </c>
      <c r="I5738" s="12" t="inlineStr">
        <is>
          <t>Instrumentation</t>
        </is>
      </c>
      <c r="J5738" s="12" t="inlineStr">
        <is>
          <t>Instrumentation PLTC / TC-ER 300 V, #18 twisted shielded pairs, overall shield</t>
        </is>
      </c>
      <c r="K5738" s="12" t="inlineStr">
        <is>
          <t>PLTC|24 pr|18</t>
        </is>
      </c>
      <c r="L5738" s="12" t="inlineStr">
        <is>
          <t>24 pr</t>
        </is>
      </c>
      <c r="M5738" s="12" t="inlineStr">
        <is>
          <t>18</t>
        </is>
      </c>
      <c r="N5738" s="12" t="n">
        <v>1</v>
      </c>
      <c r="O5738" s="12" t="n">
        <v>1</v>
      </c>
      <c r="P5738" s="12" t="n"/>
      <c r="Q5738" s="12" t="n"/>
      <c r="R5738" s="12" t="n"/>
      <c r="S5738" s="12" t="inlineStr">
        <is>
          <t>Duct bank</t>
        </is>
      </c>
      <c r="T5738" s="17" t="n">
        <v>1215</v>
      </c>
      <c r="U5738" s="17" t="n">
        <v>99</v>
      </c>
      <c r="V5738" s="17">
        <f>ROUNDUP((T5738+U5738+2*'Read Me'!$B$13)*(1+'Read Me'!$B$12),-1)</f>
        <v/>
      </c>
      <c r="W5738" s="17">
        <f>V5738*N5738*O5738</f>
        <v/>
      </c>
      <c r="X5738" s="12">
        <f>IF(LEFT(I5738,2)="MV",2*N5738*IF(L5738="1/C",O5738,1),0)</f>
        <v/>
      </c>
      <c r="Y5738" s="12">
        <f>IF(OR(LEFT(K5738,4)="LVAX",LEFT(K5738,6)="MV15AX",LEFT(K5738,4)="CTAX",LEFT(K5738,2)="W|"),2*N5738*O5738,0)</f>
        <v/>
      </c>
      <c r="Z5738" s="12" t="inlineStr"/>
      <c r="AA5738" s="12">
        <f>N5738*O5738</f>
        <v/>
      </c>
    </row>
    <row r="5739">
      <c r="A5739" s="12" t="inlineStr">
        <is>
          <t>C-I-0121</t>
        </is>
      </c>
      <c r="B5739" s="12" t="inlineStr">
        <is>
          <t>C</t>
        </is>
      </c>
      <c r="C5739" s="12" t="inlineStr">
        <is>
          <t>Grid interface</t>
        </is>
      </c>
      <c r="D5739" s="12" t="inlineStr">
        <is>
          <t>Discrete device to JB JB-Wastewater treatme-DI01: 20 x 1 pr (field cables)</t>
        </is>
      </c>
      <c r="E5739" s="12" t="inlineStr"/>
      <c r="F5739" s="12" t="inlineStr">
        <is>
          <t>Wastewater treatment: rooftop HVAC, exhaust fans, vents</t>
        </is>
      </c>
      <c r="G5739" s="12" t="inlineStr">
        <is>
          <t>JB-Wastewater treatme-DI01</t>
        </is>
      </c>
      <c r="H5739" s="12" t="inlineStr">
        <is>
          <t>Wastewater treatment: rooftop HVAC, exhaust fans, vents</t>
        </is>
      </c>
      <c r="I5739" s="12" t="inlineStr">
        <is>
          <t>Instrumentation</t>
        </is>
      </c>
      <c r="J5739" s="12" t="inlineStr">
        <is>
          <t>Instrumentation PLTC / TC-ER 300 V, #18 twisted shielded pairs, overall shield</t>
        </is>
      </c>
      <c r="K5739" s="12" t="inlineStr">
        <is>
          <t>PLTC|1 pr|16</t>
        </is>
      </c>
      <c r="L5739" s="12" t="inlineStr">
        <is>
          <t>1 pr</t>
        </is>
      </c>
      <c r="M5739" s="12" t="inlineStr">
        <is>
          <t>16</t>
        </is>
      </c>
      <c r="N5739" s="12" t="n">
        <v>20</v>
      </c>
      <c r="O5739" s="12" t="n">
        <v>1</v>
      </c>
      <c r="P5739" s="12" t="n"/>
      <c r="Q5739" s="12" t="n"/>
      <c r="R5739" s="12" t="n"/>
      <c r="S5739" s="12" t="inlineStr">
        <is>
          <t>Tray / conduit</t>
        </is>
      </c>
      <c r="T5739" s="17" t="n">
        <v>89</v>
      </c>
      <c r="U5739" s="17" t="n">
        <v>10</v>
      </c>
      <c r="V5739" s="17">
        <f>ROUNDUP((T5739+U5739+2*'Read Me'!$B$13)*(1+'Read Me'!$B$12),-1)</f>
        <v/>
      </c>
      <c r="W5739" s="17">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C-I-0122</t>
        </is>
      </c>
      <c r="B5740" s="12" t="inlineStr">
        <is>
          <t>C</t>
        </is>
      </c>
      <c r="C5740" s="12" t="inlineStr">
        <is>
          <t>Grid interface</t>
        </is>
      </c>
      <c r="D5740" s="12" t="inlineStr">
        <is>
          <t>Home run JB-Wastewater treatme-DI01 to the control / marshalling room</t>
        </is>
      </c>
      <c r="E5740" s="12" t="inlineStr">
        <is>
          <t>R1</t>
        </is>
      </c>
      <c r="F5740" s="12" t="inlineStr">
        <is>
          <t>R1: main electrical building (64 x 180 ft)</t>
        </is>
      </c>
      <c r="G5740" s="12" t="inlineStr">
        <is>
          <t>JB-Wastewater treatme-DI01</t>
        </is>
      </c>
      <c r="H5740" s="12" t="inlineStr">
        <is>
          <t>Wastewater treatment: rooftop HVAC, exhaust fans, vents</t>
        </is>
      </c>
      <c r="I5740" s="12" t="inlineStr">
        <is>
          <t>Instrumentation</t>
        </is>
      </c>
      <c r="J5740" s="12" t="inlineStr">
        <is>
          <t>Instrumentation PLTC / TC-ER 300 V, #18 twisted shielded pairs, overall shield</t>
        </is>
      </c>
      <c r="K5740" s="12" t="inlineStr">
        <is>
          <t>PLTC|24 pr|18</t>
        </is>
      </c>
      <c r="L5740" s="12" t="inlineStr">
        <is>
          <t>24 pr</t>
        </is>
      </c>
      <c r="M5740" s="12" t="inlineStr">
        <is>
          <t>18</t>
        </is>
      </c>
      <c r="N5740" s="12" t="n">
        <v>1</v>
      </c>
      <c r="O5740" s="12" t="n">
        <v>1</v>
      </c>
      <c r="P5740" s="12" t="n"/>
      <c r="Q5740" s="12" t="n"/>
      <c r="R5740" s="12" t="n"/>
      <c r="S5740" s="12" t="inlineStr">
        <is>
          <t>Duct bank</t>
        </is>
      </c>
      <c r="T5740" s="17" t="n">
        <v>1215</v>
      </c>
      <c r="U5740" s="17" t="n">
        <v>99</v>
      </c>
      <c r="V5740" s="17">
        <f>ROUNDUP((T5740+U5740+2*'Read Me'!$B$13)*(1+'Read Me'!$B$12),-1)</f>
        <v/>
      </c>
      <c r="W5740" s="17">
        <f>V5740*N5740*O5740</f>
        <v/>
      </c>
      <c r="X5740" s="12">
        <f>IF(LEFT(I5740,2)="MV",2*N5740*IF(L5740="1/C",O5740,1),0)</f>
        <v/>
      </c>
      <c r="Y5740" s="12">
        <f>IF(OR(LEFT(K5740,4)="LVAX",LEFT(K5740,6)="MV15AX",LEFT(K5740,4)="CTAX",LEFT(K5740,2)="W|"),2*N5740*O5740,0)</f>
        <v/>
      </c>
      <c r="Z5740" s="12" t="inlineStr"/>
      <c r="AA5740" s="12">
        <f>N5740*O5740</f>
        <v/>
      </c>
    </row>
    <row r="5741">
      <c r="A5741" s="12" t="inlineStr">
        <is>
          <t>C-I-0123</t>
        </is>
      </c>
      <c r="B5741" s="12" t="inlineStr">
        <is>
          <t>C</t>
        </is>
      </c>
      <c r="C5741" s="12" t="inlineStr">
        <is>
          <t>Grid interface</t>
        </is>
      </c>
      <c r="D5741" s="12" t="inlineStr">
        <is>
          <t>Discrete device to JB JB-Wastewater treatme-DI02: 10 x 1 pr (field cables)</t>
        </is>
      </c>
      <c r="E5741" s="12" t="inlineStr"/>
      <c r="F5741" s="12" t="inlineStr">
        <is>
          <t>Wastewater treatment: rooftop HVAC, exhaust fans, vents</t>
        </is>
      </c>
      <c r="G5741" s="12" t="inlineStr">
        <is>
          <t>JB-Wastewater treatme-DI02</t>
        </is>
      </c>
      <c r="H5741" s="12" t="inlineStr">
        <is>
          <t>Wastewater treatment: rooftop HVAC, exhaust fans, vents</t>
        </is>
      </c>
      <c r="I5741" s="12" t="inlineStr">
        <is>
          <t>Instrumentation</t>
        </is>
      </c>
      <c r="J5741" s="12" t="inlineStr">
        <is>
          <t>Instrumentation PLTC / TC-ER 300 V, #18 twisted shielded pairs, overall shield</t>
        </is>
      </c>
      <c r="K5741" s="12" t="inlineStr">
        <is>
          <t>PLTC|1 pr|16</t>
        </is>
      </c>
      <c r="L5741" s="12" t="inlineStr">
        <is>
          <t>1 pr</t>
        </is>
      </c>
      <c r="M5741" s="12" t="inlineStr">
        <is>
          <t>16</t>
        </is>
      </c>
      <c r="N5741" s="12" t="n">
        <v>10</v>
      </c>
      <c r="O5741" s="12" t="n">
        <v>1</v>
      </c>
      <c r="P5741" s="12" t="n"/>
      <c r="Q5741" s="12" t="n"/>
      <c r="R5741" s="12" t="n"/>
      <c r="S5741" s="12" t="inlineStr">
        <is>
          <t>Tray / conduit</t>
        </is>
      </c>
      <c r="T5741" s="17" t="n">
        <v>89</v>
      </c>
      <c r="U5741" s="17" t="n">
        <v>10</v>
      </c>
      <c r="V5741" s="17">
        <f>ROUNDUP((T5741+U5741+2*'Read Me'!$B$13)*(1+'Read Me'!$B$12),-1)</f>
        <v/>
      </c>
      <c r="W5741" s="17">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C-I-0124</t>
        </is>
      </c>
      <c r="B5742" s="12" t="inlineStr">
        <is>
          <t>C</t>
        </is>
      </c>
      <c r="C5742" s="12" t="inlineStr">
        <is>
          <t>Grid interface</t>
        </is>
      </c>
      <c r="D5742" s="12" t="inlineStr">
        <is>
          <t>Home run JB-Wastewater treatme-DI02 to the control / marshalling room</t>
        </is>
      </c>
      <c r="E5742" s="12" t="inlineStr">
        <is>
          <t>R1</t>
        </is>
      </c>
      <c r="F5742" s="12" t="inlineStr">
        <is>
          <t>R1: main electrical building (64 x 180 ft)</t>
        </is>
      </c>
      <c r="G5742" s="12" t="inlineStr">
        <is>
          <t>JB-Wastewater treatme-DI02</t>
        </is>
      </c>
      <c r="H5742" s="12" t="inlineStr">
        <is>
          <t>Wastewater treatment: rooftop HVAC, exhaust fans, vents</t>
        </is>
      </c>
      <c r="I5742" s="12" t="inlineStr">
        <is>
          <t>Instrumentation</t>
        </is>
      </c>
      <c r="J5742" s="12" t="inlineStr">
        <is>
          <t>Instrumentation PLTC / TC-ER 300 V, #18 twisted shielded pairs, overall shield</t>
        </is>
      </c>
      <c r="K5742" s="12" t="inlineStr">
        <is>
          <t>PLTC|24 pr|18</t>
        </is>
      </c>
      <c r="L5742" s="12" t="inlineStr">
        <is>
          <t>24 pr</t>
        </is>
      </c>
      <c r="M5742" s="12" t="inlineStr">
        <is>
          <t>18</t>
        </is>
      </c>
      <c r="N5742" s="12" t="n">
        <v>1</v>
      </c>
      <c r="O5742" s="12" t="n">
        <v>1</v>
      </c>
      <c r="P5742" s="12" t="n"/>
      <c r="Q5742" s="12" t="n"/>
      <c r="R5742" s="12" t="n"/>
      <c r="S5742" s="12" t="inlineStr">
        <is>
          <t>Duct bank</t>
        </is>
      </c>
      <c r="T5742" s="17" t="n">
        <v>1215</v>
      </c>
      <c r="U5742" s="17" t="n">
        <v>99</v>
      </c>
      <c r="V5742" s="17">
        <f>ROUNDUP((T5742+U5742+2*'Read Me'!$B$13)*(1+'Read Me'!$B$12),-1)</f>
        <v/>
      </c>
      <c r="W5742" s="17">
        <f>V5742*N5742*O5742</f>
        <v/>
      </c>
      <c r="X5742" s="12">
        <f>IF(LEFT(I5742,2)="MV",2*N5742*IF(L5742="1/C",O5742,1),0)</f>
        <v/>
      </c>
      <c r="Y5742" s="12">
        <f>IF(OR(LEFT(K5742,4)="LVAX",LEFT(K5742,6)="MV15AX",LEFT(K5742,4)="CTAX",LEFT(K5742,2)="W|"),2*N5742*O5742,0)</f>
        <v/>
      </c>
      <c r="Z5742" s="12" t="inlineStr"/>
      <c r="AA5742" s="12">
        <f>N5742*O5742</f>
        <v/>
      </c>
    </row>
    <row r="5743">
      <c r="A5743" s="12" t="inlineStr">
        <is>
          <t>C-I-0125</t>
        </is>
      </c>
      <c r="B5743" s="12" t="inlineStr">
        <is>
          <t>C</t>
        </is>
      </c>
      <c r="C5743" s="12" t="inlineStr">
        <is>
          <t>Grid interface</t>
        </is>
      </c>
      <c r="D5743" s="12" t="inlineStr">
        <is>
          <t>Analog instrument to JB JB-Water treatment bu-AI01: 20 x 1 pr (field cables)</t>
        </is>
      </c>
      <c r="E5743" s="12" t="inlineStr"/>
      <c r="F5743" s="12" t="inlineStr">
        <is>
          <t>Water treatment building: rooftop HVAC, exhaust fans, vents</t>
        </is>
      </c>
      <c r="G5743" s="12" t="inlineStr">
        <is>
          <t>JB-Water treatment bu-AI01</t>
        </is>
      </c>
      <c r="H5743" s="12" t="inlineStr">
        <is>
          <t>Water treatment building: rooftop HVAC, exhaust fans, vents</t>
        </is>
      </c>
      <c r="I5743" s="12" t="inlineStr">
        <is>
          <t>Instrumentation</t>
        </is>
      </c>
      <c r="J5743" s="12" t="inlineStr">
        <is>
          <t>Instrumentation PLTC / TC-ER 300 V, #18 twisted shielded pairs, overall shield</t>
        </is>
      </c>
      <c r="K5743" s="12" t="inlineStr">
        <is>
          <t>PLTC|1 pr|16</t>
        </is>
      </c>
      <c r="L5743" s="12" t="inlineStr">
        <is>
          <t>1 pr</t>
        </is>
      </c>
      <c r="M5743" s="12" t="inlineStr">
        <is>
          <t>16</t>
        </is>
      </c>
      <c r="N5743" s="12" t="n">
        <v>20</v>
      </c>
      <c r="O5743" s="12" t="n">
        <v>1</v>
      </c>
      <c r="P5743" s="12" t="n"/>
      <c r="Q5743" s="12" t="n"/>
      <c r="R5743" s="12" t="n"/>
      <c r="S5743" s="12" t="inlineStr">
        <is>
          <t>Tray / conduit</t>
        </is>
      </c>
      <c r="T5743" s="17" t="n">
        <v>162</v>
      </c>
      <c r="U5743" s="17" t="n">
        <v>10</v>
      </c>
      <c r="V5743" s="17">
        <f>ROUNDUP((T5743+U5743+2*'Read Me'!$B$13)*(1+'Read Me'!$B$12),-1)</f>
        <v/>
      </c>
      <c r="W5743" s="17">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C-I-0126</t>
        </is>
      </c>
      <c r="B5744" s="12" t="inlineStr">
        <is>
          <t>C</t>
        </is>
      </c>
      <c r="C5744" s="12" t="inlineStr">
        <is>
          <t>Grid interface</t>
        </is>
      </c>
      <c r="D5744" s="12" t="inlineStr">
        <is>
          <t>Home run JB-Water treatment bu-AI01 to the control / marshalling room</t>
        </is>
      </c>
      <c r="E5744" s="12" t="inlineStr">
        <is>
          <t>R1</t>
        </is>
      </c>
      <c r="F5744" s="12" t="inlineStr">
        <is>
          <t>R1: main electrical building (64 x 180 ft)</t>
        </is>
      </c>
      <c r="G5744" s="12" t="inlineStr">
        <is>
          <t>JB-Water treatment bu-AI01</t>
        </is>
      </c>
      <c r="H5744" s="12" t="inlineStr">
        <is>
          <t>Water treatment building: rooftop HVAC, exhaust fans, vents</t>
        </is>
      </c>
      <c r="I5744" s="12" t="inlineStr">
        <is>
          <t>Instrumentation</t>
        </is>
      </c>
      <c r="J5744" s="12" t="inlineStr">
        <is>
          <t>Instrumentation PLTC / TC-ER 300 V, #18 twisted shielded pairs, overall shield</t>
        </is>
      </c>
      <c r="K5744" s="12" t="inlineStr">
        <is>
          <t>PLTC|24 pr|18</t>
        </is>
      </c>
      <c r="L5744" s="12" t="inlineStr">
        <is>
          <t>24 pr</t>
        </is>
      </c>
      <c r="M5744" s="12" t="inlineStr">
        <is>
          <t>18</t>
        </is>
      </c>
      <c r="N5744" s="12" t="n">
        <v>1</v>
      </c>
      <c r="O5744" s="12" t="n">
        <v>1</v>
      </c>
      <c r="P5744" s="12" t="n"/>
      <c r="Q5744" s="12" t="n"/>
      <c r="R5744" s="12" t="n"/>
      <c r="S5744" s="12" t="inlineStr">
        <is>
          <t>Duct bank</t>
        </is>
      </c>
      <c r="T5744" s="17" t="n">
        <v>985</v>
      </c>
      <c r="U5744" s="17" t="n">
        <v>32</v>
      </c>
      <c r="V5744" s="17">
        <f>ROUNDUP((T5744+U5744+2*'Read Me'!$B$13)*(1+'Read Me'!$B$12),-1)</f>
        <v/>
      </c>
      <c r="W5744" s="17">
        <f>V5744*N5744*O5744</f>
        <v/>
      </c>
      <c r="X5744" s="12">
        <f>IF(LEFT(I5744,2)="MV",2*N5744*IF(L5744="1/C",O5744,1),0)</f>
        <v/>
      </c>
      <c r="Y5744" s="12">
        <f>IF(OR(LEFT(K5744,4)="LVAX",LEFT(K5744,6)="MV15AX",LEFT(K5744,4)="CTAX",LEFT(K5744,2)="W|"),2*N5744*O5744,0)</f>
        <v/>
      </c>
      <c r="Z5744" s="12" t="inlineStr"/>
      <c r="AA5744" s="12">
        <f>N5744*O5744</f>
        <v/>
      </c>
    </row>
    <row r="5745">
      <c r="A5745" s="12" t="inlineStr">
        <is>
          <t>C-I-0127</t>
        </is>
      </c>
      <c r="B5745" s="12" t="inlineStr">
        <is>
          <t>C</t>
        </is>
      </c>
      <c r="C5745" s="12" t="inlineStr">
        <is>
          <t>Grid interface</t>
        </is>
      </c>
      <c r="D5745" s="12" t="inlineStr">
        <is>
          <t>Analog instrument to JB JB-Water treatment bu-AI02: 20 x 1 pr (field cables)</t>
        </is>
      </c>
      <c r="E5745" s="12" t="inlineStr"/>
      <c r="F5745" s="12" t="inlineStr">
        <is>
          <t>Water treatment building: rooftop HVAC, exhaust fans, vents</t>
        </is>
      </c>
      <c r="G5745" s="12" t="inlineStr">
        <is>
          <t>JB-Water treatment bu-AI02</t>
        </is>
      </c>
      <c r="H5745" s="12" t="inlineStr">
        <is>
          <t>Water treatment building: rooftop HVAC, exhaust fans, vents</t>
        </is>
      </c>
      <c r="I5745" s="12" t="inlineStr">
        <is>
          <t>Instrumentation</t>
        </is>
      </c>
      <c r="J5745" s="12" t="inlineStr">
        <is>
          <t>Instrumentation PLTC / TC-ER 300 V, #18 twisted shielded pairs, overall shield</t>
        </is>
      </c>
      <c r="K5745" s="12" t="inlineStr">
        <is>
          <t>PLTC|1 pr|16</t>
        </is>
      </c>
      <c r="L5745" s="12" t="inlineStr">
        <is>
          <t>1 pr</t>
        </is>
      </c>
      <c r="M5745" s="12" t="inlineStr">
        <is>
          <t>16</t>
        </is>
      </c>
      <c r="N5745" s="12" t="n">
        <v>20</v>
      </c>
      <c r="O5745" s="12" t="n">
        <v>1</v>
      </c>
      <c r="P5745" s="12" t="n"/>
      <c r="Q5745" s="12" t="n"/>
      <c r="R5745" s="12" t="n"/>
      <c r="S5745" s="12" t="inlineStr">
        <is>
          <t>Tray / conduit</t>
        </is>
      </c>
      <c r="T5745" s="17" t="n">
        <v>162</v>
      </c>
      <c r="U5745" s="17" t="n">
        <v>10</v>
      </c>
      <c r="V5745" s="17">
        <f>ROUNDUP((T5745+U5745+2*'Read Me'!$B$13)*(1+'Read Me'!$B$12),-1)</f>
        <v/>
      </c>
      <c r="W5745" s="17">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C-I-0128</t>
        </is>
      </c>
      <c r="B5746" s="12" t="inlineStr">
        <is>
          <t>C</t>
        </is>
      </c>
      <c r="C5746" s="12" t="inlineStr">
        <is>
          <t>Grid interface</t>
        </is>
      </c>
      <c r="D5746" s="12" t="inlineStr">
        <is>
          <t>Home run JB-Water treatment bu-AI02 to the control / marshalling room</t>
        </is>
      </c>
      <c r="E5746" s="12" t="inlineStr">
        <is>
          <t>R1</t>
        </is>
      </c>
      <c r="F5746" s="12" t="inlineStr">
        <is>
          <t>R1: main electrical building (64 x 180 ft)</t>
        </is>
      </c>
      <c r="G5746" s="12" t="inlineStr">
        <is>
          <t>JB-Water treatment bu-AI02</t>
        </is>
      </c>
      <c r="H5746" s="12" t="inlineStr">
        <is>
          <t>Water treatment building: rooftop HVAC, exhaust fans, vents</t>
        </is>
      </c>
      <c r="I5746" s="12" t="inlineStr">
        <is>
          <t>Instrumentation</t>
        </is>
      </c>
      <c r="J5746" s="12" t="inlineStr">
        <is>
          <t>Instrumentation PLTC / TC-ER 300 V, #18 twisted shielded pairs, overall shield</t>
        </is>
      </c>
      <c r="K5746" s="12" t="inlineStr">
        <is>
          <t>PLTC|24 pr|18</t>
        </is>
      </c>
      <c r="L5746" s="12" t="inlineStr">
        <is>
          <t>24 pr</t>
        </is>
      </c>
      <c r="M5746" s="12" t="inlineStr">
        <is>
          <t>18</t>
        </is>
      </c>
      <c r="N5746" s="12" t="n">
        <v>1</v>
      </c>
      <c r="O5746" s="12" t="n">
        <v>1</v>
      </c>
      <c r="P5746" s="12" t="n"/>
      <c r="Q5746" s="12" t="n"/>
      <c r="R5746" s="12" t="n"/>
      <c r="S5746" s="12" t="inlineStr">
        <is>
          <t>Duct bank</t>
        </is>
      </c>
      <c r="T5746" s="17" t="n">
        <v>985</v>
      </c>
      <c r="U5746" s="17" t="n">
        <v>32</v>
      </c>
      <c r="V5746" s="17">
        <f>ROUNDUP((T5746+U5746+2*'Read Me'!$B$13)*(1+'Read Me'!$B$12),-1)</f>
        <v/>
      </c>
      <c r="W5746" s="17">
        <f>V5746*N5746*O5746</f>
        <v/>
      </c>
      <c r="X5746" s="12">
        <f>IF(LEFT(I5746,2)="MV",2*N5746*IF(L5746="1/C",O5746,1),0)</f>
        <v/>
      </c>
      <c r="Y5746" s="12">
        <f>IF(OR(LEFT(K5746,4)="LVAX",LEFT(K5746,6)="MV15AX",LEFT(K5746,4)="CTAX",LEFT(K5746,2)="W|"),2*N5746*O5746,0)</f>
        <v/>
      </c>
      <c r="Z5746" s="12" t="inlineStr"/>
      <c r="AA5746" s="12">
        <f>N5746*O5746</f>
        <v/>
      </c>
    </row>
    <row r="5747">
      <c r="A5747" s="12" t="inlineStr">
        <is>
          <t>C-I-0129</t>
        </is>
      </c>
      <c r="B5747" s="12" t="inlineStr">
        <is>
          <t>C</t>
        </is>
      </c>
      <c r="C5747" s="12" t="inlineStr">
        <is>
          <t>Grid interface</t>
        </is>
      </c>
      <c r="D5747" s="12" t="inlineStr">
        <is>
          <t>Analog instrument to JB JB-Water treatment bu-AI03: 20 x 1 pr (field cables)</t>
        </is>
      </c>
      <c r="E5747" s="12" t="inlineStr"/>
      <c r="F5747" s="12" t="inlineStr">
        <is>
          <t>Water treatment building: rooftop HVAC, exhaust fans, vents</t>
        </is>
      </c>
      <c r="G5747" s="12" t="inlineStr">
        <is>
          <t>JB-Water treatment bu-AI03</t>
        </is>
      </c>
      <c r="H5747" s="12" t="inlineStr">
        <is>
          <t>Water treatment building: rooftop HVAC, exhaust fans, vents</t>
        </is>
      </c>
      <c r="I5747" s="12" t="inlineStr">
        <is>
          <t>Instrumentation</t>
        </is>
      </c>
      <c r="J5747" s="12" t="inlineStr">
        <is>
          <t>Instrumentation PLTC / TC-ER 300 V, #18 twisted shielded pairs, overall shield</t>
        </is>
      </c>
      <c r="K5747" s="12" t="inlineStr">
        <is>
          <t>PLTC|1 pr|16</t>
        </is>
      </c>
      <c r="L5747" s="12" t="inlineStr">
        <is>
          <t>1 pr</t>
        </is>
      </c>
      <c r="M5747" s="12" t="inlineStr">
        <is>
          <t>16</t>
        </is>
      </c>
      <c r="N5747" s="12" t="n">
        <v>20</v>
      </c>
      <c r="O5747" s="12" t="n">
        <v>1</v>
      </c>
      <c r="P5747" s="12" t="n"/>
      <c r="Q5747" s="12" t="n"/>
      <c r="R5747" s="12" t="n"/>
      <c r="S5747" s="12" t="inlineStr">
        <is>
          <t>Tray / conduit</t>
        </is>
      </c>
      <c r="T5747" s="17" t="n">
        <v>162</v>
      </c>
      <c r="U5747" s="17" t="n">
        <v>10</v>
      </c>
      <c r="V5747" s="17">
        <f>ROUNDUP((T5747+U5747+2*'Read Me'!$B$13)*(1+'Read Me'!$B$12),-1)</f>
        <v/>
      </c>
      <c r="W5747" s="17">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C-I-0130</t>
        </is>
      </c>
      <c r="B5748" s="12" t="inlineStr">
        <is>
          <t>C</t>
        </is>
      </c>
      <c r="C5748" s="12" t="inlineStr">
        <is>
          <t>Grid interface</t>
        </is>
      </c>
      <c r="D5748" s="12" t="inlineStr">
        <is>
          <t>Home run JB-Water treatment bu-AI03 to the control / marshalling room</t>
        </is>
      </c>
      <c r="E5748" s="12" t="inlineStr">
        <is>
          <t>R1</t>
        </is>
      </c>
      <c r="F5748" s="12" t="inlineStr">
        <is>
          <t>R1: main electrical building (64 x 180 ft)</t>
        </is>
      </c>
      <c r="G5748" s="12" t="inlineStr">
        <is>
          <t>JB-Water treatment bu-AI03</t>
        </is>
      </c>
      <c r="H5748" s="12" t="inlineStr">
        <is>
          <t>Water treatment building: rooftop HVAC, exhaust fans, vents</t>
        </is>
      </c>
      <c r="I5748" s="12" t="inlineStr">
        <is>
          <t>Instrumentation</t>
        </is>
      </c>
      <c r="J5748" s="12" t="inlineStr">
        <is>
          <t>Instrumentation PLTC / TC-ER 300 V, #18 twisted shielded pairs, overall shield</t>
        </is>
      </c>
      <c r="K5748" s="12" t="inlineStr">
        <is>
          <t>PLTC|24 pr|18</t>
        </is>
      </c>
      <c r="L5748" s="12" t="inlineStr">
        <is>
          <t>24 pr</t>
        </is>
      </c>
      <c r="M5748" s="12" t="inlineStr">
        <is>
          <t>18</t>
        </is>
      </c>
      <c r="N5748" s="12" t="n">
        <v>1</v>
      </c>
      <c r="O5748" s="12" t="n">
        <v>1</v>
      </c>
      <c r="P5748" s="12" t="n"/>
      <c r="Q5748" s="12" t="n"/>
      <c r="R5748" s="12" t="n"/>
      <c r="S5748" s="12" t="inlineStr">
        <is>
          <t>Duct bank</t>
        </is>
      </c>
      <c r="T5748" s="17" t="n">
        <v>985</v>
      </c>
      <c r="U5748" s="17" t="n">
        <v>32</v>
      </c>
      <c r="V5748" s="17">
        <f>ROUNDUP((T5748+U5748+2*'Read Me'!$B$13)*(1+'Read Me'!$B$12),-1)</f>
        <v/>
      </c>
      <c r="W5748" s="17">
        <f>V5748*N5748*O5748</f>
        <v/>
      </c>
      <c r="X5748" s="12">
        <f>IF(LEFT(I5748,2)="MV",2*N5748*IF(L5748="1/C",O5748,1),0)</f>
        <v/>
      </c>
      <c r="Y5748" s="12">
        <f>IF(OR(LEFT(K5748,4)="LVAX",LEFT(K5748,6)="MV15AX",LEFT(K5748,4)="CTAX",LEFT(K5748,2)="W|"),2*N5748*O5748,0)</f>
        <v/>
      </c>
      <c r="Z5748" s="12" t="inlineStr"/>
      <c r="AA5748" s="12">
        <f>N5748*O5748</f>
        <v/>
      </c>
    </row>
    <row r="5749">
      <c r="A5749" s="12" t="inlineStr">
        <is>
          <t>C-I-0131</t>
        </is>
      </c>
      <c r="B5749" s="12" t="inlineStr">
        <is>
          <t>C</t>
        </is>
      </c>
      <c r="C5749" s="12" t="inlineStr">
        <is>
          <t>Grid interface</t>
        </is>
      </c>
      <c r="D5749" s="12" t="inlineStr">
        <is>
          <t>Discrete device to JB JB-Water treatment bu-DI01: 20 x 1 pr (field cables)</t>
        </is>
      </c>
      <c r="E5749" s="12" t="inlineStr"/>
      <c r="F5749" s="12" t="inlineStr">
        <is>
          <t>Water treatment building: rooftop HVAC, exhaust fans, vents</t>
        </is>
      </c>
      <c r="G5749" s="12" t="inlineStr">
        <is>
          <t>JB-Water treatment bu-DI01</t>
        </is>
      </c>
      <c r="H5749" s="12" t="inlineStr">
        <is>
          <t>Water treatment building: rooftop HVAC, exhaust fans, vents</t>
        </is>
      </c>
      <c r="I5749" s="12" t="inlineStr">
        <is>
          <t>Instrumentation</t>
        </is>
      </c>
      <c r="J5749" s="12" t="inlineStr">
        <is>
          <t>Instrumentation PLTC / TC-ER 300 V, #18 twisted shielded pairs, overall shield</t>
        </is>
      </c>
      <c r="K5749" s="12" t="inlineStr">
        <is>
          <t>PLTC|1 pr|16</t>
        </is>
      </c>
      <c r="L5749" s="12" t="inlineStr">
        <is>
          <t>1 pr</t>
        </is>
      </c>
      <c r="M5749" s="12" t="inlineStr">
        <is>
          <t>16</t>
        </is>
      </c>
      <c r="N5749" s="12" t="n">
        <v>20</v>
      </c>
      <c r="O5749" s="12" t="n">
        <v>1</v>
      </c>
      <c r="P5749" s="12" t="n"/>
      <c r="Q5749" s="12" t="n"/>
      <c r="R5749" s="12" t="n"/>
      <c r="S5749" s="12" t="inlineStr">
        <is>
          <t>Tray / conduit</t>
        </is>
      </c>
      <c r="T5749" s="17" t="n">
        <v>162</v>
      </c>
      <c r="U5749" s="17" t="n">
        <v>10</v>
      </c>
      <c r="V5749" s="17">
        <f>ROUNDUP((T5749+U5749+2*'Read Me'!$B$13)*(1+'Read Me'!$B$12),-1)</f>
        <v/>
      </c>
      <c r="W5749" s="17">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C-I-0132</t>
        </is>
      </c>
      <c r="B5750" s="12" t="inlineStr">
        <is>
          <t>C</t>
        </is>
      </c>
      <c r="C5750" s="12" t="inlineStr">
        <is>
          <t>Grid interface</t>
        </is>
      </c>
      <c r="D5750" s="12" t="inlineStr">
        <is>
          <t>Home run JB-Water treatment bu-DI01 to the control / marshalling room</t>
        </is>
      </c>
      <c r="E5750" s="12" t="inlineStr">
        <is>
          <t>R1</t>
        </is>
      </c>
      <c r="F5750" s="12" t="inlineStr">
        <is>
          <t>R1: main electrical building (64 x 180 ft)</t>
        </is>
      </c>
      <c r="G5750" s="12" t="inlineStr">
        <is>
          <t>JB-Water treatment bu-DI01</t>
        </is>
      </c>
      <c r="H5750" s="12" t="inlineStr">
        <is>
          <t>Water treatment building: rooftop HVAC, exhaust fans, vents</t>
        </is>
      </c>
      <c r="I5750" s="12" t="inlineStr">
        <is>
          <t>Instrumentation</t>
        </is>
      </c>
      <c r="J5750" s="12" t="inlineStr">
        <is>
          <t>Instrumentation PLTC / TC-ER 300 V, #18 twisted shielded pairs, overall shield</t>
        </is>
      </c>
      <c r="K5750" s="12" t="inlineStr">
        <is>
          <t>PLTC|24 pr|18</t>
        </is>
      </c>
      <c r="L5750" s="12" t="inlineStr">
        <is>
          <t>24 pr</t>
        </is>
      </c>
      <c r="M5750" s="12" t="inlineStr">
        <is>
          <t>18</t>
        </is>
      </c>
      <c r="N5750" s="12" t="n">
        <v>1</v>
      </c>
      <c r="O5750" s="12" t="n">
        <v>1</v>
      </c>
      <c r="P5750" s="12" t="n"/>
      <c r="Q5750" s="12" t="n"/>
      <c r="R5750" s="12" t="n"/>
      <c r="S5750" s="12" t="inlineStr">
        <is>
          <t>Duct bank</t>
        </is>
      </c>
      <c r="T5750" s="17" t="n">
        <v>985</v>
      </c>
      <c r="U5750" s="17" t="n">
        <v>32</v>
      </c>
      <c r="V5750" s="17">
        <f>ROUNDUP((T5750+U5750+2*'Read Me'!$B$13)*(1+'Read Me'!$B$12),-1)</f>
        <v/>
      </c>
      <c r="W5750" s="17">
        <f>V5750*N5750*O5750</f>
        <v/>
      </c>
      <c r="X5750" s="12">
        <f>IF(LEFT(I5750,2)="MV",2*N5750*IF(L5750="1/C",O5750,1),0)</f>
        <v/>
      </c>
      <c r="Y5750" s="12">
        <f>IF(OR(LEFT(K5750,4)="LVAX",LEFT(K5750,6)="MV15AX",LEFT(K5750,4)="CTAX",LEFT(K5750,2)="W|"),2*N5750*O5750,0)</f>
        <v/>
      </c>
      <c r="Z5750" s="12" t="inlineStr"/>
      <c r="AA5750" s="12">
        <f>N5750*O5750</f>
        <v/>
      </c>
    </row>
    <row r="5751">
      <c r="A5751" s="12" t="inlineStr">
        <is>
          <t>C-I-0133</t>
        </is>
      </c>
      <c r="B5751" s="12" t="inlineStr">
        <is>
          <t>C</t>
        </is>
      </c>
      <c r="C5751" s="12" t="inlineStr">
        <is>
          <t>Grid interface</t>
        </is>
      </c>
      <c r="D5751" s="12" t="inlineStr">
        <is>
          <t>Discrete device to JB JB-Water treatment bu-DI02: 20 x 1 pr (field cables)</t>
        </is>
      </c>
      <c r="E5751" s="12" t="inlineStr"/>
      <c r="F5751" s="12" t="inlineStr">
        <is>
          <t>Water treatment building: rooftop HVAC, exhaust fans, vents</t>
        </is>
      </c>
      <c r="G5751" s="12" t="inlineStr">
        <is>
          <t>JB-Water treatment bu-DI02</t>
        </is>
      </c>
      <c r="H5751" s="12" t="inlineStr">
        <is>
          <t>Water treatment building: rooftop HVAC, exhaust fans, vents</t>
        </is>
      </c>
      <c r="I5751" s="12" t="inlineStr">
        <is>
          <t>Instrumentation</t>
        </is>
      </c>
      <c r="J5751" s="12" t="inlineStr">
        <is>
          <t>Instrumentation PLTC / TC-ER 300 V, #18 twisted shielded pairs, overall shield</t>
        </is>
      </c>
      <c r="K5751" s="12" t="inlineStr">
        <is>
          <t>PLTC|1 pr|16</t>
        </is>
      </c>
      <c r="L5751" s="12" t="inlineStr">
        <is>
          <t>1 pr</t>
        </is>
      </c>
      <c r="M5751" s="12" t="inlineStr">
        <is>
          <t>16</t>
        </is>
      </c>
      <c r="N5751" s="12" t="n">
        <v>20</v>
      </c>
      <c r="O5751" s="12" t="n">
        <v>1</v>
      </c>
      <c r="P5751" s="12" t="n"/>
      <c r="Q5751" s="12" t="n"/>
      <c r="R5751" s="12" t="n"/>
      <c r="S5751" s="12" t="inlineStr">
        <is>
          <t>Tray / conduit</t>
        </is>
      </c>
      <c r="T5751" s="17" t="n">
        <v>162</v>
      </c>
      <c r="U5751" s="17" t="n">
        <v>10</v>
      </c>
      <c r="V5751" s="17">
        <f>ROUNDUP((T5751+U5751+2*'Read Me'!$B$13)*(1+'Read Me'!$B$12),-1)</f>
        <v/>
      </c>
      <c r="W5751" s="17">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C-I-0134</t>
        </is>
      </c>
      <c r="B5752" s="12" t="inlineStr">
        <is>
          <t>C</t>
        </is>
      </c>
      <c r="C5752" s="12" t="inlineStr">
        <is>
          <t>Grid interface</t>
        </is>
      </c>
      <c r="D5752" s="12" t="inlineStr">
        <is>
          <t>Home run JB-Water treatment bu-DI02 to the control / marshalling room</t>
        </is>
      </c>
      <c r="E5752" s="12" t="inlineStr">
        <is>
          <t>R1</t>
        </is>
      </c>
      <c r="F5752" s="12" t="inlineStr">
        <is>
          <t>R1: main electrical building (64 x 180 ft)</t>
        </is>
      </c>
      <c r="G5752" s="12" t="inlineStr">
        <is>
          <t>JB-Water treatment bu-DI02</t>
        </is>
      </c>
      <c r="H5752" s="12" t="inlineStr">
        <is>
          <t>Water treatment building: rooftop HVAC, exhaust fans, vents</t>
        </is>
      </c>
      <c r="I5752" s="12" t="inlineStr">
        <is>
          <t>Instrumentation</t>
        </is>
      </c>
      <c r="J5752" s="12" t="inlineStr">
        <is>
          <t>Instrumentation PLTC / TC-ER 300 V, #18 twisted shielded pairs, overall shield</t>
        </is>
      </c>
      <c r="K5752" s="12" t="inlineStr">
        <is>
          <t>PLTC|24 pr|18</t>
        </is>
      </c>
      <c r="L5752" s="12" t="inlineStr">
        <is>
          <t>24 pr</t>
        </is>
      </c>
      <c r="M5752" s="12" t="inlineStr">
        <is>
          <t>18</t>
        </is>
      </c>
      <c r="N5752" s="12" t="n">
        <v>1</v>
      </c>
      <c r="O5752" s="12" t="n">
        <v>1</v>
      </c>
      <c r="P5752" s="12" t="n"/>
      <c r="Q5752" s="12" t="n"/>
      <c r="R5752" s="12" t="n"/>
      <c r="S5752" s="12" t="inlineStr">
        <is>
          <t>Duct bank</t>
        </is>
      </c>
      <c r="T5752" s="17" t="n">
        <v>985</v>
      </c>
      <c r="U5752" s="17" t="n">
        <v>32</v>
      </c>
      <c r="V5752" s="17">
        <f>ROUNDUP((T5752+U5752+2*'Read Me'!$B$13)*(1+'Read Me'!$B$12),-1)</f>
        <v/>
      </c>
      <c r="W5752" s="17">
        <f>V5752*N5752*O5752</f>
        <v/>
      </c>
      <c r="X5752" s="12">
        <f>IF(LEFT(I5752,2)="MV",2*N5752*IF(L5752="1/C",O5752,1),0)</f>
        <v/>
      </c>
      <c r="Y5752" s="12">
        <f>IF(OR(LEFT(K5752,4)="LVAX",LEFT(K5752,6)="MV15AX",LEFT(K5752,4)="CTAX",LEFT(K5752,2)="W|"),2*N5752*O5752,0)</f>
        <v/>
      </c>
      <c r="Z5752" s="12" t="inlineStr"/>
      <c r="AA5752" s="12">
        <f>N5752*O5752</f>
        <v/>
      </c>
    </row>
    <row r="5753">
      <c r="A5753" s="12" t="inlineStr">
        <is>
          <t>C-I-0135</t>
        </is>
      </c>
      <c r="B5753" s="12" t="inlineStr">
        <is>
          <t>C</t>
        </is>
      </c>
      <c r="C5753" s="12" t="inlineStr">
        <is>
          <t>Grid interface</t>
        </is>
      </c>
      <c r="D5753" s="12" t="inlineStr">
        <is>
          <t>Discrete device to JB JB-Water treatment bu-DI03: 20 x 1 pr (field cables)</t>
        </is>
      </c>
      <c r="E5753" s="12" t="inlineStr"/>
      <c r="F5753" s="12" t="inlineStr">
        <is>
          <t>Water treatment building: rooftop HVAC, exhaust fans, vents</t>
        </is>
      </c>
      <c r="G5753" s="12" t="inlineStr">
        <is>
          <t>JB-Water treatment bu-DI03</t>
        </is>
      </c>
      <c r="H5753" s="12" t="inlineStr">
        <is>
          <t>Water treatment building: rooftop HVAC, exhaust fans, vents</t>
        </is>
      </c>
      <c r="I5753" s="12" t="inlineStr">
        <is>
          <t>Instrumentation</t>
        </is>
      </c>
      <c r="J5753" s="12" t="inlineStr">
        <is>
          <t>Instrumentation PLTC / TC-ER 300 V, #18 twisted shielded pairs, overall shield</t>
        </is>
      </c>
      <c r="K5753" s="12" t="inlineStr">
        <is>
          <t>PLTC|1 pr|16</t>
        </is>
      </c>
      <c r="L5753" s="12" t="inlineStr">
        <is>
          <t>1 pr</t>
        </is>
      </c>
      <c r="M5753" s="12" t="inlineStr">
        <is>
          <t>16</t>
        </is>
      </c>
      <c r="N5753" s="12" t="n">
        <v>20</v>
      </c>
      <c r="O5753" s="12" t="n">
        <v>1</v>
      </c>
      <c r="P5753" s="12" t="n"/>
      <c r="Q5753" s="12" t="n"/>
      <c r="R5753" s="12" t="n"/>
      <c r="S5753" s="12" t="inlineStr">
        <is>
          <t>Tray / conduit</t>
        </is>
      </c>
      <c r="T5753" s="17" t="n">
        <v>162</v>
      </c>
      <c r="U5753" s="17" t="n">
        <v>10</v>
      </c>
      <c r="V5753" s="17">
        <f>ROUNDUP((T5753+U5753+2*'Read Me'!$B$13)*(1+'Read Me'!$B$12),-1)</f>
        <v/>
      </c>
      <c r="W5753" s="17">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C-I-0136</t>
        </is>
      </c>
      <c r="B5754" s="12" t="inlineStr">
        <is>
          <t>C</t>
        </is>
      </c>
      <c r="C5754" s="12" t="inlineStr">
        <is>
          <t>Grid interface</t>
        </is>
      </c>
      <c r="D5754" s="12" t="inlineStr">
        <is>
          <t>Home run JB-Water treatment bu-DI03 to the control / marshalling room</t>
        </is>
      </c>
      <c r="E5754" s="12" t="inlineStr">
        <is>
          <t>R1</t>
        </is>
      </c>
      <c r="F5754" s="12" t="inlineStr">
        <is>
          <t>R1: main electrical building (64 x 180 ft)</t>
        </is>
      </c>
      <c r="G5754" s="12" t="inlineStr">
        <is>
          <t>JB-Water treatment bu-DI03</t>
        </is>
      </c>
      <c r="H5754" s="12" t="inlineStr">
        <is>
          <t>Water treatment building: rooftop HVAC, exhaust fans, vents</t>
        </is>
      </c>
      <c r="I5754" s="12" t="inlineStr">
        <is>
          <t>Instrumentation</t>
        </is>
      </c>
      <c r="J5754" s="12" t="inlineStr">
        <is>
          <t>Instrumentation PLTC / TC-ER 300 V, #18 twisted shielded pairs, overall shield</t>
        </is>
      </c>
      <c r="K5754" s="12" t="inlineStr">
        <is>
          <t>PLTC|24 pr|18</t>
        </is>
      </c>
      <c r="L5754" s="12" t="inlineStr">
        <is>
          <t>24 pr</t>
        </is>
      </c>
      <c r="M5754" s="12" t="inlineStr">
        <is>
          <t>18</t>
        </is>
      </c>
      <c r="N5754" s="12" t="n">
        <v>1</v>
      </c>
      <c r="O5754" s="12" t="n">
        <v>1</v>
      </c>
      <c r="P5754" s="12" t="n"/>
      <c r="Q5754" s="12" t="n"/>
      <c r="R5754" s="12" t="n"/>
      <c r="S5754" s="12" t="inlineStr">
        <is>
          <t>Duct bank</t>
        </is>
      </c>
      <c r="T5754" s="17" t="n">
        <v>985</v>
      </c>
      <c r="U5754" s="17" t="n">
        <v>32</v>
      </c>
      <c r="V5754" s="17">
        <f>ROUNDUP((T5754+U5754+2*'Read Me'!$B$13)*(1+'Read Me'!$B$12),-1)</f>
        <v/>
      </c>
      <c r="W5754" s="17">
        <f>V5754*N5754*O5754</f>
        <v/>
      </c>
      <c r="X5754" s="12">
        <f>IF(LEFT(I5754,2)="MV",2*N5754*IF(L5754="1/C",O5754,1),0)</f>
        <v/>
      </c>
      <c r="Y5754" s="12">
        <f>IF(OR(LEFT(K5754,4)="LVAX",LEFT(K5754,6)="MV15AX",LEFT(K5754,4)="CTAX",LEFT(K5754,2)="W|"),2*N5754*O5754,0)</f>
        <v/>
      </c>
      <c r="Z5754" s="12" t="inlineStr"/>
      <c r="AA5754" s="12">
        <f>N5754*O5754</f>
        <v/>
      </c>
    </row>
    <row r="5755">
      <c r="A5755" s="12" t="inlineStr">
        <is>
          <t>C-I-0137</t>
        </is>
      </c>
      <c r="B5755" s="12" t="inlineStr">
        <is>
          <t>C</t>
        </is>
      </c>
      <c r="C5755" s="12" t="inlineStr">
        <is>
          <t>Grid interface</t>
        </is>
      </c>
      <c r="D5755" s="12" t="inlineStr">
        <is>
          <t>Discrete device to JB JB-Water treatment bu-DI04: 20 x 1 pr (field cables)</t>
        </is>
      </c>
      <c r="E5755" s="12" t="inlineStr"/>
      <c r="F5755" s="12" t="inlineStr">
        <is>
          <t>Water treatment building: rooftop HVAC, exhaust fans, vents</t>
        </is>
      </c>
      <c r="G5755" s="12" t="inlineStr">
        <is>
          <t>JB-Water treatment bu-DI04</t>
        </is>
      </c>
      <c r="H5755" s="12" t="inlineStr">
        <is>
          <t>Water treatment building: rooftop HVAC, exhaust fans, vents</t>
        </is>
      </c>
      <c r="I5755" s="12" t="inlineStr">
        <is>
          <t>Instrumentation</t>
        </is>
      </c>
      <c r="J5755" s="12" t="inlineStr">
        <is>
          <t>Instrumentation PLTC / TC-ER 300 V, #18 twisted shielded pairs, overall shield</t>
        </is>
      </c>
      <c r="K5755" s="12" t="inlineStr">
        <is>
          <t>PLTC|1 pr|16</t>
        </is>
      </c>
      <c r="L5755" s="12" t="inlineStr">
        <is>
          <t>1 pr</t>
        </is>
      </c>
      <c r="M5755" s="12" t="inlineStr">
        <is>
          <t>16</t>
        </is>
      </c>
      <c r="N5755" s="12" t="n">
        <v>20</v>
      </c>
      <c r="O5755" s="12" t="n">
        <v>1</v>
      </c>
      <c r="P5755" s="12" t="n"/>
      <c r="Q5755" s="12" t="n"/>
      <c r="R5755" s="12" t="n"/>
      <c r="S5755" s="12" t="inlineStr">
        <is>
          <t>Tray / conduit</t>
        </is>
      </c>
      <c r="T5755" s="17" t="n">
        <v>162</v>
      </c>
      <c r="U5755" s="17" t="n">
        <v>10</v>
      </c>
      <c r="V5755" s="17">
        <f>ROUNDUP((T5755+U5755+2*'Read Me'!$B$13)*(1+'Read Me'!$B$12),-1)</f>
        <v/>
      </c>
      <c r="W5755" s="17">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C-I-0138</t>
        </is>
      </c>
      <c r="B5756" s="12" t="inlineStr">
        <is>
          <t>C</t>
        </is>
      </c>
      <c r="C5756" s="12" t="inlineStr">
        <is>
          <t>Grid interface</t>
        </is>
      </c>
      <c r="D5756" s="12" t="inlineStr">
        <is>
          <t>Home run JB-Water treatment bu-DI04 to the control / marshalling room</t>
        </is>
      </c>
      <c r="E5756" s="12" t="inlineStr">
        <is>
          <t>R1</t>
        </is>
      </c>
      <c r="F5756" s="12" t="inlineStr">
        <is>
          <t>R1: main electrical building (64 x 180 ft)</t>
        </is>
      </c>
      <c r="G5756" s="12" t="inlineStr">
        <is>
          <t>JB-Water treatment bu-DI04</t>
        </is>
      </c>
      <c r="H5756" s="12" t="inlineStr">
        <is>
          <t>Water treatment building: rooftop HVAC, exhaust fans, vents</t>
        </is>
      </c>
      <c r="I5756" s="12" t="inlineStr">
        <is>
          <t>Instrumentation</t>
        </is>
      </c>
      <c r="J5756" s="12" t="inlineStr">
        <is>
          <t>Instrumentation PLTC / TC-ER 300 V, #18 twisted shielded pairs, overall shield</t>
        </is>
      </c>
      <c r="K5756" s="12" t="inlineStr">
        <is>
          <t>PLTC|24 pr|18</t>
        </is>
      </c>
      <c r="L5756" s="12" t="inlineStr">
        <is>
          <t>24 pr</t>
        </is>
      </c>
      <c r="M5756" s="12" t="inlineStr">
        <is>
          <t>18</t>
        </is>
      </c>
      <c r="N5756" s="12" t="n">
        <v>1</v>
      </c>
      <c r="O5756" s="12" t="n">
        <v>1</v>
      </c>
      <c r="P5756" s="12" t="n"/>
      <c r="Q5756" s="12" t="n"/>
      <c r="R5756" s="12" t="n"/>
      <c r="S5756" s="12" t="inlineStr">
        <is>
          <t>Duct bank</t>
        </is>
      </c>
      <c r="T5756" s="17" t="n">
        <v>985</v>
      </c>
      <c r="U5756" s="17" t="n">
        <v>32</v>
      </c>
      <c r="V5756" s="17">
        <f>ROUNDUP((T5756+U5756+2*'Read Me'!$B$13)*(1+'Read Me'!$B$12),-1)</f>
        <v/>
      </c>
      <c r="W5756" s="17">
        <f>V5756*N5756*O5756</f>
        <v/>
      </c>
      <c r="X5756" s="12">
        <f>IF(LEFT(I5756,2)="MV",2*N5756*IF(L5756="1/C",O5756,1),0)</f>
        <v/>
      </c>
      <c r="Y5756" s="12">
        <f>IF(OR(LEFT(K5756,4)="LVAX",LEFT(K5756,6)="MV15AX",LEFT(K5756,4)="CTAX",LEFT(K5756,2)="W|"),2*N5756*O5756,0)</f>
        <v/>
      </c>
      <c r="Z5756" s="12" t="inlineStr"/>
      <c r="AA5756" s="12">
        <f>N5756*O5756</f>
        <v/>
      </c>
    </row>
    <row r="5757">
      <c r="A5757" s="12" t="inlineStr">
        <is>
          <t>C-P-0006</t>
        </is>
      </c>
      <c r="B5757" s="12" t="inlineStr">
        <is>
          <t>C</t>
        </is>
      </c>
      <c r="C5757" s="12" t="inlineStr">
        <is>
          <t>Grid interface</t>
        </is>
      </c>
      <c r="D5757" s="12" t="inlineStr">
        <is>
          <t>Motor 1 of 10, 30 kW</t>
        </is>
      </c>
      <c r="E5757" s="12" t="inlineStr">
        <is>
          <t>MCC-C1</t>
        </is>
      </c>
      <c r="F5757" s="12" t="inlineStr">
        <is>
          <t>R1 MCC-C1</t>
        </is>
      </c>
      <c r="G5757" s="12" t="inlineStr"/>
      <c r="H5757" s="12" t="inlineStr">
        <is>
          <t xml:space="preserve">CO2 compression 3 x ~19 MW + dehydration: rooftop HVAC, exhaust fans, </t>
        </is>
      </c>
      <c r="I5757" s="12" t="inlineStr">
        <is>
          <t>LV 600 V</t>
        </is>
      </c>
      <c r="J5757" s="12" t="inlineStr">
        <is>
          <t>Type TC-ER 600 V 3/C Cu XHHW-2 + ground, PVC jacket</t>
        </is>
      </c>
      <c r="K5757" s="12" t="inlineStr">
        <is>
          <t>LV|3/C+G|3/0</t>
        </is>
      </c>
      <c r="L5757" s="12" t="inlineStr">
        <is>
          <t>3/C+G</t>
        </is>
      </c>
      <c r="M5757" s="12" t="inlineStr">
        <is>
          <t>3/0</t>
        </is>
      </c>
      <c r="N5757" s="12" t="n">
        <v>1</v>
      </c>
      <c r="O5757" s="12" t="n">
        <v>1</v>
      </c>
      <c r="P5757" s="12" t="n">
        <v>480</v>
      </c>
      <c r="Q5757" s="12" t="n">
        <v>30</v>
      </c>
      <c r="R5757" s="12" t="n">
        <v>42.5</v>
      </c>
      <c r="S5757" s="12" t="inlineStr">
        <is>
          <t>Tray</t>
        </is>
      </c>
      <c r="T5757" s="17" t="n">
        <v>1744</v>
      </c>
      <c r="U5757" s="17" t="n">
        <v>161</v>
      </c>
      <c r="V5757" s="17">
        <f>ROUNDUP((T5757+U5757+2*'Read Me'!$B$13)*(1+'Read Me'!$B$12),-1)</f>
        <v/>
      </c>
      <c r="W5757" s="17">
        <f>V5757*N5757*O5757</f>
        <v/>
      </c>
      <c r="X5757" s="12">
        <f>IF(LEFT(I5757,2)="MV",2*N5757*IF(L5757="1/C",O5757,1),0)</f>
        <v/>
      </c>
      <c r="Y5757" s="12">
        <f>IF(OR(LEFT(K5757,4)="LVAX",LEFT(K5757,6)="MV15AX",LEFT(K5757,4)="CTAX",LEFT(K5757,2)="W|"),2*N5757*O5757,0)</f>
        <v/>
      </c>
      <c r="Z5757" s="12" t="inlineStr">
        <is>
          <t>VD 2.5 %</t>
        </is>
      </c>
      <c r="AA5757" s="12">
        <f>N5757*O5757</f>
        <v/>
      </c>
    </row>
    <row r="5758">
      <c r="A5758" s="12" t="inlineStr">
        <is>
          <t>C-P-0007</t>
        </is>
      </c>
      <c r="B5758" s="12" t="inlineStr">
        <is>
          <t>C</t>
        </is>
      </c>
      <c r="C5758" s="12" t="inlineStr">
        <is>
          <t>Grid interface</t>
        </is>
      </c>
      <c r="D5758" s="12" t="inlineStr">
        <is>
          <t>Motor 2 of 10, 30 kW</t>
        </is>
      </c>
      <c r="E5758" s="12" t="inlineStr">
        <is>
          <t>MCC-C1</t>
        </is>
      </c>
      <c r="F5758" s="12" t="inlineStr">
        <is>
          <t>R1 MCC-C1</t>
        </is>
      </c>
      <c r="G5758" s="12" t="inlineStr"/>
      <c r="H5758" s="12" t="inlineStr">
        <is>
          <t xml:space="preserve">CO2 compression 3 x ~19 MW + dehydration: rooftop HVAC, exhaust fans, </t>
        </is>
      </c>
      <c r="I5758" s="12" t="inlineStr">
        <is>
          <t>LV 600 V</t>
        </is>
      </c>
      <c r="J5758" s="12" t="inlineStr">
        <is>
          <t>Type TC-ER 600 V 3/C Cu XHHW-2 + ground, PVC jacket</t>
        </is>
      </c>
      <c r="K5758" s="12" t="inlineStr">
        <is>
          <t>LV|3/C+G|3/0</t>
        </is>
      </c>
      <c r="L5758" s="12" t="inlineStr">
        <is>
          <t>3/C+G</t>
        </is>
      </c>
      <c r="M5758" s="12" t="inlineStr">
        <is>
          <t>3/0</t>
        </is>
      </c>
      <c r="N5758" s="12" t="n">
        <v>1</v>
      </c>
      <c r="O5758" s="12" t="n">
        <v>1</v>
      </c>
      <c r="P5758" s="12" t="n">
        <v>480</v>
      </c>
      <c r="Q5758" s="12" t="n">
        <v>30</v>
      </c>
      <c r="R5758" s="12" t="n">
        <v>42.5</v>
      </c>
      <c r="S5758" s="12" t="inlineStr">
        <is>
          <t>Tray</t>
        </is>
      </c>
      <c r="T5758" s="17" t="n">
        <v>1744</v>
      </c>
      <c r="U5758" s="17" t="n">
        <v>161</v>
      </c>
      <c r="V5758" s="17">
        <f>ROUNDUP((T5758+U5758+2*'Read Me'!$B$13)*(1+'Read Me'!$B$12),-1)</f>
        <v/>
      </c>
      <c r="W5758" s="17">
        <f>V5758*N5758*O5758</f>
        <v/>
      </c>
      <c r="X5758" s="12">
        <f>IF(LEFT(I5758,2)="MV",2*N5758*IF(L5758="1/C",O5758,1),0)</f>
        <v/>
      </c>
      <c r="Y5758" s="12">
        <f>IF(OR(LEFT(K5758,4)="LVAX",LEFT(K5758,6)="MV15AX",LEFT(K5758,4)="CTAX",LEFT(K5758,2)="W|"),2*N5758*O5758,0)</f>
        <v/>
      </c>
      <c r="Z5758" s="12" t="inlineStr">
        <is>
          <t>VD 2.5 %</t>
        </is>
      </c>
      <c r="AA5758" s="12">
        <f>N5758*O5758</f>
        <v/>
      </c>
    </row>
    <row r="5759">
      <c r="A5759" s="12" t="inlineStr">
        <is>
          <t>C-P-0008</t>
        </is>
      </c>
      <c r="B5759" s="12" t="inlineStr">
        <is>
          <t>C</t>
        </is>
      </c>
      <c r="C5759" s="12" t="inlineStr">
        <is>
          <t>Grid interface</t>
        </is>
      </c>
      <c r="D5759" s="12" t="inlineStr">
        <is>
          <t>Motor 3 of 10, 30 kW</t>
        </is>
      </c>
      <c r="E5759" s="12" t="inlineStr">
        <is>
          <t>MCC-C1</t>
        </is>
      </c>
      <c r="F5759" s="12" t="inlineStr">
        <is>
          <t>R1 MCC-C1</t>
        </is>
      </c>
      <c r="G5759" s="12" t="inlineStr"/>
      <c r="H5759" s="12" t="inlineStr">
        <is>
          <t xml:space="preserve">CO2 compression 3 x ~19 MW + dehydration: rooftop HVAC, exhaust fans, </t>
        </is>
      </c>
      <c r="I5759" s="12" t="inlineStr">
        <is>
          <t>LV 600 V</t>
        </is>
      </c>
      <c r="J5759" s="12" t="inlineStr">
        <is>
          <t>Type TC-ER 600 V 3/C Cu XHHW-2 + ground, PVC jacket</t>
        </is>
      </c>
      <c r="K5759" s="12" t="inlineStr">
        <is>
          <t>LV|3/C+G|3/0</t>
        </is>
      </c>
      <c r="L5759" s="12" t="inlineStr">
        <is>
          <t>3/C+G</t>
        </is>
      </c>
      <c r="M5759" s="12" t="inlineStr">
        <is>
          <t>3/0</t>
        </is>
      </c>
      <c r="N5759" s="12" t="n">
        <v>1</v>
      </c>
      <c r="O5759" s="12" t="n">
        <v>1</v>
      </c>
      <c r="P5759" s="12" t="n">
        <v>480</v>
      </c>
      <c r="Q5759" s="12" t="n">
        <v>30</v>
      </c>
      <c r="R5759" s="12" t="n">
        <v>42.5</v>
      </c>
      <c r="S5759" s="12" t="inlineStr">
        <is>
          <t>Tray</t>
        </is>
      </c>
      <c r="T5759" s="17" t="n">
        <v>1744</v>
      </c>
      <c r="U5759" s="17" t="n">
        <v>161</v>
      </c>
      <c r="V5759" s="17">
        <f>ROUNDUP((T5759+U5759+2*'Read Me'!$B$13)*(1+'Read Me'!$B$12),-1)</f>
        <v/>
      </c>
      <c r="W5759" s="17">
        <f>V5759*N5759*O5759</f>
        <v/>
      </c>
      <c r="X5759" s="12">
        <f>IF(LEFT(I5759,2)="MV",2*N5759*IF(L5759="1/C",O5759,1),0)</f>
        <v/>
      </c>
      <c r="Y5759" s="12">
        <f>IF(OR(LEFT(K5759,4)="LVAX",LEFT(K5759,6)="MV15AX",LEFT(K5759,4)="CTAX",LEFT(K5759,2)="W|"),2*N5759*O5759,0)</f>
        <v/>
      </c>
      <c r="Z5759" s="12" t="inlineStr">
        <is>
          <t>VD 2.5 %</t>
        </is>
      </c>
      <c r="AA5759" s="12">
        <f>N5759*O5759</f>
        <v/>
      </c>
    </row>
    <row r="5760">
      <c r="A5760" s="12" t="inlineStr">
        <is>
          <t>C-P-0009</t>
        </is>
      </c>
      <c r="B5760" s="12" t="inlineStr">
        <is>
          <t>C</t>
        </is>
      </c>
      <c r="C5760" s="12" t="inlineStr">
        <is>
          <t>Grid interface</t>
        </is>
      </c>
      <c r="D5760" s="12" t="inlineStr">
        <is>
          <t>Motor 4 of 10, 30 kW</t>
        </is>
      </c>
      <c r="E5760" s="12" t="inlineStr">
        <is>
          <t>MCC-C1</t>
        </is>
      </c>
      <c r="F5760" s="12" t="inlineStr">
        <is>
          <t>R1 MCC-C1</t>
        </is>
      </c>
      <c r="G5760" s="12" t="inlineStr"/>
      <c r="H5760" s="12" t="inlineStr">
        <is>
          <t xml:space="preserve">CO2 compression 3 x ~19 MW + dehydration: rooftop HVAC, exhaust fans, </t>
        </is>
      </c>
      <c r="I5760" s="12" t="inlineStr">
        <is>
          <t>LV 600 V</t>
        </is>
      </c>
      <c r="J5760" s="12" t="inlineStr">
        <is>
          <t>Type TC-ER 600 V 3/C Cu XHHW-2 + ground, PVC jacket</t>
        </is>
      </c>
      <c r="K5760" s="12" t="inlineStr">
        <is>
          <t>LV|3/C+G|3/0</t>
        </is>
      </c>
      <c r="L5760" s="12" t="inlineStr">
        <is>
          <t>3/C+G</t>
        </is>
      </c>
      <c r="M5760" s="12" t="inlineStr">
        <is>
          <t>3/0</t>
        </is>
      </c>
      <c r="N5760" s="12" t="n">
        <v>1</v>
      </c>
      <c r="O5760" s="12" t="n">
        <v>1</v>
      </c>
      <c r="P5760" s="12" t="n">
        <v>480</v>
      </c>
      <c r="Q5760" s="12" t="n">
        <v>30</v>
      </c>
      <c r="R5760" s="12" t="n">
        <v>42.5</v>
      </c>
      <c r="S5760" s="12" t="inlineStr">
        <is>
          <t>Tray</t>
        </is>
      </c>
      <c r="T5760" s="17" t="n">
        <v>1744</v>
      </c>
      <c r="U5760" s="17" t="n">
        <v>161</v>
      </c>
      <c r="V5760" s="17">
        <f>ROUNDUP((T5760+U5760+2*'Read Me'!$B$13)*(1+'Read Me'!$B$12),-1)</f>
        <v/>
      </c>
      <c r="W5760" s="17">
        <f>V5760*N5760*O5760</f>
        <v/>
      </c>
      <c r="X5760" s="12">
        <f>IF(LEFT(I5760,2)="MV",2*N5760*IF(L5760="1/C",O5760,1),0)</f>
        <v/>
      </c>
      <c r="Y5760" s="12">
        <f>IF(OR(LEFT(K5760,4)="LVAX",LEFT(K5760,6)="MV15AX",LEFT(K5760,4)="CTAX",LEFT(K5760,2)="W|"),2*N5760*O5760,0)</f>
        <v/>
      </c>
      <c r="Z5760" s="12" t="inlineStr">
        <is>
          <t>VD 2.5 %</t>
        </is>
      </c>
      <c r="AA5760" s="12">
        <f>N5760*O5760</f>
        <v/>
      </c>
    </row>
    <row r="5761">
      <c r="A5761" s="12" t="inlineStr">
        <is>
          <t>C-P-0010</t>
        </is>
      </c>
      <c r="B5761" s="12" t="inlineStr">
        <is>
          <t>C</t>
        </is>
      </c>
      <c r="C5761" s="12" t="inlineStr">
        <is>
          <t>Grid interface</t>
        </is>
      </c>
      <c r="D5761" s="12" t="inlineStr">
        <is>
          <t>Motor 5 of 10, 30 kW</t>
        </is>
      </c>
      <c r="E5761" s="12" t="inlineStr">
        <is>
          <t>MCC-C1</t>
        </is>
      </c>
      <c r="F5761" s="12" t="inlineStr">
        <is>
          <t>R1 MCC-C1</t>
        </is>
      </c>
      <c r="G5761" s="12" t="inlineStr"/>
      <c r="H5761" s="12" t="inlineStr">
        <is>
          <t xml:space="preserve">CO2 compression 3 x ~19 MW + dehydration: rooftop HVAC, exhaust fans, </t>
        </is>
      </c>
      <c r="I5761" s="12" t="inlineStr">
        <is>
          <t>LV 600 V</t>
        </is>
      </c>
      <c r="J5761" s="12" t="inlineStr">
        <is>
          <t>Type TC-ER 600 V 3/C Cu XHHW-2 + ground, PVC jacket</t>
        </is>
      </c>
      <c r="K5761" s="12" t="inlineStr">
        <is>
          <t>LV|3/C+G|3/0</t>
        </is>
      </c>
      <c r="L5761" s="12" t="inlineStr">
        <is>
          <t>3/C+G</t>
        </is>
      </c>
      <c r="M5761" s="12" t="inlineStr">
        <is>
          <t>3/0</t>
        </is>
      </c>
      <c r="N5761" s="12" t="n">
        <v>1</v>
      </c>
      <c r="O5761" s="12" t="n">
        <v>1</v>
      </c>
      <c r="P5761" s="12" t="n">
        <v>480</v>
      </c>
      <c r="Q5761" s="12" t="n">
        <v>30</v>
      </c>
      <c r="R5761" s="12" t="n">
        <v>42.5</v>
      </c>
      <c r="S5761" s="12" t="inlineStr">
        <is>
          <t>Tray</t>
        </is>
      </c>
      <c r="T5761" s="17" t="n">
        <v>1744</v>
      </c>
      <c r="U5761" s="17" t="n">
        <v>161</v>
      </c>
      <c r="V5761" s="17">
        <f>ROUNDUP((T5761+U5761+2*'Read Me'!$B$13)*(1+'Read Me'!$B$12),-1)</f>
        <v/>
      </c>
      <c r="W5761" s="17">
        <f>V5761*N5761*O5761</f>
        <v/>
      </c>
      <c r="X5761" s="12">
        <f>IF(LEFT(I5761,2)="MV",2*N5761*IF(L5761="1/C",O5761,1),0)</f>
        <v/>
      </c>
      <c r="Y5761" s="12">
        <f>IF(OR(LEFT(K5761,4)="LVAX",LEFT(K5761,6)="MV15AX",LEFT(K5761,4)="CTAX",LEFT(K5761,2)="W|"),2*N5761*O5761,0)</f>
        <v/>
      </c>
      <c r="Z5761" s="12" t="inlineStr">
        <is>
          <t>VD 2.5 %</t>
        </is>
      </c>
      <c r="AA5761" s="12">
        <f>N5761*O5761</f>
        <v/>
      </c>
    </row>
    <row r="5762">
      <c r="A5762" s="12" t="inlineStr">
        <is>
          <t>C-P-0011</t>
        </is>
      </c>
      <c r="B5762" s="12" t="inlineStr">
        <is>
          <t>C</t>
        </is>
      </c>
      <c r="C5762" s="12" t="inlineStr">
        <is>
          <t>Grid interface</t>
        </is>
      </c>
      <c r="D5762" s="12" t="inlineStr">
        <is>
          <t>Motor 6 of 10, 30 kW</t>
        </is>
      </c>
      <c r="E5762" s="12" t="inlineStr">
        <is>
          <t>MCC-C1</t>
        </is>
      </c>
      <c r="F5762" s="12" t="inlineStr">
        <is>
          <t>R1 MCC-C1</t>
        </is>
      </c>
      <c r="G5762" s="12" t="inlineStr"/>
      <c r="H5762" s="12" t="inlineStr">
        <is>
          <t xml:space="preserve">CO2 compression 3 x ~19 MW + dehydration: rooftop HVAC, exhaust fans, </t>
        </is>
      </c>
      <c r="I5762" s="12" t="inlineStr">
        <is>
          <t>LV 600 V</t>
        </is>
      </c>
      <c r="J5762" s="12" t="inlineStr">
        <is>
          <t>Type TC-ER 600 V 3/C Cu XHHW-2 + ground, PVC jacket</t>
        </is>
      </c>
      <c r="K5762" s="12" t="inlineStr">
        <is>
          <t>LV|3/C+G|3/0</t>
        </is>
      </c>
      <c r="L5762" s="12" t="inlineStr">
        <is>
          <t>3/C+G</t>
        </is>
      </c>
      <c r="M5762" s="12" t="inlineStr">
        <is>
          <t>3/0</t>
        </is>
      </c>
      <c r="N5762" s="12" t="n">
        <v>1</v>
      </c>
      <c r="O5762" s="12" t="n">
        <v>1</v>
      </c>
      <c r="P5762" s="12" t="n">
        <v>480</v>
      </c>
      <c r="Q5762" s="12" t="n">
        <v>30</v>
      </c>
      <c r="R5762" s="12" t="n">
        <v>42.5</v>
      </c>
      <c r="S5762" s="12" t="inlineStr">
        <is>
          <t>Tray</t>
        </is>
      </c>
      <c r="T5762" s="17" t="n">
        <v>1744</v>
      </c>
      <c r="U5762" s="17" t="n">
        <v>161</v>
      </c>
      <c r="V5762" s="17">
        <f>ROUNDUP((T5762+U5762+2*'Read Me'!$B$13)*(1+'Read Me'!$B$12),-1)</f>
        <v/>
      </c>
      <c r="W5762" s="17">
        <f>V5762*N5762*O5762</f>
        <v/>
      </c>
      <c r="X5762" s="12">
        <f>IF(LEFT(I5762,2)="MV",2*N5762*IF(L5762="1/C",O5762,1),0)</f>
        <v/>
      </c>
      <c r="Y5762" s="12">
        <f>IF(OR(LEFT(K5762,4)="LVAX",LEFT(K5762,6)="MV15AX",LEFT(K5762,4)="CTAX",LEFT(K5762,2)="W|"),2*N5762*O5762,0)</f>
        <v/>
      </c>
      <c r="Z5762" s="12" t="inlineStr">
        <is>
          <t>VD 2.5 %</t>
        </is>
      </c>
      <c r="AA5762" s="12">
        <f>N5762*O5762</f>
        <v/>
      </c>
    </row>
    <row r="5763">
      <c r="A5763" s="12" t="inlineStr">
        <is>
          <t>C-P-0012</t>
        </is>
      </c>
      <c r="B5763" s="12" t="inlineStr">
        <is>
          <t>C</t>
        </is>
      </c>
      <c r="C5763" s="12" t="inlineStr">
        <is>
          <t>Grid interface</t>
        </is>
      </c>
      <c r="D5763" s="12" t="inlineStr">
        <is>
          <t>Motor 7 of 10, 30 kW</t>
        </is>
      </c>
      <c r="E5763" s="12" t="inlineStr">
        <is>
          <t>MCC-C1</t>
        </is>
      </c>
      <c r="F5763" s="12" t="inlineStr">
        <is>
          <t>R1 MCC-C1</t>
        </is>
      </c>
      <c r="G5763" s="12" t="inlineStr"/>
      <c r="H5763" s="12" t="inlineStr">
        <is>
          <t xml:space="preserve">CO2 compression 3 x ~19 MW + dehydration: rooftop HVAC, exhaust fans, </t>
        </is>
      </c>
      <c r="I5763" s="12" t="inlineStr">
        <is>
          <t>LV 600 V</t>
        </is>
      </c>
      <c r="J5763" s="12" t="inlineStr">
        <is>
          <t>Type TC-ER 600 V 3/C Cu XHHW-2 + ground, PVC jacket</t>
        </is>
      </c>
      <c r="K5763" s="12" t="inlineStr">
        <is>
          <t>LV|3/C+G|3/0</t>
        </is>
      </c>
      <c r="L5763" s="12" t="inlineStr">
        <is>
          <t>3/C+G</t>
        </is>
      </c>
      <c r="M5763" s="12" t="inlineStr">
        <is>
          <t>3/0</t>
        </is>
      </c>
      <c r="N5763" s="12" t="n">
        <v>1</v>
      </c>
      <c r="O5763" s="12" t="n">
        <v>1</v>
      </c>
      <c r="P5763" s="12" t="n">
        <v>480</v>
      </c>
      <c r="Q5763" s="12" t="n">
        <v>30</v>
      </c>
      <c r="R5763" s="12" t="n">
        <v>42.5</v>
      </c>
      <c r="S5763" s="12" t="inlineStr">
        <is>
          <t>Tray</t>
        </is>
      </c>
      <c r="T5763" s="17" t="n">
        <v>1744</v>
      </c>
      <c r="U5763" s="17" t="n">
        <v>161</v>
      </c>
      <c r="V5763" s="17">
        <f>ROUNDUP((T5763+U5763+2*'Read Me'!$B$13)*(1+'Read Me'!$B$12),-1)</f>
        <v/>
      </c>
      <c r="W5763" s="17">
        <f>V5763*N5763*O5763</f>
        <v/>
      </c>
      <c r="X5763" s="12">
        <f>IF(LEFT(I5763,2)="MV",2*N5763*IF(L5763="1/C",O5763,1),0)</f>
        <v/>
      </c>
      <c r="Y5763" s="12">
        <f>IF(OR(LEFT(K5763,4)="LVAX",LEFT(K5763,6)="MV15AX",LEFT(K5763,4)="CTAX",LEFT(K5763,2)="W|"),2*N5763*O5763,0)</f>
        <v/>
      </c>
      <c r="Z5763" s="12" t="inlineStr">
        <is>
          <t>VD 2.5 %</t>
        </is>
      </c>
      <c r="AA5763" s="12">
        <f>N5763*O5763</f>
        <v/>
      </c>
    </row>
    <row r="5764">
      <c r="A5764" s="12" t="inlineStr">
        <is>
          <t>C-P-0013</t>
        </is>
      </c>
      <c r="B5764" s="12" t="inlineStr">
        <is>
          <t>C</t>
        </is>
      </c>
      <c r="C5764" s="12" t="inlineStr">
        <is>
          <t>Grid interface</t>
        </is>
      </c>
      <c r="D5764" s="12" t="inlineStr">
        <is>
          <t>Motor 8 of 10, 30 kW</t>
        </is>
      </c>
      <c r="E5764" s="12" t="inlineStr">
        <is>
          <t>MCC-C1</t>
        </is>
      </c>
      <c r="F5764" s="12" t="inlineStr">
        <is>
          <t>R1 MCC-C1</t>
        </is>
      </c>
      <c r="G5764" s="12" t="inlineStr"/>
      <c r="H5764" s="12" t="inlineStr">
        <is>
          <t xml:space="preserve">CO2 compression 3 x ~19 MW + dehydration: rooftop HVAC, exhaust fans, </t>
        </is>
      </c>
      <c r="I5764" s="12" t="inlineStr">
        <is>
          <t>LV 600 V</t>
        </is>
      </c>
      <c r="J5764" s="12" t="inlineStr">
        <is>
          <t>Type TC-ER 600 V 3/C Cu XHHW-2 + ground, PVC jacket</t>
        </is>
      </c>
      <c r="K5764" s="12" t="inlineStr">
        <is>
          <t>LV|3/C+G|3/0</t>
        </is>
      </c>
      <c r="L5764" s="12" t="inlineStr">
        <is>
          <t>3/C+G</t>
        </is>
      </c>
      <c r="M5764" s="12" t="inlineStr">
        <is>
          <t>3/0</t>
        </is>
      </c>
      <c r="N5764" s="12" t="n">
        <v>1</v>
      </c>
      <c r="O5764" s="12" t="n">
        <v>1</v>
      </c>
      <c r="P5764" s="12" t="n">
        <v>480</v>
      </c>
      <c r="Q5764" s="12" t="n">
        <v>30</v>
      </c>
      <c r="R5764" s="12" t="n">
        <v>42.5</v>
      </c>
      <c r="S5764" s="12" t="inlineStr">
        <is>
          <t>Tray</t>
        </is>
      </c>
      <c r="T5764" s="17" t="n">
        <v>1744</v>
      </c>
      <c r="U5764" s="17" t="n">
        <v>161</v>
      </c>
      <c r="V5764" s="17">
        <f>ROUNDUP((T5764+U5764+2*'Read Me'!$B$13)*(1+'Read Me'!$B$12),-1)</f>
        <v/>
      </c>
      <c r="W5764" s="17">
        <f>V5764*N5764*O5764</f>
        <v/>
      </c>
      <c r="X5764" s="12">
        <f>IF(LEFT(I5764,2)="MV",2*N5764*IF(L5764="1/C",O5764,1),0)</f>
        <v/>
      </c>
      <c r="Y5764" s="12">
        <f>IF(OR(LEFT(K5764,4)="LVAX",LEFT(K5764,6)="MV15AX",LEFT(K5764,4)="CTAX",LEFT(K5764,2)="W|"),2*N5764*O5764,0)</f>
        <v/>
      </c>
      <c r="Z5764" s="12" t="inlineStr">
        <is>
          <t>VD 2.5 %</t>
        </is>
      </c>
      <c r="AA5764" s="12">
        <f>N5764*O5764</f>
        <v/>
      </c>
    </row>
    <row r="5765">
      <c r="A5765" s="12" t="inlineStr">
        <is>
          <t>C-P-0014</t>
        </is>
      </c>
      <c r="B5765" s="12" t="inlineStr">
        <is>
          <t>C</t>
        </is>
      </c>
      <c r="C5765" s="12" t="inlineStr">
        <is>
          <t>Grid interface</t>
        </is>
      </c>
      <c r="D5765" s="12" t="inlineStr">
        <is>
          <t>Motor 9 of 10, 30 kW</t>
        </is>
      </c>
      <c r="E5765" s="12" t="inlineStr">
        <is>
          <t>MCC-C1</t>
        </is>
      </c>
      <c r="F5765" s="12" t="inlineStr">
        <is>
          <t>R1 MCC-C1</t>
        </is>
      </c>
      <c r="G5765" s="12" t="inlineStr"/>
      <c r="H5765" s="12" t="inlineStr">
        <is>
          <t xml:space="preserve">CO2 compression 3 x ~19 MW + dehydration: rooftop HVAC, exhaust fans, </t>
        </is>
      </c>
      <c r="I5765" s="12" t="inlineStr">
        <is>
          <t>LV 600 V</t>
        </is>
      </c>
      <c r="J5765" s="12" t="inlineStr">
        <is>
          <t>Type TC-ER 600 V 3/C Cu XHHW-2 + ground, PVC jacket</t>
        </is>
      </c>
      <c r="K5765" s="12" t="inlineStr">
        <is>
          <t>LV|3/C+G|3/0</t>
        </is>
      </c>
      <c r="L5765" s="12" t="inlineStr">
        <is>
          <t>3/C+G</t>
        </is>
      </c>
      <c r="M5765" s="12" t="inlineStr">
        <is>
          <t>3/0</t>
        </is>
      </c>
      <c r="N5765" s="12" t="n">
        <v>1</v>
      </c>
      <c r="O5765" s="12" t="n">
        <v>1</v>
      </c>
      <c r="P5765" s="12" t="n">
        <v>480</v>
      </c>
      <c r="Q5765" s="12" t="n">
        <v>30</v>
      </c>
      <c r="R5765" s="12" t="n">
        <v>42.5</v>
      </c>
      <c r="S5765" s="12" t="inlineStr">
        <is>
          <t>Tray</t>
        </is>
      </c>
      <c r="T5765" s="17" t="n">
        <v>1744</v>
      </c>
      <c r="U5765" s="17" t="n">
        <v>161</v>
      </c>
      <c r="V5765" s="17">
        <f>ROUNDUP((T5765+U5765+2*'Read Me'!$B$13)*(1+'Read Me'!$B$12),-1)</f>
        <v/>
      </c>
      <c r="W5765" s="17">
        <f>V5765*N5765*O5765</f>
        <v/>
      </c>
      <c r="X5765" s="12">
        <f>IF(LEFT(I5765,2)="MV",2*N5765*IF(L5765="1/C",O5765,1),0)</f>
        <v/>
      </c>
      <c r="Y5765" s="12">
        <f>IF(OR(LEFT(K5765,4)="LVAX",LEFT(K5765,6)="MV15AX",LEFT(K5765,4)="CTAX",LEFT(K5765,2)="W|"),2*N5765*O5765,0)</f>
        <v/>
      </c>
      <c r="Z5765" s="12" t="inlineStr">
        <is>
          <t>VD 2.5 %</t>
        </is>
      </c>
      <c r="AA5765" s="12">
        <f>N5765*O5765</f>
        <v/>
      </c>
    </row>
    <row r="5766">
      <c r="A5766" s="12" t="inlineStr">
        <is>
          <t>C-P-0015</t>
        </is>
      </c>
      <c r="B5766" s="12" t="inlineStr">
        <is>
          <t>C</t>
        </is>
      </c>
      <c r="C5766" s="12" t="inlineStr">
        <is>
          <t>Grid interface</t>
        </is>
      </c>
      <c r="D5766" s="12" t="inlineStr">
        <is>
          <t>Motor 10 of 10, 30 kW</t>
        </is>
      </c>
      <c r="E5766" s="12" t="inlineStr">
        <is>
          <t>MCC-C1</t>
        </is>
      </c>
      <c r="F5766" s="12" t="inlineStr">
        <is>
          <t>R1 MCC-C1</t>
        </is>
      </c>
      <c r="G5766" s="12" t="inlineStr"/>
      <c r="H5766" s="12" t="inlineStr">
        <is>
          <t xml:space="preserve">CO2 compression 3 x ~19 MW + dehydration: rooftop HVAC, exhaust fans, </t>
        </is>
      </c>
      <c r="I5766" s="12" t="inlineStr">
        <is>
          <t>LV 600 V</t>
        </is>
      </c>
      <c r="J5766" s="12" t="inlineStr">
        <is>
          <t>Type TC-ER 600 V 3/C Cu XHHW-2 + ground, PVC jacket</t>
        </is>
      </c>
      <c r="K5766" s="12" t="inlineStr">
        <is>
          <t>LV|3/C+G|3/0</t>
        </is>
      </c>
      <c r="L5766" s="12" t="inlineStr">
        <is>
          <t>3/C+G</t>
        </is>
      </c>
      <c r="M5766" s="12" t="inlineStr">
        <is>
          <t>3/0</t>
        </is>
      </c>
      <c r="N5766" s="12" t="n">
        <v>1</v>
      </c>
      <c r="O5766" s="12" t="n">
        <v>1</v>
      </c>
      <c r="P5766" s="12" t="n">
        <v>480</v>
      </c>
      <c r="Q5766" s="12" t="n">
        <v>30</v>
      </c>
      <c r="R5766" s="12" t="n">
        <v>42.5</v>
      </c>
      <c r="S5766" s="12" t="inlineStr">
        <is>
          <t>Tray</t>
        </is>
      </c>
      <c r="T5766" s="17" t="n">
        <v>1744</v>
      </c>
      <c r="U5766" s="17" t="n">
        <v>161</v>
      </c>
      <c r="V5766" s="17">
        <f>ROUNDUP((T5766+U5766+2*'Read Me'!$B$13)*(1+'Read Me'!$B$12),-1)</f>
        <v/>
      </c>
      <c r="W5766" s="17">
        <f>V5766*N5766*O5766</f>
        <v/>
      </c>
      <c r="X5766" s="12">
        <f>IF(LEFT(I5766,2)="MV",2*N5766*IF(L5766="1/C",O5766,1),0)</f>
        <v/>
      </c>
      <c r="Y5766" s="12">
        <f>IF(OR(LEFT(K5766,4)="LVAX",LEFT(K5766,6)="MV15AX",LEFT(K5766,4)="CTAX",LEFT(K5766,2)="W|"),2*N5766*O5766,0)</f>
        <v/>
      </c>
      <c r="Z5766" s="12" t="inlineStr">
        <is>
          <t>VD 2.5 %</t>
        </is>
      </c>
      <c r="AA5766" s="12">
        <f>N5766*O5766</f>
        <v/>
      </c>
    </row>
    <row r="5767">
      <c r="A5767" s="12" t="inlineStr">
        <is>
          <t>C-P-0016</t>
        </is>
      </c>
      <c r="B5767" s="12" t="inlineStr">
        <is>
          <t>C</t>
        </is>
      </c>
      <c r="C5767" s="12" t="inlineStr">
        <is>
          <t>Grid interface</t>
        </is>
      </c>
      <c r="D5767" s="12" t="inlineStr">
        <is>
          <t>480 V welding receptacle 1</t>
        </is>
      </c>
      <c r="E5767" s="12" t="inlineStr">
        <is>
          <t>MCC-C1</t>
        </is>
      </c>
      <c r="F5767" s="12" t="inlineStr">
        <is>
          <t>R1 MCC-C1</t>
        </is>
      </c>
      <c r="G5767" s="12" t="inlineStr"/>
      <c r="H5767" s="12" t="inlineStr">
        <is>
          <t xml:space="preserve">CO2 compression 3 x ~19 MW + dehydration: rooftop HVAC, exhaust fans, </t>
        </is>
      </c>
      <c r="I5767" s="12" t="inlineStr">
        <is>
          <t>LV 600 V</t>
        </is>
      </c>
      <c r="J5767" s="12" t="inlineStr">
        <is>
          <t>Type TC-ER 600 V 3/C Cu XHHW-2 + ground, PVC jacket</t>
        </is>
      </c>
      <c r="K5767" s="12" t="inlineStr">
        <is>
          <t>LV|3/C+G|250</t>
        </is>
      </c>
      <c r="L5767" s="12" t="inlineStr">
        <is>
          <t>3/C+G</t>
        </is>
      </c>
      <c r="M5767" s="12" t="inlineStr">
        <is>
          <t>250 kcmil</t>
        </is>
      </c>
      <c r="N5767" s="12" t="n">
        <v>1</v>
      </c>
      <c r="O5767" s="12" t="n">
        <v>1</v>
      </c>
      <c r="P5767" s="12" t="n">
        <v>480</v>
      </c>
      <c r="Q5767" s="12" t="n">
        <v>60</v>
      </c>
      <c r="R5767" s="12" t="n">
        <v>76</v>
      </c>
      <c r="S5767" s="12" t="inlineStr">
        <is>
          <t>Tray</t>
        </is>
      </c>
      <c r="T5767" s="17" t="n">
        <v>1744</v>
      </c>
      <c r="U5767" s="17" t="n">
        <v>161</v>
      </c>
      <c r="V5767" s="17">
        <f>ROUNDUP((T5767+U5767+2*'Read Me'!$B$13)*(1+'Read Me'!$B$12),-1)</f>
        <v/>
      </c>
      <c r="W5767" s="17">
        <f>V5767*N5767*O5767</f>
        <v/>
      </c>
      <c r="X5767" s="12">
        <f>IF(LEFT(I5767,2)="MV",2*N5767*IF(L5767="1/C",O5767,1),0)</f>
        <v/>
      </c>
      <c r="Y5767" s="12">
        <f>IF(OR(LEFT(K5767,4)="LVAX",LEFT(K5767,6)="MV15AX",LEFT(K5767,4)="CTAX",LEFT(K5767,2)="W|"),2*N5767*O5767,0)</f>
        <v/>
      </c>
      <c r="Z5767" s="12" t="inlineStr">
        <is>
          <t>VD 3.0 %</t>
        </is>
      </c>
      <c r="AA5767" s="12">
        <f>N5767*O5767</f>
        <v/>
      </c>
    </row>
    <row r="5768">
      <c r="A5768" s="12" t="inlineStr">
        <is>
          <t>C-P-0017</t>
        </is>
      </c>
      <c r="B5768" s="12" t="inlineStr">
        <is>
          <t>C</t>
        </is>
      </c>
      <c r="C5768" s="12" t="inlineStr">
        <is>
          <t>Grid interface</t>
        </is>
      </c>
      <c r="D5768" s="12" t="inlineStr">
        <is>
          <t>480 V welding receptacle 2</t>
        </is>
      </c>
      <c r="E5768" s="12" t="inlineStr">
        <is>
          <t>MCC-C1</t>
        </is>
      </c>
      <c r="F5768" s="12" t="inlineStr">
        <is>
          <t>R1 MCC-C1</t>
        </is>
      </c>
      <c r="G5768" s="12" t="inlineStr"/>
      <c r="H5768" s="12" t="inlineStr">
        <is>
          <t xml:space="preserve">CO2 compression 3 x ~19 MW + dehydration: rooftop HVAC, exhaust fans, </t>
        </is>
      </c>
      <c r="I5768" s="12" t="inlineStr">
        <is>
          <t>LV 600 V</t>
        </is>
      </c>
      <c r="J5768" s="12" t="inlineStr">
        <is>
          <t>Type TC-ER 600 V 3/C Cu XHHW-2 + ground, PVC jacket</t>
        </is>
      </c>
      <c r="K5768" s="12" t="inlineStr">
        <is>
          <t>LV|3/C+G|250</t>
        </is>
      </c>
      <c r="L5768" s="12" t="inlineStr">
        <is>
          <t>3/C+G</t>
        </is>
      </c>
      <c r="M5768" s="12" t="inlineStr">
        <is>
          <t>250 kcmil</t>
        </is>
      </c>
      <c r="N5768" s="12" t="n">
        <v>1</v>
      </c>
      <c r="O5768" s="12" t="n">
        <v>1</v>
      </c>
      <c r="P5768" s="12" t="n">
        <v>480</v>
      </c>
      <c r="Q5768" s="12" t="n">
        <v>60</v>
      </c>
      <c r="R5768" s="12" t="n">
        <v>76</v>
      </c>
      <c r="S5768" s="12" t="inlineStr">
        <is>
          <t>Tray</t>
        </is>
      </c>
      <c r="T5768" s="17" t="n">
        <v>1744</v>
      </c>
      <c r="U5768" s="17" t="n">
        <v>161</v>
      </c>
      <c r="V5768" s="17">
        <f>ROUNDUP((T5768+U5768+2*'Read Me'!$B$13)*(1+'Read Me'!$B$12),-1)</f>
        <v/>
      </c>
      <c r="W5768" s="17">
        <f>V5768*N5768*O5768</f>
        <v/>
      </c>
      <c r="X5768" s="12">
        <f>IF(LEFT(I5768,2)="MV",2*N5768*IF(L5768="1/C",O5768,1),0)</f>
        <v/>
      </c>
      <c r="Y5768" s="12">
        <f>IF(OR(LEFT(K5768,4)="LVAX",LEFT(K5768,6)="MV15AX",LEFT(K5768,4)="CTAX",LEFT(K5768,2)="W|"),2*N5768*O5768,0)</f>
        <v/>
      </c>
      <c r="Z5768" s="12" t="inlineStr">
        <is>
          <t>VD 3.0 %</t>
        </is>
      </c>
      <c r="AA5768" s="12">
        <f>N5768*O5768</f>
        <v/>
      </c>
    </row>
    <row r="5769">
      <c r="A5769" s="12" t="inlineStr">
        <is>
          <t>C-P-0018</t>
        </is>
      </c>
      <c r="B5769" s="12" t="inlineStr">
        <is>
          <t>C</t>
        </is>
      </c>
      <c r="C5769" s="12" t="inlineStr">
        <is>
          <t>Grid interface</t>
        </is>
      </c>
      <c r="D5769" s="12" t="inlineStr">
        <is>
          <t>480 V welding receptacle 3</t>
        </is>
      </c>
      <c r="E5769" s="12" t="inlineStr">
        <is>
          <t>MCC-C1</t>
        </is>
      </c>
      <c r="F5769" s="12" t="inlineStr">
        <is>
          <t>R1 MCC-C1</t>
        </is>
      </c>
      <c r="G5769" s="12" t="inlineStr"/>
      <c r="H5769" s="12" t="inlineStr">
        <is>
          <t xml:space="preserve">CO2 compression 3 x ~19 MW + dehydration: rooftop HVAC, exhaust fans, </t>
        </is>
      </c>
      <c r="I5769" s="12" t="inlineStr">
        <is>
          <t>LV 600 V</t>
        </is>
      </c>
      <c r="J5769" s="12" t="inlineStr">
        <is>
          <t>Type TC-ER 600 V 3/C Cu XHHW-2 + ground, PVC jacket</t>
        </is>
      </c>
      <c r="K5769" s="12" t="inlineStr">
        <is>
          <t>LV|3/C+G|250</t>
        </is>
      </c>
      <c r="L5769" s="12" t="inlineStr">
        <is>
          <t>3/C+G</t>
        </is>
      </c>
      <c r="M5769" s="12" t="inlineStr">
        <is>
          <t>250 kcmil</t>
        </is>
      </c>
      <c r="N5769" s="12" t="n">
        <v>1</v>
      </c>
      <c r="O5769" s="12" t="n">
        <v>1</v>
      </c>
      <c r="P5769" s="12" t="n">
        <v>480</v>
      </c>
      <c r="Q5769" s="12" t="n">
        <v>60</v>
      </c>
      <c r="R5769" s="12" t="n">
        <v>76</v>
      </c>
      <c r="S5769" s="12" t="inlineStr">
        <is>
          <t>Tray</t>
        </is>
      </c>
      <c r="T5769" s="17" t="n">
        <v>1744</v>
      </c>
      <c r="U5769" s="17" t="n">
        <v>161</v>
      </c>
      <c r="V5769" s="17">
        <f>ROUNDUP((T5769+U5769+2*'Read Me'!$B$13)*(1+'Read Me'!$B$12),-1)</f>
        <v/>
      </c>
      <c r="W5769" s="17">
        <f>V5769*N5769*O5769</f>
        <v/>
      </c>
      <c r="X5769" s="12">
        <f>IF(LEFT(I5769,2)="MV",2*N5769*IF(L5769="1/C",O5769,1),0)</f>
        <v/>
      </c>
      <c r="Y5769" s="12">
        <f>IF(OR(LEFT(K5769,4)="LVAX",LEFT(K5769,6)="MV15AX",LEFT(K5769,4)="CTAX",LEFT(K5769,2)="W|"),2*N5769*O5769,0)</f>
        <v/>
      </c>
      <c r="Z5769" s="12" t="inlineStr">
        <is>
          <t>VD 3.0 %</t>
        </is>
      </c>
      <c r="AA5769" s="12">
        <f>N5769*O5769</f>
        <v/>
      </c>
    </row>
    <row r="5770">
      <c r="A5770" s="12" t="inlineStr">
        <is>
          <t>C-P-0019</t>
        </is>
      </c>
      <c r="B5770" s="12" t="inlineStr">
        <is>
          <t>C</t>
        </is>
      </c>
      <c r="C5770" s="12" t="inlineStr">
        <is>
          <t>Grid interface</t>
        </is>
      </c>
      <c r="D5770" s="12" t="inlineStr">
        <is>
          <t>480 V welding receptacle 4</t>
        </is>
      </c>
      <c r="E5770" s="12" t="inlineStr">
        <is>
          <t>MCC-C1</t>
        </is>
      </c>
      <c r="F5770" s="12" t="inlineStr">
        <is>
          <t>R1 MCC-C1</t>
        </is>
      </c>
      <c r="G5770" s="12" t="inlineStr"/>
      <c r="H5770" s="12" t="inlineStr">
        <is>
          <t xml:space="preserve">CO2 compression 3 x ~19 MW + dehydration: rooftop HVAC, exhaust fans, </t>
        </is>
      </c>
      <c r="I5770" s="12" t="inlineStr">
        <is>
          <t>LV 600 V</t>
        </is>
      </c>
      <c r="J5770" s="12" t="inlineStr">
        <is>
          <t>Type TC-ER 600 V 3/C Cu XHHW-2 + ground, PVC jacket</t>
        </is>
      </c>
      <c r="K5770" s="12" t="inlineStr">
        <is>
          <t>LV|3/C+G|250</t>
        </is>
      </c>
      <c r="L5770" s="12" t="inlineStr">
        <is>
          <t>3/C+G</t>
        </is>
      </c>
      <c r="M5770" s="12" t="inlineStr">
        <is>
          <t>250 kcmil</t>
        </is>
      </c>
      <c r="N5770" s="12" t="n">
        <v>1</v>
      </c>
      <c r="O5770" s="12" t="n">
        <v>1</v>
      </c>
      <c r="P5770" s="12" t="n">
        <v>480</v>
      </c>
      <c r="Q5770" s="12" t="n">
        <v>60</v>
      </c>
      <c r="R5770" s="12" t="n">
        <v>76</v>
      </c>
      <c r="S5770" s="12" t="inlineStr">
        <is>
          <t>Tray</t>
        </is>
      </c>
      <c r="T5770" s="17" t="n">
        <v>1744</v>
      </c>
      <c r="U5770" s="17" t="n">
        <v>161</v>
      </c>
      <c r="V5770" s="17">
        <f>ROUNDUP((T5770+U5770+2*'Read Me'!$B$13)*(1+'Read Me'!$B$12),-1)</f>
        <v/>
      </c>
      <c r="W5770" s="17">
        <f>V5770*N5770*O5770</f>
        <v/>
      </c>
      <c r="X5770" s="12">
        <f>IF(LEFT(I5770,2)="MV",2*N5770*IF(L5770="1/C",O5770,1),0)</f>
        <v/>
      </c>
      <c r="Y5770" s="12">
        <f>IF(OR(LEFT(K5770,4)="LVAX",LEFT(K5770,6)="MV15AX",LEFT(K5770,4)="CTAX",LEFT(K5770,2)="W|"),2*N5770*O5770,0)</f>
        <v/>
      </c>
      <c r="Z5770" s="12" t="inlineStr">
        <is>
          <t>VD 3.0 %</t>
        </is>
      </c>
      <c r="AA5770" s="12">
        <f>N5770*O5770</f>
        <v/>
      </c>
    </row>
    <row r="5771">
      <c r="A5771" s="12" t="inlineStr">
        <is>
          <t>C-P-0020</t>
        </is>
      </c>
      <c r="B5771" s="12" t="inlineStr">
        <is>
          <t>C</t>
        </is>
      </c>
      <c r="C5771" s="12" t="inlineStr">
        <is>
          <t>Grid interface</t>
        </is>
      </c>
      <c r="D5771" s="12" t="inlineStr">
        <is>
          <t>Motor 1 of 2, 250 kW</t>
        </is>
      </c>
      <c r="E5771" s="12" t="inlineStr">
        <is>
          <t>MCC-C1</t>
        </is>
      </c>
      <c r="F5771" s="12" t="inlineStr">
        <is>
          <t>R1 MCC-C1</t>
        </is>
      </c>
      <c r="G5771" s="12" t="inlineStr"/>
      <c r="H5771" s="12" t="inlineStr">
        <is>
          <t>Small-bore piping: instrument air, service water, nitrogen, HRSG drain</t>
        </is>
      </c>
      <c r="I5771" s="12" t="inlineStr">
        <is>
          <t>LV 600 V</t>
        </is>
      </c>
      <c r="J5771" s="12" t="inlineStr">
        <is>
          <t>Type TC-ER 600 V 3/C Cu XHHW-2 + ground, PVC jacket</t>
        </is>
      </c>
      <c r="K5771" s="12" t="inlineStr">
        <is>
          <t>LV|3/C+G|250</t>
        </is>
      </c>
      <c r="L5771" s="12" t="inlineStr">
        <is>
          <t>3/C+G</t>
        </is>
      </c>
      <c r="M5771" s="12" t="inlineStr">
        <is>
          <t>250 kcmil</t>
        </is>
      </c>
      <c r="N5771" s="12" t="n">
        <v>2</v>
      </c>
      <c r="O5771" s="12" t="n">
        <v>1</v>
      </c>
      <c r="P5771" s="12" t="n">
        <v>480</v>
      </c>
      <c r="Q5771" s="12" t="n">
        <v>250</v>
      </c>
      <c r="R5771" s="12" t="n">
        <v>353.8</v>
      </c>
      <c r="S5771" s="12" t="inlineStr">
        <is>
          <t>Tray</t>
        </is>
      </c>
      <c r="T5771" s="17" t="n">
        <v>614</v>
      </c>
      <c r="U5771" s="17" t="n">
        <v>145</v>
      </c>
      <c r="V5771" s="17">
        <f>ROUNDUP((T5771+U5771+2*'Read Me'!$B$13)*(1+'Read Me'!$B$12),-1)</f>
        <v/>
      </c>
      <c r="W5771" s="17">
        <f>V5771*N5771*O5771</f>
        <v/>
      </c>
      <c r="X5771" s="12">
        <f>IF(LEFT(I5771,2)="MV",2*N5771*IF(L5771="1/C",O5771,1),0)</f>
        <v/>
      </c>
      <c r="Y5771" s="12">
        <f>IF(OR(LEFT(K5771,4)="LVAX",LEFT(K5771,6)="MV15AX",LEFT(K5771,4)="CTAX",LEFT(K5771,2)="W|"),2*N5771*O5771,0)</f>
        <v/>
      </c>
      <c r="Z5771" s="12" t="inlineStr">
        <is>
          <t>VD 2.7 %</t>
        </is>
      </c>
      <c r="AA5771" s="12">
        <f>N5771*O5771</f>
        <v/>
      </c>
    </row>
    <row r="5772">
      <c r="A5772" s="12" t="inlineStr">
        <is>
          <t>C-P-0021</t>
        </is>
      </c>
      <c r="B5772" s="12" t="inlineStr">
        <is>
          <t>C</t>
        </is>
      </c>
      <c r="C5772" s="12" t="inlineStr">
        <is>
          <t>Grid interface</t>
        </is>
      </c>
      <c r="D5772" s="12" t="inlineStr">
        <is>
          <t>Motor 2 of 2, 250 kW</t>
        </is>
      </c>
      <c r="E5772" s="12" t="inlineStr">
        <is>
          <t>MCC-C1</t>
        </is>
      </c>
      <c r="F5772" s="12" t="inlineStr">
        <is>
          <t>R1 MCC-C1</t>
        </is>
      </c>
      <c r="G5772" s="12" t="inlineStr"/>
      <c r="H5772" s="12" t="inlineStr">
        <is>
          <t>Small-bore piping: instrument air, service water, nitrogen, HRSG drain</t>
        </is>
      </c>
      <c r="I5772" s="12" t="inlineStr">
        <is>
          <t>LV 600 V</t>
        </is>
      </c>
      <c r="J5772" s="12" t="inlineStr">
        <is>
          <t>Type TC-ER 600 V 3/C Cu XHHW-2 + ground, PVC jacket</t>
        </is>
      </c>
      <c r="K5772" s="12" t="inlineStr">
        <is>
          <t>LV|3/C+G|250</t>
        </is>
      </c>
      <c r="L5772" s="12" t="inlineStr">
        <is>
          <t>3/C+G</t>
        </is>
      </c>
      <c r="M5772" s="12" t="inlineStr">
        <is>
          <t>250 kcmil</t>
        </is>
      </c>
      <c r="N5772" s="12" t="n">
        <v>2</v>
      </c>
      <c r="O5772" s="12" t="n">
        <v>1</v>
      </c>
      <c r="P5772" s="12" t="n">
        <v>480</v>
      </c>
      <c r="Q5772" s="12" t="n">
        <v>250</v>
      </c>
      <c r="R5772" s="12" t="n">
        <v>353.8</v>
      </c>
      <c r="S5772" s="12" t="inlineStr">
        <is>
          <t>Tray</t>
        </is>
      </c>
      <c r="T5772" s="17" t="n">
        <v>614</v>
      </c>
      <c r="U5772" s="17" t="n">
        <v>145</v>
      </c>
      <c r="V5772" s="17">
        <f>ROUNDUP((T5772+U5772+2*'Read Me'!$B$13)*(1+'Read Me'!$B$12),-1)</f>
        <v/>
      </c>
      <c r="W5772" s="17">
        <f>V5772*N5772*O5772</f>
        <v/>
      </c>
      <c r="X5772" s="12">
        <f>IF(LEFT(I5772,2)="MV",2*N5772*IF(L5772="1/C",O5772,1),0)</f>
        <v/>
      </c>
      <c r="Y5772" s="12">
        <f>IF(OR(LEFT(K5772,4)="LVAX",LEFT(K5772,6)="MV15AX",LEFT(K5772,4)="CTAX",LEFT(K5772,2)="W|"),2*N5772*O5772,0)</f>
        <v/>
      </c>
      <c r="Z5772" s="12" t="inlineStr">
        <is>
          <t>VD 2.7 %</t>
        </is>
      </c>
      <c r="AA5772" s="12">
        <f>N5772*O5772</f>
        <v/>
      </c>
    </row>
    <row r="5773">
      <c r="A5773" s="12" t="inlineStr">
        <is>
          <t>C-P-0022</t>
        </is>
      </c>
      <c r="B5773" s="12" t="inlineStr">
        <is>
          <t>C</t>
        </is>
      </c>
      <c r="C5773" s="12" t="inlineStr">
        <is>
          <t>Grid interface</t>
        </is>
      </c>
      <c r="D5773" s="12" t="inlineStr">
        <is>
          <t>Motor 1 of 8, 15 kW</t>
        </is>
      </c>
      <c r="E5773" s="12" t="inlineStr">
        <is>
          <t>MCC-C1</t>
        </is>
      </c>
      <c r="F5773" s="12" t="inlineStr">
        <is>
          <t>R1 MCC-C1</t>
        </is>
      </c>
      <c r="G5773" s="12" t="inlineStr"/>
      <c r="H5773" s="12" t="inlineStr">
        <is>
          <t>Wastewater treatment: rooftop HVAC, exhaust fans, vents</t>
        </is>
      </c>
      <c r="I5773" s="12" t="inlineStr">
        <is>
          <t>LV 600 V</t>
        </is>
      </c>
      <c r="J5773" s="12" t="inlineStr">
        <is>
          <t>Type TC-ER 600 V 3/C Cu XHHW-2 + ground, PVC jacket</t>
        </is>
      </c>
      <c r="K5773" s="12" t="inlineStr">
        <is>
          <t>LV|3/C+G|1</t>
        </is>
      </c>
      <c r="L5773" s="12" t="inlineStr">
        <is>
          <t>3/C+G</t>
        </is>
      </c>
      <c r="M5773" s="12" t="inlineStr">
        <is>
          <t>1</t>
        </is>
      </c>
      <c r="N5773" s="12" t="n">
        <v>1</v>
      </c>
      <c r="O5773" s="12" t="n">
        <v>1</v>
      </c>
      <c r="P5773" s="12" t="n">
        <v>480</v>
      </c>
      <c r="Q5773" s="12" t="n">
        <v>15</v>
      </c>
      <c r="R5773" s="12" t="n">
        <v>21.2</v>
      </c>
      <c r="S5773" s="12" t="inlineStr">
        <is>
          <t>Duct bank</t>
        </is>
      </c>
      <c r="T5773" s="17" t="n">
        <v>1859</v>
      </c>
      <c r="U5773" s="17" t="n">
        <v>228</v>
      </c>
      <c r="V5773" s="17">
        <f>ROUNDUP((T5773+U5773+2*'Read Me'!$B$13)*(1+'Read Me'!$B$12),-1)</f>
        <v/>
      </c>
      <c r="W5773" s="17">
        <f>V5773*N5773*O5773</f>
        <v/>
      </c>
      <c r="X5773" s="12">
        <f>IF(LEFT(I5773,2)="MV",2*N5773*IF(L5773="1/C",O5773,1),0)</f>
        <v/>
      </c>
      <c r="Y5773" s="12">
        <f>IF(OR(LEFT(K5773,4)="LVAX",LEFT(K5773,6)="MV15AX",LEFT(K5773,4)="CTAX",LEFT(K5773,2)="W|"),2*N5773*O5773,0)</f>
        <v/>
      </c>
      <c r="Z5773" s="12" t="inlineStr">
        <is>
          <t>VD 2.7 %</t>
        </is>
      </c>
      <c r="AA5773" s="12">
        <f>N5773*O5773</f>
        <v/>
      </c>
    </row>
    <row r="5774">
      <c r="A5774" s="12" t="inlineStr">
        <is>
          <t>C-P-0023</t>
        </is>
      </c>
      <c r="B5774" s="12" t="inlineStr">
        <is>
          <t>C</t>
        </is>
      </c>
      <c r="C5774" s="12" t="inlineStr">
        <is>
          <t>Grid interface</t>
        </is>
      </c>
      <c r="D5774" s="12" t="inlineStr">
        <is>
          <t>Motor 2 of 8, 15 kW</t>
        </is>
      </c>
      <c r="E5774" s="12" t="inlineStr">
        <is>
          <t>MCC-C1</t>
        </is>
      </c>
      <c r="F5774" s="12" t="inlineStr">
        <is>
          <t>R1 MCC-C1</t>
        </is>
      </c>
      <c r="G5774" s="12" t="inlineStr"/>
      <c r="H5774" s="12" t="inlineStr">
        <is>
          <t>Wastewater treatment: rooftop HVAC, exhaust fans, vents</t>
        </is>
      </c>
      <c r="I5774" s="12" t="inlineStr">
        <is>
          <t>LV 600 V</t>
        </is>
      </c>
      <c r="J5774" s="12" t="inlineStr">
        <is>
          <t>Type TC-ER 600 V 3/C Cu XHHW-2 + ground, PVC jacket</t>
        </is>
      </c>
      <c r="K5774" s="12" t="inlineStr">
        <is>
          <t>LV|3/C+G|1</t>
        </is>
      </c>
      <c r="L5774" s="12" t="inlineStr">
        <is>
          <t>3/C+G</t>
        </is>
      </c>
      <c r="M5774" s="12" t="inlineStr">
        <is>
          <t>1</t>
        </is>
      </c>
      <c r="N5774" s="12" t="n">
        <v>1</v>
      </c>
      <c r="O5774" s="12" t="n">
        <v>1</v>
      </c>
      <c r="P5774" s="12" t="n">
        <v>480</v>
      </c>
      <c r="Q5774" s="12" t="n">
        <v>15</v>
      </c>
      <c r="R5774" s="12" t="n">
        <v>21.2</v>
      </c>
      <c r="S5774" s="12" t="inlineStr">
        <is>
          <t>Duct bank</t>
        </is>
      </c>
      <c r="T5774" s="17" t="n">
        <v>1859</v>
      </c>
      <c r="U5774" s="17" t="n">
        <v>228</v>
      </c>
      <c r="V5774" s="17">
        <f>ROUNDUP((T5774+U5774+2*'Read Me'!$B$13)*(1+'Read Me'!$B$12),-1)</f>
        <v/>
      </c>
      <c r="W5774" s="17">
        <f>V5774*N5774*O5774</f>
        <v/>
      </c>
      <c r="X5774" s="12">
        <f>IF(LEFT(I5774,2)="MV",2*N5774*IF(L5774="1/C",O5774,1),0)</f>
        <v/>
      </c>
      <c r="Y5774" s="12">
        <f>IF(OR(LEFT(K5774,4)="LVAX",LEFT(K5774,6)="MV15AX",LEFT(K5774,4)="CTAX",LEFT(K5774,2)="W|"),2*N5774*O5774,0)</f>
        <v/>
      </c>
      <c r="Z5774" s="12" t="inlineStr">
        <is>
          <t>VD 2.7 %</t>
        </is>
      </c>
      <c r="AA5774" s="12">
        <f>N5774*O5774</f>
        <v/>
      </c>
    </row>
    <row r="5775">
      <c r="A5775" s="12" t="inlineStr">
        <is>
          <t>C-P-0024</t>
        </is>
      </c>
      <c r="B5775" s="12" t="inlineStr">
        <is>
          <t>C</t>
        </is>
      </c>
      <c r="C5775" s="12" t="inlineStr">
        <is>
          <t>Grid interface</t>
        </is>
      </c>
      <c r="D5775" s="12" t="inlineStr">
        <is>
          <t>Motor 3 of 8, 15 kW</t>
        </is>
      </c>
      <c r="E5775" s="12" t="inlineStr">
        <is>
          <t>MCC-C1</t>
        </is>
      </c>
      <c r="F5775" s="12" t="inlineStr">
        <is>
          <t>R1 MCC-C1</t>
        </is>
      </c>
      <c r="G5775" s="12" t="inlineStr"/>
      <c r="H5775" s="12" t="inlineStr">
        <is>
          <t>Wastewater treatment: rooftop HVAC, exhaust fans, vents</t>
        </is>
      </c>
      <c r="I5775" s="12" t="inlineStr">
        <is>
          <t>LV 600 V</t>
        </is>
      </c>
      <c r="J5775" s="12" t="inlineStr">
        <is>
          <t>Type TC-ER 600 V 3/C Cu XHHW-2 + ground, PVC jacket</t>
        </is>
      </c>
      <c r="K5775" s="12" t="inlineStr">
        <is>
          <t>LV|3/C+G|1</t>
        </is>
      </c>
      <c r="L5775" s="12" t="inlineStr">
        <is>
          <t>3/C+G</t>
        </is>
      </c>
      <c r="M5775" s="12" t="inlineStr">
        <is>
          <t>1</t>
        </is>
      </c>
      <c r="N5775" s="12" t="n">
        <v>1</v>
      </c>
      <c r="O5775" s="12" t="n">
        <v>1</v>
      </c>
      <c r="P5775" s="12" t="n">
        <v>480</v>
      </c>
      <c r="Q5775" s="12" t="n">
        <v>15</v>
      </c>
      <c r="R5775" s="12" t="n">
        <v>21.2</v>
      </c>
      <c r="S5775" s="12" t="inlineStr">
        <is>
          <t>Duct bank</t>
        </is>
      </c>
      <c r="T5775" s="17" t="n">
        <v>1859</v>
      </c>
      <c r="U5775" s="17" t="n">
        <v>228</v>
      </c>
      <c r="V5775" s="17">
        <f>ROUNDUP((T5775+U5775+2*'Read Me'!$B$13)*(1+'Read Me'!$B$12),-1)</f>
        <v/>
      </c>
      <c r="W5775" s="17">
        <f>V5775*N5775*O5775</f>
        <v/>
      </c>
      <c r="X5775" s="12">
        <f>IF(LEFT(I5775,2)="MV",2*N5775*IF(L5775="1/C",O5775,1),0)</f>
        <v/>
      </c>
      <c r="Y5775" s="12">
        <f>IF(OR(LEFT(K5775,4)="LVAX",LEFT(K5775,6)="MV15AX",LEFT(K5775,4)="CTAX",LEFT(K5775,2)="W|"),2*N5775*O5775,0)</f>
        <v/>
      </c>
      <c r="Z5775" s="12" t="inlineStr">
        <is>
          <t>VD 2.7 %</t>
        </is>
      </c>
      <c r="AA5775" s="12">
        <f>N5775*O5775</f>
        <v/>
      </c>
    </row>
    <row r="5776">
      <c r="A5776" s="12" t="inlineStr">
        <is>
          <t>C-P-0025</t>
        </is>
      </c>
      <c r="B5776" s="12" t="inlineStr">
        <is>
          <t>C</t>
        </is>
      </c>
      <c r="C5776" s="12" t="inlineStr">
        <is>
          <t>Grid interface</t>
        </is>
      </c>
      <c r="D5776" s="12" t="inlineStr">
        <is>
          <t>Motor 4 of 8, 15 kW</t>
        </is>
      </c>
      <c r="E5776" s="12" t="inlineStr">
        <is>
          <t>MCC-C1</t>
        </is>
      </c>
      <c r="F5776" s="12" t="inlineStr">
        <is>
          <t>R1 MCC-C1</t>
        </is>
      </c>
      <c r="G5776" s="12" t="inlineStr"/>
      <c r="H5776" s="12" t="inlineStr">
        <is>
          <t>Wastewater treatment: rooftop HVAC, exhaust fans, vents</t>
        </is>
      </c>
      <c r="I5776" s="12" t="inlineStr">
        <is>
          <t>LV 600 V</t>
        </is>
      </c>
      <c r="J5776" s="12" t="inlineStr">
        <is>
          <t>Type TC-ER 600 V 3/C Cu XHHW-2 + ground, PVC jacket</t>
        </is>
      </c>
      <c r="K5776" s="12" t="inlineStr">
        <is>
          <t>LV|3/C+G|1</t>
        </is>
      </c>
      <c r="L5776" s="12" t="inlineStr">
        <is>
          <t>3/C+G</t>
        </is>
      </c>
      <c r="M5776" s="12" t="inlineStr">
        <is>
          <t>1</t>
        </is>
      </c>
      <c r="N5776" s="12" t="n">
        <v>1</v>
      </c>
      <c r="O5776" s="12" t="n">
        <v>1</v>
      </c>
      <c r="P5776" s="12" t="n">
        <v>480</v>
      </c>
      <c r="Q5776" s="12" t="n">
        <v>15</v>
      </c>
      <c r="R5776" s="12" t="n">
        <v>21.2</v>
      </c>
      <c r="S5776" s="12" t="inlineStr">
        <is>
          <t>Duct bank</t>
        </is>
      </c>
      <c r="T5776" s="17" t="n">
        <v>1859</v>
      </c>
      <c r="U5776" s="17" t="n">
        <v>228</v>
      </c>
      <c r="V5776" s="17">
        <f>ROUNDUP((T5776+U5776+2*'Read Me'!$B$13)*(1+'Read Me'!$B$12),-1)</f>
        <v/>
      </c>
      <c r="W5776" s="17">
        <f>V5776*N5776*O5776</f>
        <v/>
      </c>
      <c r="X5776" s="12">
        <f>IF(LEFT(I5776,2)="MV",2*N5776*IF(L5776="1/C",O5776,1),0)</f>
        <v/>
      </c>
      <c r="Y5776" s="12">
        <f>IF(OR(LEFT(K5776,4)="LVAX",LEFT(K5776,6)="MV15AX",LEFT(K5776,4)="CTAX",LEFT(K5776,2)="W|"),2*N5776*O5776,0)</f>
        <v/>
      </c>
      <c r="Z5776" s="12" t="inlineStr">
        <is>
          <t>VD 2.7 %</t>
        </is>
      </c>
      <c r="AA5776" s="12">
        <f>N5776*O5776</f>
        <v/>
      </c>
    </row>
    <row r="5777">
      <c r="A5777" s="12" t="inlineStr">
        <is>
          <t>C-P-0026</t>
        </is>
      </c>
      <c r="B5777" s="12" t="inlineStr">
        <is>
          <t>C</t>
        </is>
      </c>
      <c r="C5777" s="12" t="inlineStr">
        <is>
          <t>Grid interface</t>
        </is>
      </c>
      <c r="D5777" s="12" t="inlineStr">
        <is>
          <t>Motor 5 of 8, 15 kW</t>
        </is>
      </c>
      <c r="E5777" s="12" t="inlineStr">
        <is>
          <t>MCC-C1</t>
        </is>
      </c>
      <c r="F5777" s="12" t="inlineStr">
        <is>
          <t>R1 MCC-C1</t>
        </is>
      </c>
      <c r="G5777" s="12" t="inlineStr"/>
      <c r="H5777" s="12" t="inlineStr">
        <is>
          <t>Wastewater treatment: rooftop HVAC, exhaust fans, vents</t>
        </is>
      </c>
      <c r="I5777" s="12" t="inlineStr">
        <is>
          <t>LV 600 V</t>
        </is>
      </c>
      <c r="J5777" s="12" t="inlineStr">
        <is>
          <t>Type TC-ER 600 V 3/C Cu XHHW-2 + ground, PVC jacket</t>
        </is>
      </c>
      <c r="K5777" s="12" t="inlineStr">
        <is>
          <t>LV|3/C+G|1</t>
        </is>
      </c>
      <c r="L5777" s="12" t="inlineStr">
        <is>
          <t>3/C+G</t>
        </is>
      </c>
      <c r="M5777" s="12" t="inlineStr">
        <is>
          <t>1</t>
        </is>
      </c>
      <c r="N5777" s="12" t="n">
        <v>1</v>
      </c>
      <c r="O5777" s="12" t="n">
        <v>1</v>
      </c>
      <c r="P5777" s="12" t="n">
        <v>480</v>
      </c>
      <c r="Q5777" s="12" t="n">
        <v>15</v>
      </c>
      <c r="R5777" s="12" t="n">
        <v>21.2</v>
      </c>
      <c r="S5777" s="12" t="inlineStr">
        <is>
          <t>Duct bank</t>
        </is>
      </c>
      <c r="T5777" s="17" t="n">
        <v>1859</v>
      </c>
      <c r="U5777" s="17" t="n">
        <v>228</v>
      </c>
      <c r="V5777" s="17">
        <f>ROUNDUP((T5777+U5777+2*'Read Me'!$B$13)*(1+'Read Me'!$B$12),-1)</f>
        <v/>
      </c>
      <c r="W5777" s="17">
        <f>V5777*N5777*O5777</f>
        <v/>
      </c>
      <c r="X5777" s="12">
        <f>IF(LEFT(I5777,2)="MV",2*N5777*IF(L5777="1/C",O5777,1),0)</f>
        <v/>
      </c>
      <c r="Y5777" s="12">
        <f>IF(OR(LEFT(K5777,4)="LVAX",LEFT(K5777,6)="MV15AX",LEFT(K5777,4)="CTAX",LEFT(K5777,2)="W|"),2*N5777*O5777,0)</f>
        <v/>
      </c>
      <c r="Z5777" s="12" t="inlineStr">
        <is>
          <t>VD 2.7 %</t>
        </is>
      </c>
      <c r="AA5777" s="12">
        <f>N5777*O5777</f>
        <v/>
      </c>
    </row>
    <row r="5778">
      <c r="A5778" s="12" t="inlineStr">
        <is>
          <t>C-P-0027</t>
        </is>
      </c>
      <c r="B5778" s="12" t="inlineStr">
        <is>
          <t>C</t>
        </is>
      </c>
      <c r="C5778" s="12" t="inlineStr">
        <is>
          <t>Grid interface</t>
        </is>
      </c>
      <c r="D5778" s="12" t="inlineStr">
        <is>
          <t>Motor 6 of 8, 15 kW</t>
        </is>
      </c>
      <c r="E5778" s="12" t="inlineStr">
        <is>
          <t>MCC-C1</t>
        </is>
      </c>
      <c r="F5778" s="12" t="inlineStr">
        <is>
          <t>R1 MCC-C1</t>
        </is>
      </c>
      <c r="G5778" s="12" t="inlineStr"/>
      <c r="H5778" s="12" t="inlineStr">
        <is>
          <t>Wastewater treatment: rooftop HVAC, exhaust fans, vents</t>
        </is>
      </c>
      <c r="I5778" s="12" t="inlineStr">
        <is>
          <t>LV 600 V</t>
        </is>
      </c>
      <c r="J5778" s="12" t="inlineStr">
        <is>
          <t>Type TC-ER 600 V 3/C Cu XHHW-2 + ground, PVC jacket</t>
        </is>
      </c>
      <c r="K5778" s="12" t="inlineStr">
        <is>
          <t>LV|3/C+G|1</t>
        </is>
      </c>
      <c r="L5778" s="12" t="inlineStr">
        <is>
          <t>3/C+G</t>
        </is>
      </c>
      <c r="M5778" s="12" t="inlineStr">
        <is>
          <t>1</t>
        </is>
      </c>
      <c r="N5778" s="12" t="n">
        <v>1</v>
      </c>
      <c r="O5778" s="12" t="n">
        <v>1</v>
      </c>
      <c r="P5778" s="12" t="n">
        <v>480</v>
      </c>
      <c r="Q5778" s="12" t="n">
        <v>15</v>
      </c>
      <c r="R5778" s="12" t="n">
        <v>21.2</v>
      </c>
      <c r="S5778" s="12" t="inlineStr">
        <is>
          <t>Duct bank</t>
        </is>
      </c>
      <c r="T5778" s="17" t="n">
        <v>1859</v>
      </c>
      <c r="U5778" s="17" t="n">
        <v>228</v>
      </c>
      <c r="V5778" s="17">
        <f>ROUNDUP((T5778+U5778+2*'Read Me'!$B$13)*(1+'Read Me'!$B$12),-1)</f>
        <v/>
      </c>
      <c r="W5778" s="17">
        <f>V5778*N5778*O5778</f>
        <v/>
      </c>
      <c r="X5778" s="12">
        <f>IF(LEFT(I5778,2)="MV",2*N5778*IF(L5778="1/C",O5778,1),0)</f>
        <v/>
      </c>
      <c r="Y5778" s="12">
        <f>IF(OR(LEFT(K5778,4)="LVAX",LEFT(K5778,6)="MV15AX",LEFT(K5778,4)="CTAX",LEFT(K5778,2)="W|"),2*N5778*O5778,0)</f>
        <v/>
      </c>
      <c r="Z5778" s="12" t="inlineStr">
        <is>
          <t>VD 2.7 %</t>
        </is>
      </c>
      <c r="AA5778" s="12">
        <f>N5778*O5778</f>
        <v/>
      </c>
    </row>
    <row r="5779">
      <c r="A5779" s="12" t="inlineStr">
        <is>
          <t>C-P-0028</t>
        </is>
      </c>
      <c r="B5779" s="12" t="inlineStr">
        <is>
          <t>C</t>
        </is>
      </c>
      <c r="C5779" s="12" t="inlineStr">
        <is>
          <t>Grid interface</t>
        </is>
      </c>
      <c r="D5779" s="12" t="inlineStr">
        <is>
          <t>Motor 7 of 8, 15 kW</t>
        </is>
      </c>
      <c r="E5779" s="12" t="inlineStr">
        <is>
          <t>MCC-C1</t>
        </is>
      </c>
      <c r="F5779" s="12" t="inlineStr">
        <is>
          <t>R1 MCC-C1</t>
        </is>
      </c>
      <c r="G5779" s="12" t="inlineStr"/>
      <c r="H5779" s="12" t="inlineStr">
        <is>
          <t>Wastewater treatment: rooftop HVAC, exhaust fans, vents</t>
        </is>
      </c>
      <c r="I5779" s="12" t="inlineStr">
        <is>
          <t>LV 600 V</t>
        </is>
      </c>
      <c r="J5779" s="12" t="inlineStr">
        <is>
          <t>Type TC-ER 600 V 3/C Cu XHHW-2 + ground, PVC jacket</t>
        </is>
      </c>
      <c r="K5779" s="12" t="inlineStr">
        <is>
          <t>LV|3/C+G|1</t>
        </is>
      </c>
      <c r="L5779" s="12" t="inlineStr">
        <is>
          <t>3/C+G</t>
        </is>
      </c>
      <c r="M5779" s="12" t="inlineStr">
        <is>
          <t>1</t>
        </is>
      </c>
      <c r="N5779" s="12" t="n">
        <v>1</v>
      </c>
      <c r="O5779" s="12" t="n">
        <v>1</v>
      </c>
      <c r="P5779" s="12" t="n">
        <v>480</v>
      </c>
      <c r="Q5779" s="12" t="n">
        <v>15</v>
      </c>
      <c r="R5779" s="12" t="n">
        <v>21.2</v>
      </c>
      <c r="S5779" s="12" t="inlineStr">
        <is>
          <t>Duct bank</t>
        </is>
      </c>
      <c r="T5779" s="17" t="n">
        <v>1859</v>
      </c>
      <c r="U5779" s="17" t="n">
        <v>228</v>
      </c>
      <c r="V5779" s="17">
        <f>ROUNDUP((T5779+U5779+2*'Read Me'!$B$13)*(1+'Read Me'!$B$12),-1)</f>
        <v/>
      </c>
      <c r="W5779" s="17">
        <f>V5779*N5779*O5779</f>
        <v/>
      </c>
      <c r="X5779" s="12">
        <f>IF(LEFT(I5779,2)="MV",2*N5779*IF(L5779="1/C",O5779,1),0)</f>
        <v/>
      </c>
      <c r="Y5779" s="12">
        <f>IF(OR(LEFT(K5779,4)="LVAX",LEFT(K5779,6)="MV15AX",LEFT(K5779,4)="CTAX",LEFT(K5779,2)="W|"),2*N5779*O5779,0)</f>
        <v/>
      </c>
      <c r="Z5779" s="12" t="inlineStr">
        <is>
          <t>VD 2.7 %</t>
        </is>
      </c>
      <c r="AA5779" s="12">
        <f>N5779*O5779</f>
        <v/>
      </c>
    </row>
    <row r="5780">
      <c r="A5780" s="12" t="inlineStr">
        <is>
          <t>C-P-0029</t>
        </is>
      </c>
      <c r="B5780" s="12" t="inlineStr">
        <is>
          <t>C</t>
        </is>
      </c>
      <c r="C5780" s="12" t="inlineStr">
        <is>
          <t>Grid interface</t>
        </is>
      </c>
      <c r="D5780" s="12" t="inlineStr">
        <is>
          <t>Motor 8 of 8, 15 kW</t>
        </is>
      </c>
      <c r="E5780" s="12" t="inlineStr">
        <is>
          <t>MCC-C1</t>
        </is>
      </c>
      <c r="F5780" s="12" t="inlineStr">
        <is>
          <t>R1 MCC-C1</t>
        </is>
      </c>
      <c r="G5780" s="12" t="inlineStr"/>
      <c r="H5780" s="12" t="inlineStr">
        <is>
          <t>Wastewater treatment: rooftop HVAC, exhaust fans, vents</t>
        </is>
      </c>
      <c r="I5780" s="12" t="inlineStr">
        <is>
          <t>LV 600 V</t>
        </is>
      </c>
      <c r="J5780" s="12" t="inlineStr">
        <is>
          <t>Type TC-ER 600 V 3/C Cu XHHW-2 + ground, PVC jacket</t>
        </is>
      </c>
      <c r="K5780" s="12" t="inlineStr">
        <is>
          <t>LV|3/C+G|1</t>
        </is>
      </c>
      <c r="L5780" s="12" t="inlineStr">
        <is>
          <t>3/C+G</t>
        </is>
      </c>
      <c r="M5780" s="12" t="inlineStr">
        <is>
          <t>1</t>
        </is>
      </c>
      <c r="N5780" s="12" t="n">
        <v>1</v>
      </c>
      <c r="O5780" s="12" t="n">
        <v>1</v>
      </c>
      <c r="P5780" s="12" t="n">
        <v>480</v>
      </c>
      <c r="Q5780" s="12" t="n">
        <v>15</v>
      </c>
      <c r="R5780" s="12" t="n">
        <v>21.2</v>
      </c>
      <c r="S5780" s="12" t="inlineStr">
        <is>
          <t>Duct bank</t>
        </is>
      </c>
      <c r="T5780" s="17" t="n">
        <v>1859</v>
      </c>
      <c r="U5780" s="17" t="n">
        <v>228</v>
      </c>
      <c r="V5780" s="17">
        <f>ROUNDUP((T5780+U5780+2*'Read Me'!$B$13)*(1+'Read Me'!$B$12),-1)</f>
        <v/>
      </c>
      <c r="W5780" s="17">
        <f>V5780*N5780*O5780</f>
        <v/>
      </c>
      <c r="X5780" s="12">
        <f>IF(LEFT(I5780,2)="MV",2*N5780*IF(L5780="1/C",O5780,1),0)</f>
        <v/>
      </c>
      <c r="Y5780" s="12">
        <f>IF(OR(LEFT(K5780,4)="LVAX",LEFT(K5780,6)="MV15AX",LEFT(K5780,4)="CTAX",LEFT(K5780,2)="W|"),2*N5780*O5780,0)</f>
        <v/>
      </c>
      <c r="Z5780" s="12" t="inlineStr">
        <is>
          <t>VD 2.7 %</t>
        </is>
      </c>
      <c r="AA5780" s="12">
        <f>N5780*O5780</f>
        <v/>
      </c>
    </row>
    <row r="5781">
      <c r="A5781" s="12" t="inlineStr">
        <is>
          <t>C-P-0030</t>
        </is>
      </c>
      <c r="B5781" s="12" t="inlineStr">
        <is>
          <t>C</t>
        </is>
      </c>
      <c r="C5781" s="12" t="inlineStr">
        <is>
          <t>Grid interface</t>
        </is>
      </c>
      <c r="D5781" s="12" t="inlineStr">
        <is>
          <t>Motor 1 of 20, 15 kW</t>
        </is>
      </c>
      <c r="E5781" s="12" t="inlineStr">
        <is>
          <t>MCC-C1</t>
        </is>
      </c>
      <c r="F5781" s="12" t="inlineStr">
        <is>
          <t>R1 MCC-C1</t>
        </is>
      </c>
      <c r="G5781" s="12" t="inlineStr"/>
      <c r="H5781" s="12" t="inlineStr">
        <is>
          <t>Water treatment building: rooftop HVAC, exhaust fans, vents</t>
        </is>
      </c>
      <c r="I5781" s="12" t="inlineStr">
        <is>
          <t>LV 600 V</t>
        </is>
      </c>
      <c r="J5781" s="12" t="inlineStr">
        <is>
          <t>Type TC-ER 600 V 3/C Cu XHHW-2 + ground, PVC jacket</t>
        </is>
      </c>
      <c r="K5781" s="12" t="inlineStr">
        <is>
          <t>LV|3/C+G|2</t>
        </is>
      </c>
      <c r="L5781" s="12" t="inlineStr">
        <is>
          <t>3/C+G</t>
        </is>
      </c>
      <c r="M5781" s="12" t="inlineStr">
        <is>
          <t>2</t>
        </is>
      </c>
      <c r="N5781" s="12" t="n">
        <v>1</v>
      </c>
      <c r="O5781" s="12" t="n">
        <v>1</v>
      </c>
      <c r="P5781" s="12" t="n">
        <v>480</v>
      </c>
      <c r="Q5781" s="12" t="n">
        <v>15</v>
      </c>
      <c r="R5781" s="12" t="n">
        <v>21.2</v>
      </c>
      <c r="S5781" s="12" t="inlineStr">
        <is>
          <t>Duct bank</t>
        </is>
      </c>
      <c r="T5781" s="17" t="n">
        <v>1629</v>
      </c>
      <c r="U5781" s="17" t="n">
        <v>161</v>
      </c>
      <c r="V5781" s="17">
        <f>ROUNDUP((T5781+U5781+2*'Read Me'!$B$13)*(1+'Read Me'!$B$12),-1)</f>
        <v/>
      </c>
      <c r="W5781" s="17">
        <f>V5781*N5781*O5781</f>
        <v/>
      </c>
      <c r="X5781" s="12">
        <f>IF(LEFT(I5781,2)="MV",2*N5781*IF(L5781="1/C",O5781,1),0)</f>
        <v/>
      </c>
      <c r="Y5781" s="12">
        <f>IF(OR(LEFT(K5781,4)="LVAX",LEFT(K5781,6)="MV15AX",LEFT(K5781,4)="CTAX",LEFT(K5781,2)="W|"),2*N5781*O5781,0)</f>
        <v/>
      </c>
      <c r="Z5781" s="12" t="inlineStr">
        <is>
          <t>VD 2.9 %</t>
        </is>
      </c>
      <c r="AA5781" s="12">
        <f>N5781*O5781</f>
        <v/>
      </c>
    </row>
    <row r="5782">
      <c r="A5782" s="12" t="inlineStr">
        <is>
          <t>C-P-0031</t>
        </is>
      </c>
      <c r="B5782" s="12" t="inlineStr">
        <is>
          <t>C</t>
        </is>
      </c>
      <c r="C5782" s="12" t="inlineStr">
        <is>
          <t>Grid interface</t>
        </is>
      </c>
      <c r="D5782" s="12" t="inlineStr">
        <is>
          <t>Motor 2 of 20, 15 kW</t>
        </is>
      </c>
      <c r="E5782" s="12" t="inlineStr">
        <is>
          <t>MCC-C1</t>
        </is>
      </c>
      <c r="F5782" s="12" t="inlineStr">
        <is>
          <t>R1 MCC-C1</t>
        </is>
      </c>
      <c r="G5782" s="12" t="inlineStr"/>
      <c r="H5782" s="12" t="inlineStr">
        <is>
          <t>Water treatment building: rooftop HVAC, exhaust fans, vents</t>
        </is>
      </c>
      <c r="I5782" s="12" t="inlineStr">
        <is>
          <t>LV 600 V</t>
        </is>
      </c>
      <c r="J5782" s="12" t="inlineStr">
        <is>
          <t>Type TC-ER 600 V 3/C Cu XHHW-2 + ground, PVC jacket</t>
        </is>
      </c>
      <c r="K5782" s="12" t="inlineStr">
        <is>
          <t>LV|3/C+G|2</t>
        </is>
      </c>
      <c r="L5782" s="12" t="inlineStr">
        <is>
          <t>3/C+G</t>
        </is>
      </c>
      <c r="M5782" s="12" t="inlineStr">
        <is>
          <t>2</t>
        </is>
      </c>
      <c r="N5782" s="12" t="n">
        <v>1</v>
      </c>
      <c r="O5782" s="12" t="n">
        <v>1</v>
      </c>
      <c r="P5782" s="12" t="n">
        <v>480</v>
      </c>
      <c r="Q5782" s="12" t="n">
        <v>15</v>
      </c>
      <c r="R5782" s="12" t="n">
        <v>21.2</v>
      </c>
      <c r="S5782" s="12" t="inlineStr">
        <is>
          <t>Duct bank</t>
        </is>
      </c>
      <c r="T5782" s="17" t="n">
        <v>1629</v>
      </c>
      <c r="U5782" s="17" t="n">
        <v>161</v>
      </c>
      <c r="V5782" s="17">
        <f>ROUNDUP((T5782+U5782+2*'Read Me'!$B$13)*(1+'Read Me'!$B$12),-1)</f>
        <v/>
      </c>
      <c r="W5782" s="17">
        <f>V5782*N5782*O5782</f>
        <v/>
      </c>
      <c r="X5782" s="12">
        <f>IF(LEFT(I5782,2)="MV",2*N5782*IF(L5782="1/C",O5782,1),0)</f>
        <v/>
      </c>
      <c r="Y5782" s="12">
        <f>IF(OR(LEFT(K5782,4)="LVAX",LEFT(K5782,6)="MV15AX",LEFT(K5782,4)="CTAX",LEFT(K5782,2)="W|"),2*N5782*O5782,0)</f>
        <v/>
      </c>
      <c r="Z5782" s="12" t="inlineStr">
        <is>
          <t>VD 2.9 %</t>
        </is>
      </c>
      <c r="AA5782" s="12">
        <f>N5782*O5782</f>
        <v/>
      </c>
    </row>
    <row r="5783">
      <c r="A5783" s="12" t="inlineStr">
        <is>
          <t>C-P-0032</t>
        </is>
      </c>
      <c r="B5783" s="12" t="inlineStr">
        <is>
          <t>C</t>
        </is>
      </c>
      <c r="C5783" s="12" t="inlineStr">
        <is>
          <t>Grid interface</t>
        </is>
      </c>
      <c r="D5783" s="12" t="inlineStr">
        <is>
          <t>Motor 3 of 20, 15 kW</t>
        </is>
      </c>
      <c r="E5783" s="12" t="inlineStr">
        <is>
          <t>MCC-C1</t>
        </is>
      </c>
      <c r="F5783" s="12" t="inlineStr">
        <is>
          <t>R1 MCC-C1</t>
        </is>
      </c>
      <c r="G5783" s="12" t="inlineStr"/>
      <c r="H5783" s="12" t="inlineStr">
        <is>
          <t>Water treatment building: rooftop HVAC, exhaust fans, vents</t>
        </is>
      </c>
      <c r="I5783" s="12" t="inlineStr">
        <is>
          <t>LV 600 V</t>
        </is>
      </c>
      <c r="J5783" s="12" t="inlineStr">
        <is>
          <t>Type TC-ER 600 V 3/C Cu XHHW-2 + ground, PVC jacket</t>
        </is>
      </c>
      <c r="K5783" s="12" t="inlineStr">
        <is>
          <t>LV|3/C+G|2</t>
        </is>
      </c>
      <c r="L5783" s="12" t="inlineStr">
        <is>
          <t>3/C+G</t>
        </is>
      </c>
      <c r="M5783" s="12" t="inlineStr">
        <is>
          <t>2</t>
        </is>
      </c>
      <c r="N5783" s="12" t="n">
        <v>1</v>
      </c>
      <c r="O5783" s="12" t="n">
        <v>1</v>
      </c>
      <c r="P5783" s="12" t="n">
        <v>480</v>
      </c>
      <c r="Q5783" s="12" t="n">
        <v>15</v>
      </c>
      <c r="R5783" s="12" t="n">
        <v>21.2</v>
      </c>
      <c r="S5783" s="12" t="inlineStr">
        <is>
          <t>Duct bank</t>
        </is>
      </c>
      <c r="T5783" s="17" t="n">
        <v>1629</v>
      </c>
      <c r="U5783" s="17" t="n">
        <v>161</v>
      </c>
      <c r="V5783" s="17">
        <f>ROUNDUP((T5783+U5783+2*'Read Me'!$B$13)*(1+'Read Me'!$B$12),-1)</f>
        <v/>
      </c>
      <c r="W5783" s="17">
        <f>V5783*N5783*O5783</f>
        <v/>
      </c>
      <c r="X5783" s="12">
        <f>IF(LEFT(I5783,2)="MV",2*N5783*IF(L5783="1/C",O5783,1),0)</f>
        <v/>
      </c>
      <c r="Y5783" s="12">
        <f>IF(OR(LEFT(K5783,4)="LVAX",LEFT(K5783,6)="MV15AX",LEFT(K5783,4)="CTAX",LEFT(K5783,2)="W|"),2*N5783*O5783,0)</f>
        <v/>
      </c>
      <c r="Z5783" s="12" t="inlineStr">
        <is>
          <t>VD 2.9 %</t>
        </is>
      </c>
      <c r="AA5783" s="12">
        <f>N5783*O5783</f>
        <v/>
      </c>
    </row>
    <row r="5784">
      <c r="A5784" s="12" t="inlineStr">
        <is>
          <t>C-P-0033</t>
        </is>
      </c>
      <c r="B5784" s="12" t="inlineStr">
        <is>
          <t>C</t>
        </is>
      </c>
      <c r="C5784" s="12" t="inlineStr">
        <is>
          <t>Grid interface</t>
        </is>
      </c>
      <c r="D5784" s="12" t="inlineStr">
        <is>
          <t>Motor 4 of 20, 15 kW</t>
        </is>
      </c>
      <c r="E5784" s="12" t="inlineStr">
        <is>
          <t>MCC-C1</t>
        </is>
      </c>
      <c r="F5784" s="12" t="inlineStr">
        <is>
          <t>R1 MCC-C1</t>
        </is>
      </c>
      <c r="G5784" s="12" t="inlineStr"/>
      <c r="H5784" s="12" t="inlineStr">
        <is>
          <t>Water treatment building: rooftop HVAC, exhaust fans, vents</t>
        </is>
      </c>
      <c r="I5784" s="12" t="inlineStr">
        <is>
          <t>LV 600 V</t>
        </is>
      </c>
      <c r="J5784" s="12" t="inlineStr">
        <is>
          <t>Type TC-ER 600 V 3/C Cu XHHW-2 + ground, PVC jacket</t>
        </is>
      </c>
      <c r="K5784" s="12" t="inlineStr">
        <is>
          <t>LV|3/C+G|2</t>
        </is>
      </c>
      <c r="L5784" s="12" t="inlineStr">
        <is>
          <t>3/C+G</t>
        </is>
      </c>
      <c r="M5784" s="12" t="inlineStr">
        <is>
          <t>2</t>
        </is>
      </c>
      <c r="N5784" s="12" t="n">
        <v>1</v>
      </c>
      <c r="O5784" s="12" t="n">
        <v>1</v>
      </c>
      <c r="P5784" s="12" t="n">
        <v>480</v>
      </c>
      <c r="Q5784" s="12" t="n">
        <v>15</v>
      </c>
      <c r="R5784" s="12" t="n">
        <v>21.2</v>
      </c>
      <c r="S5784" s="12" t="inlineStr">
        <is>
          <t>Duct bank</t>
        </is>
      </c>
      <c r="T5784" s="17" t="n">
        <v>1629</v>
      </c>
      <c r="U5784" s="17" t="n">
        <v>161</v>
      </c>
      <c r="V5784" s="17">
        <f>ROUNDUP((T5784+U5784+2*'Read Me'!$B$13)*(1+'Read Me'!$B$12),-1)</f>
        <v/>
      </c>
      <c r="W5784" s="17">
        <f>V5784*N5784*O5784</f>
        <v/>
      </c>
      <c r="X5784" s="12">
        <f>IF(LEFT(I5784,2)="MV",2*N5784*IF(L5784="1/C",O5784,1),0)</f>
        <v/>
      </c>
      <c r="Y5784" s="12">
        <f>IF(OR(LEFT(K5784,4)="LVAX",LEFT(K5784,6)="MV15AX",LEFT(K5784,4)="CTAX",LEFT(K5784,2)="W|"),2*N5784*O5784,0)</f>
        <v/>
      </c>
      <c r="Z5784" s="12" t="inlineStr">
        <is>
          <t>VD 2.9 %</t>
        </is>
      </c>
      <c r="AA5784" s="12">
        <f>N5784*O5784</f>
        <v/>
      </c>
    </row>
    <row r="5785">
      <c r="A5785" s="12" t="inlineStr">
        <is>
          <t>C-P-0034</t>
        </is>
      </c>
      <c r="B5785" s="12" t="inlineStr">
        <is>
          <t>C</t>
        </is>
      </c>
      <c r="C5785" s="12" t="inlineStr">
        <is>
          <t>Grid interface</t>
        </is>
      </c>
      <c r="D5785" s="12" t="inlineStr">
        <is>
          <t>Motor 5 of 20, 15 kW</t>
        </is>
      </c>
      <c r="E5785" s="12" t="inlineStr">
        <is>
          <t>MCC-C1</t>
        </is>
      </c>
      <c r="F5785" s="12" t="inlineStr">
        <is>
          <t>R1 MCC-C1</t>
        </is>
      </c>
      <c r="G5785" s="12" t="inlineStr"/>
      <c r="H5785" s="12" t="inlineStr">
        <is>
          <t>Water treatment building: rooftop HVAC, exhaust fans, vents</t>
        </is>
      </c>
      <c r="I5785" s="12" t="inlineStr">
        <is>
          <t>LV 600 V</t>
        </is>
      </c>
      <c r="J5785" s="12" t="inlineStr">
        <is>
          <t>Type TC-ER 600 V 3/C Cu XHHW-2 + ground, PVC jacket</t>
        </is>
      </c>
      <c r="K5785" s="12" t="inlineStr">
        <is>
          <t>LV|3/C+G|2</t>
        </is>
      </c>
      <c r="L5785" s="12" t="inlineStr">
        <is>
          <t>3/C+G</t>
        </is>
      </c>
      <c r="M5785" s="12" t="inlineStr">
        <is>
          <t>2</t>
        </is>
      </c>
      <c r="N5785" s="12" t="n">
        <v>1</v>
      </c>
      <c r="O5785" s="12" t="n">
        <v>1</v>
      </c>
      <c r="P5785" s="12" t="n">
        <v>480</v>
      </c>
      <c r="Q5785" s="12" t="n">
        <v>15</v>
      </c>
      <c r="R5785" s="12" t="n">
        <v>21.2</v>
      </c>
      <c r="S5785" s="12" t="inlineStr">
        <is>
          <t>Duct bank</t>
        </is>
      </c>
      <c r="T5785" s="17" t="n">
        <v>1629</v>
      </c>
      <c r="U5785" s="17" t="n">
        <v>161</v>
      </c>
      <c r="V5785" s="17">
        <f>ROUNDUP((T5785+U5785+2*'Read Me'!$B$13)*(1+'Read Me'!$B$12),-1)</f>
        <v/>
      </c>
      <c r="W5785" s="17">
        <f>V5785*N5785*O5785</f>
        <v/>
      </c>
      <c r="X5785" s="12">
        <f>IF(LEFT(I5785,2)="MV",2*N5785*IF(L5785="1/C",O5785,1),0)</f>
        <v/>
      </c>
      <c r="Y5785" s="12">
        <f>IF(OR(LEFT(K5785,4)="LVAX",LEFT(K5785,6)="MV15AX",LEFT(K5785,4)="CTAX",LEFT(K5785,2)="W|"),2*N5785*O5785,0)</f>
        <v/>
      </c>
      <c r="Z5785" s="12" t="inlineStr">
        <is>
          <t>VD 2.9 %</t>
        </is>
      </c>
      <c r="AA5785" s="12">
        <f>N5785*O5785</f>
        <v/>
      </c>
    </row>
    <row r="5786">
      <c r="A5786" s="12" t="inlineStr">
        <is>
          <t>C-P-0035</t>
        </is>
      </c>
      <c r="B5786" s="12" t="inlineStr">
        <is>
          <t>C</t>
        </is>
      </c>
      <c r="C5786" s="12" t="inlineStr">
        <is>
          <t>Grid interface</t>
        </is>
      </c>
      <c r="D5786" s="12" t="inlineStr">
        <is>
          <t>Motor 6 of 20, 15 kW</t>
        </is>
      </c>
      <c r="E5786" s="12" t="inlineStr">
        <is>
          <t>MCC-C1</t>
        </is>
      </c>
      <c r="F5786" s="12" t="inlineStr">
        <is>
          <t>R1 MCC-C1</t>
        </is>
      </c>
      <c r="G5786" s="12" t="inlineStr"/>
      <c r="H5786" s="12" t="inlineStr">
        <is>
          <t>Water treatment building: rooftop HVAC, exhaust fans, vents</t>
        </is>
      </c>
      <c r="I5786" s="12" t="inlineStr">
        <is>
          <t>LV 600 V</t>
        </is>
      </c>
      <c r="J5786" s="12" t="inlineStr">
        <is>
          <t>Type TC-ER 600 V 3/C Cu XHHW-2 + ground, PVC jacket</t>
        </is>
      </c>
      <c r="K5786" s="12" t="inlineStr">
        <is>
          <t>LV|3/C+G|2</t>
        </is>
      </c>
      <c r="L5786" s="12" t="inlineStr">
        <is>
          <t>3/C+G</t>
        </is>
      </c>
      <c r="M5786" s="12" t="inlineStr">
        <is>
          <t>2</t>
        </is>
      </c>
      <c r="N5786" s="12" t="n">
        <v>1</v>
      </c>
      <c r="O5786" s="12" t="n">
        <v>1</v>
      </c>
      <c r="P5786" s="12" t="n">
        <v>480</v>
      </c>
      <c r="Q5786" s="12" t="n">
        <v>15</v>
      </c>
      <c r="R5786" s="12" t="n">
        <v>21.2</v>
      </c>
      <c r="S5786" s="12" t="inlineStr">
        <is>
          <t>Duct bank</t>
        </is>
      </c>
      <c r="T5786" s="17" t="n">
        <v>1629</v>
      </c>
      <c r="U5786" s="17" t="n">
        <v>161</v>
      </c>
      <c r="V5786" s="17">
        <f>ROUNDUP((T5786+U5786+2*'Read Me'!$B$13)*(1+'Read Me'!$B$12),-1)</f>
        <v/>
      </c>
      <c r="W5786" s="17">
        <f>V5786*N5786*O5786</f>
        <v/>
      </c>
      <c r="X5786" s="12">
        <f>IF(LEFT(I5786,2)="MV",2*N5786*IF(L5786="1/C",O5786,1),0)</f>
        <v/>
      </c>
      <c r="Y5786" s="12">
        <f>IF(OR(LEFT(K5786,4)="LVAX",LEFT(K5786,6)="MV15AX",LEFT(K5786,4)="CTAX",LEFT(K5786,2)="W|"),2*N5786*O5786,0)</f>
        <v/>
      </c>
      <c r="Z5786" s="12" t="inlineStr">
        <is>
          <t>VD 2.9 %</t>
        </is>
      </c>
      <c r="AA5786" s="12">
        <f>N5786*O5786</f>
        <v/>
      </c>
    </row>
    <row r="5787">
      <c r="A5787" s="12" t="inlineStr">
        <is>
          <t>C-P-0036</t>
        </is>
      </c>
      <c r="B5787" s="12" t="inlineStr">
        <is>
          <t>C</t>
        </is>
      </c>
      <c r="C5787" s="12" t="inlineStr">
        <is>
          <t>Grid interface</t>
        </is>
      </c>
      <c r="D5787" s="12" t="inlineStr">
        <is>
          <t>Motor 7 of 20, 15 kW</t>
        </is>
      </c>
      <c r="E5787" s="12" t="inlineStr">
        <is>
          <t>MCC-C1</t>
        </is>
      </c>
      <c r="F5787" s="12" t="inlineStr">
        <is>
          <t>R1 MCC-C1</t>
        </is>
      </c>
      <c r="G5787" s="12" t="inlineStr"/>
      <c r="H5787" s="12" t="inlineStr">
        <is>
          <t>Water treatment building: rooftop HVAC, exhaust fans, vents</t>
        </is>
      </c>
      <c r="I5787" s="12" t="inlineStr">
        <is>
          <t>LV 600 V</t>
        </is>
      </c>
      <c r="J5787" s="12" t="inlineStr">
        <is>
          <t>Type TC-ER 600 V 3/C Cu XHHW-2 + ground, PVC jacket</t>
        </is>
      </c>
      <c r="K5787" s="12" t="inlineStr">
        <is>
          <t>LV|3/C+G|2</t>
        </is>
      </c>
      <c r="L5787" s="12" t="inlineStr">
        <is>
          <t>3/C+G</t>
        </is>
      </c>
      <c r="M5787" s="12" t="inlineStr">
        <is>
          <t>2</t>
        </is>
      </c>
      <c r="N5787" s="12" t="n">
        <v>1</v>
      </c>
      <c r="O5787" s="12" t="n">
        <v>1</v>
      </c>
      <c r="P5787" s="12" t="n">
        <v>480</v>
      </c>
      <c r="Q5787" s="12" t="n">
        <v>15</v>
      </c>
      <c r="R5787" s="12" t="n">
        <v>21.2</v>
      </c>
      <c r="S5787" s="12" t="inlineStr">
        <is>
          <t>Duct bank</t>
        </is>
      </c>
      <c r="T5787" s="17" t="n">
        <v>1629</v>
      </c>
      <c r="U5787" s="17" t="n">
        <v>161</v>
      </c>
      <c r="V5787" s="17">
        <f>ROUNDUP((T5787+U5787+2*'Read Me'!$B$13)*(1+'Read Me'!$B$12),-1)</f>
        <v/>
      </c>
      <c r="W5787" s="17">
        <f>V5787*N5787*O5787</f>
        <v/>
      </c>
      <c r="X5787" s="12">
        <f>IF(LEFT(I5787,2)="MV",2*N5787*IF(L5787="1/C",O5787,1),0)</f>
        <v/>
      </c>
      <c r="Y5787" s="12">
        <f>IF(OR(LEFT(K5787,4)="LVAX",LEFT(K5787,6)="MV15AX",LEFT(K5787,4)="CTAX",LEFT(K5787,2)="W|"),2*N5787*O5787,0)</f>
        <v/>
      </c>
      <c r="Z5787" s="12" t="inlineStr">
        <is>
          <t>VD 2.9 %</t>
        </is>
      </c>
      <c r="AA5787" s="12">
        <f>N5787*O5787</f>
        <v/>
      </c>
    </row>
    <row r="5788">
      <c r="A5788" s="12" t="inlineStr">
        <is>
          <t>C-P-0037</t>
        </is>
      </c>
      <c r="B5788" s="12" t="inlineStr">
        <is>
          <t>C</t>
        </is>
      </c>
      <c r="C5788" s="12" t="inlineStr">
        <is>
          <t>Grid interface</t>
        </is>
      </c>
      <c r="D5788" s="12" t="inlineStr">
        <is>
          <t>Motor 8 of 20, 15 kW</t>
        </is>
      </c>
      <c r="E5788" s="12" t="inlineStr">
        <is>
          <t>MCC-C1</t>
        </is>
      </c>
      <c r="F5788" s="12" t="inlineStr">
        <is>
          <t>R1 MCC-C1</t>
        </is>
      </c>
      <c r="G5788" s="12" t="inlineStr"/>
      <c r="H5788" s="12" t="inlineStr">
        <is>
          <t>Water treatment building: rooftop HVAC, exhaust fans, vents</t>
        </is>
      </c>
      <c r="I5788" s="12" t="inlineStr">
        <is>
          <t>LV 600 V</t>
        </is>
      </c>
      <c r="J5788" s="12" t="inlineStr">
        <is>
          <t>Type TC-ER 600 V 3/C Cu XHHW-2 + ground, PVC jacket</t>
        </is>
      </c>
      <c r="K5788" s="12" t="inlineStr">
        <is>
          <t>LV|3/C+G|2</t>
        </is>
      </c>
      <c r="L5788" s="12" t="inlineStr">
        <is>
          <t>3/C+G</t>
        </is>
      </c>
      <c r="M5788" s="12" t="inlineStr">
        <is>
          <t>2</t>
        </is>
      </c>
      <c r="N5788" s="12" t="n">
        <v>1</v>
      </c>
      <c r="O5788" s="12" t="n">
        <v>1</v>
      </c>
      <c r="P5788" s="12" t="n">
        <v>480</v>
      </c>
      <c r="Q5788" s="12" t="n">
        <v>15</v>
      </c>
      <c r="R5788" s="12" t="n">
        <v>21.2</v>
      </c>
      <c r="S5788" s="12" t="inlineStr">
        <is>
          <t>Duct bank</t>
        </is>
      </c>
      <c r="T5788" s="17" t="n">
        <v>1629</v>
      </c>
      <c r="U5788" s="17" t="n">
        <v>161</v>
      </c>
      <c r="V5788" s="17">
        <f>ROUNDUP((T5788+U5788+2*'Read Me'!$B$13)*(1+'Read Me'!$B$12),-1)</f>
        <v/>
      </c>
      <c r="W5788" s="17">
        <f>V5788*N5788*O5788</f>
        <v/>
      </c>
      <c r="X5788" s="12">
        <f>IF(LEFT(I5788,2)="MV",2*N5788*IF(L5788="1/C",O5788,1),0)</f>
        <v/>
      </c>
      <c r="Y5788" s="12">
        <f>IF(OR(LEFT(K5788,4)="LVAX",LEFT(K5788,6)="MV15AX",LEFT(K5788,4)="CTAX",LEFT(K5788,2)="W|"),2*N5788*O5788,0)</f>
        <v/>
      </c>
      <c r="Z5788" s="12" t="inlineStr">
        <is>
          <t>VD 2.9 %</t>
        </is>
      </c>
      <c r="AA5788" s="12">
        <f>N5788*O5788</f>
        <v/>
      </c>
    </row>
    <row r="5789">
      <c r="A5789" s="12" t="inlineStr">
        <is>
          <t>C-P-0038</t>
        </is>
      </c>
      <c r="B5789" s="12" t="inlineStr">
        <is>
          <t>C</t>
        </is>
      </c>
      <c r="C5789" s="12" t="inlineStr">
        <is>
          <t>Grid interface</t>
        </is>
      </c>
      <c r="D5789" s="12" t="inlineStr">
        <is>
          <t>Motor 9 of 20, 15 kW</t>
        </is>
      </c>
      <c r="E5789" s="12" t="inlineStr">
        <is>
          <t>MCC-C1</t>
        </is>
      </c>
      <c r="F5789" s="12" t="inlineStr">
        <is>
          <t>R1 MCC-C1</t>
        </is>
      </c>
      <c r="G5789" s="12" t="inlineStr"/>
      <c r="H5789" s="12" t="inlineStr">
        <is>
          <t>Water treatment building: rooftop HVAC, exhaust fans, vents</t>
        </is>
      </c>
      <c r="I5789" s="12" t="inlineStr">
        <is>
          <t>LV 600 V</t>
        </is>
      </c>
      <c r="J5789" s="12" t="inlineStr">
        <is>
          <t>Type TC-ER 600 V 3/C Cu XHHW-2 + ground, PVC jacket</t>
        </is>
      </c>
      <c r="K5789" s="12" t="inlineStr">
        <is>
          <t>LV|3/C+G|2</t>
        </is>
      </c>
      <c r="L5789" s="12" t="inlineStr">
        <is>
          <t>3/C+G</t>
        </is>
      </c>
      <c r="M5789" s="12" t="inlineStr">
        <is>
          <t>2</t>
        </is>
      </c>
      <c r="N5789" s="12" t="n">
        <v>1</v>
      </c>
      <c r="O5789" s="12" t="n">
        <v>1</v>
      </c>
      <c r="P5789" s="12" t="n">
        <v>480</v>
      </c>
      <c r="Q5789" s="12" t="n">
        <v>15</v>
      </c>
      <c r="R5789" s="12" t="n">
        <v>21.2</v>
      </c>
      <c r="S5789" s="12" t="inlineStr">
        <is>
          <t>Duct bank</t>
        </is>
      </c>
      <c r="T5789" s="17" t="n">
        <v>1629</v>
      </c>
      <c r="U5789" s="17" t="n">
        <v>161</v>
      </c>
      <c r="V5789" s="17">
        <f>ROUNDUP((T5789+U5789+2*'Read Me'!$B$13)*(1+'Read Me'!$B$12),-1)</f>
        <v/>
      </c>
      <c r="W5789" s="17">
        <f>V5789*N5789*O5789</f>
        <v/>
      </c>
      <c r="X5789" s="12">
        <f>IF(LEFT(I5789,2)="MV",2*N5789*IF(L5789="1/C",O5789,1),0)</f>
        <v/>
      </c>
      <c r="Y5789" s="12">
        <f>IF(OR(LEFT(K5789,4)="LVAX",LEFT(K5789,6)="MV15AX",LEFT(K5789,4)="CTAX",LEFT(K5789,2)="W|"),2*N5789*O5789,0)</f>
        <v/>
      </c>
      <c r="Z5789" s="12" t="inlineStr">
        <is>
          <t>VD 2.9 %</t>
        </is>
      </c>
      <c r="AA5789" s="12">
        <f>N5789*O5789</f>
        <v/>
      </c>
    </row>
    <row r="5790">
      <c r="A5790" s="12" t="inlineStr">
        <is>
          <t>C-P-0039</t>
        </is>
      </c>
      <c r="B5790" s="12" t="inlineStr">
        <is>
          <t>C</t>
        </is>
      </c>
      <c r="C5790" s="12" t="inlineStr">
        <is>
          <t>Grid interface</t>
        </is>
      </c>
      <c r="D5790" s="12" t="inlineStr">
        <is>
          <t>Motor 10 of 20, 15 kW</t>
        </is>
      </c>
      <c r="E5790" s="12" t="inlineStr">
        <is>
          <t>MCC-C1</t>
        </is>
      </c>
      <c r="F5790" s="12" t="inlineStr">
        <is>
          <t>R1 MCC-C1</t>
        </is>
      </c>
      <c r="G5790" s="12" t="inlineStr"/>
      <c r="H5790" s="12" t="inlineStr">
        <is>
          <t>Water treatment building: rooftop HVAC, exhaust fans, vents</t>
        </is>
      </c>
      <c r="I5790" s="12" t="inlineStr">
        <is>
          <t>LV 600 V</t>
        </is>
      </c>
      <c r="J5790" s="12" t="inlineStr">
        <is>
          <t>Type TC-ER 600 V 3/C Cu XHHW-2 + ground, PVC jacket</t>
        </is>
      </c>
      <c r="K5790" s="12" t="inlineStr">
        <is>
          <t>LV|3/C+G|2</t>
        </is>
      </c>
      <c r="L5790" s="12" t="inlineStr">
        <is>
          <t>3/C+G</t>
        </is>
      </c>
      <c r="M5790" s="12" t="inlineStr">
        <is>
          <t>2</t>
        </is>
      </c>
      <c r="N5790" s="12" t="n">
        <v>1</v>
      </c>
      <c r="O5790" s="12" t="n">
        <v>1</v>
      </c>
      <c r="P5790" s="12" t="n">
        <v>480</v>
      </c>
      <c r="Q5790" s="12" t="n">
        <v>15</v>
      </c>
      <c r="R5790" s="12" t="n">
        <v>21.2</v>
      </c>
      <c r="S5790" s="12" t="inlineStr">
        <is>
          <t>Duct bank</t>
        </is>
      </c>
      <c r="T5790" s="17" t="n">
        <v>1629</v>
      </c>
      <c r="U5790" s="17" t="n">
        <v>161</v>
      </c>
      <c r="V5790" s="17">
        <f>ROUNDUP((T5790+U5790+2*'Read Me'!$B$13)*(1+'Read Me'!$B$12),-1)</f>
        <v/>
      </c>
      <c r="W5790" s="17">
        <f>V5790*N5790*O5790</f>
        <v/>
      </c>
      <c r="X5790" s="12">
        <f>IF(LEFT(I5790,2)="MV",2*N5790*IF(L5790="1/C",O5790,1),0)</f>
        <v/>
      </c>
      <c r="Y5790" s="12">
        <f>IF(OR(LEFT(K5790,4)="LVAX",LEFT(K5790,6)="MV15AX",LEFT(K5790,4)="CTAX",LEFT(K5790,2)="W|"),2*N5790*O5790,0)</f>
        <v/>
      </c>
      <c r="Z5790" s="12" t="inlineStr">
        <is>
          <t>VD 2.9 %</t>
        </is>
      </c>
      <c r="AA5790" s="12">
        <f>N5790*O5790</f>
        <v/>
      </c>
    </row>
    <row r="5791">
      <c r="A5791" s="12" t="inlineStr">
        <is>
          <t>C-P-0040</t>
        </is>
      </c>
      <c r="B5791" s="12" t="inlineStr">
        <is>
          <t>C</t>
        </is>
      </c>
      <c r="C5791" s="12" t="inlineStr">
        <is>
          <t>Grid interface</t>
        </is>
      </c>
      <c r="D5791" s="12" t="inlineStr">
        <is>
          <t>Motor 11 of 20, 15 kW</t>
        </is>
      </c>
      <c r="E5791" s="12" t="inlineStr">
        <is>
          <t>MCC-C1</t>
        </is>
      </c>
      <c r="F5791" s="12" t="inlineStr">
        <is>
          <t>R1 MCC-C1</t>
        </is>
      </c>
      <c r="G5791" s="12" t="inlineStr"/>
      <c r="H5791" s="12" t="inlineStr">
        <is>
          <t>Water treatment building: rooftop HVAC, exhaust fans, vents</t>
        </is>
      </c>
      <c r="I5791" s="12" t="inlineStr">
        <is>
          <t>LV 600 V</t>
        </is>
      </c>
      <c r="J5791" s="12" t="inlineStr">
        <is>
          <t>Type TC-ER 600 V 3/C Cu XHHW-2 + ground, PVC jacket</t>
        </is>
      </c>
      <c r="K5791" s="12" t="inlineStr">
        <is>
          <t>LV|3/C+G|2</t>
        </is>
      </c>
      <c r="L5791" s="12" t="inlineStr">
        <is>
          <t>3/C+G</t>
        </is>
      </c>
      <c r="M5791" s="12" t="inlineStr">
        <is>
          <t>2</t>
        </is>
      </c>
      <c r="N5791" s="12" t="n">
        <v>1</v>
      </c>
      <c r="O5791" s="12" t="n">
        <v>1</v>
      </c>
      <c r="P5791" s="12" t="n">
        <v>480</v>
      </c>
      <c r="Q5791" s="12" t="n">
        <v>15</v>
      </c>
      <c r="R5791" s="12" t="n">
        <v>21.2</v>
      </c>
      <c r="S5791" s="12" t="inlineStr">
        <is>
          <t>Duct bank</t>
        </is>
      </c>
      <c r="T5791" s="17" t="n">
        <v>1629</v>
      </c>
      <c r="U5791" s="17" t="n">
        <v>161</v>
      </c>
      <c r="V5791" s="17">
        <f>ROUNDUP((T5791+U5791+2*'Read Me'!$B$13)*(1+'Read Me'!$B$12),-1)</f>
        <v/>
      </c>
      <c r="W5791" s="17">
        <f>V5791*N5791*O5791</f>
        <v/>
      </c>
      <c r="X5791" s="12">
        <f>IF(LEFT(I5791,2)="MV",2*N5791*IF(L5791="1/C",O5791,1),0)</f>
        <v/>
      </c>
      <c r="Y5791" s="12">
        <f>IF(OR(LEFT(K5791,4)="LVAX",LEFT(K5791,6)="MV15AX",LEFT(K5791,4)="CTAX",LEFT(K5791,2)="W|"),2*N5791*O5791,0)</f>
        <v/>
      </c>
      <c r="Z5791" s="12" t="inlineStr">
        <is>
          <t>VD 2.9 %</t>
        </is>
      </c>
      <c r="AA5791" s="12">
        <f>N5791*O5791</f>
        <v/>
      </c>
    </row>
    <row r="5792">
      <c r="A5792" s="12" t="inlineStr">
        <is>
          <t>C-P-0041</t>
        </is>
      </c>
      <c r="B5792" s="12" t="inlineStr">
        <is>
          <t>C</t>
        </is>
      </c>
      <c r="C5792" s="12" t="inlineStr">
        <is>
          <t>Grid interface</t>
        </is>
      </c>
      <c r="D5792" s="12" t="inlineStr">
        <is>
          <t>Motor 12 of 20, 15 kW</t>
        </is>
      </c>
      <c r="E5792" s="12" t="inlineStr">
        <is>
          <t>MCC-C1</t>
        </is>
      </c>
      <c r="F5792" s="12" t="inlineStr">
        <is>
          <t>R1 MCC-C1</t>
        </is>
      </c>
      <c r="G5792" s="12" t="inlineStr"/>
      <c r="H5792" s="12" t="inlineStr">
        <is>
          <t>Water treatment building: rooftop HVAC, exhaust fans, vents</t>
        </is>
      </c>
      <c r="I5792" s="12" t="inlineStr">
        <is>
          <t>LV 600 V</t>
        </is>
      </c>
      <c r="J5792" s="12" t="inlineStr">
        <is>
          <t>Type TC-ER 600 V 3/C Cu XHHW-2 + ground, PVC jacket</t>
        </is>
      </c>
      <c r="K5792" s="12" t="inlineStr">
        <is>
          <t>LV|3/C+G|2</t>
        </is>
      </c>
      <c r="L5792" s="12" t="inlineStr">
        <is>
          <t>3/C+G</t>
        </is>
      </c>
      <c r="M5792" s="12" t="inlineStr">
        <is>
          <t>2</t>
        </is>
      </c>
      <c r="N5792" s="12" t="n">
        <v>1</v>
      </c>
      <c r="O5792" s="12" t="n">
        <v>1</v>
      </c>
      <c r="P5792" s="12" t="n">
        <v>480</v>
      </c>
      <c r="Q5792" s="12" t="n">
        <v>15</v>
      </c>
      <c r="R5792" s="12" t="n">
        <v>21.2</v>
      </c>
      <c r="S5792" s="12" t="inlineStr">
        <is>
          <t>Duct bank</t>
        </is>
      </c>
      <c r="T5792" s="17" t="n">
        <v>1629</v>
      </c>
      <c r="U5792" s="17" t="n">
        <v>161</v>
      </c>
      <c r="V5792" s="17">
        <f>ROUNDUP((T5792+U5792+2*'Read Me'!$B$13)*(1+'Read Me'!$B$12),-1)</f>
        <v/>
      </c>
      <c r="W5792" s="17">
        <f>V5792*N5792*O5792</f>
        <v/>
      </c>
      <c r="X5792" s="12">
        <f>IF(LEFT(I5792,2)="MV",2*N5792*IF(L5792="1/C",O5792,1),0)</f>
        <v/>
      </c>
      <c r="Y5792" s="12">
        <f>IF(OR(LEFT(K5792,4)="LVAX",LEFT(K5792,6)="MV15AX",LEFT(K5792,4)="CTAX",LEFT(K5792,2)="W|"),2*N5792*O5792,0)</f>
        <v/>
      </c>
      <c r="Z5792" s="12" t="inlineStr">
        <is>
          <t>VD 2.9 %</t>
        </is>
      </c>
      <c r="AA5792" s="12">
        <f>N5792*O5792</f>
        <v/>
      </c>
    </row>
    <row r="5793">
      <c r="A5793" s="12" t="inlineStr">
        <is>
          <t>C-P-0042</t>
        </is>
      </c>
      <c r="B5793" s="12" t="inlineStr">
        <is>
          <t>C</t>
        </is>
      </c>
      <c r="C5793" s="12" t="inlineStr">
        <is>
          <t>Grid interface</t>
        </is>
      </c>
      <c r="D5793" s="12" t="inlineStr">
        <is>
          <t>Motor 13 of 20, 15 kW</t>
        </is>
      </c>
      <c r="E5793" s="12" t="inlineStr">
        <is>
          <t>MCC-C1</t>
        </is>
      </c>
      <c r="F5793" s="12" t="inlineStr">
        <is>
          <t>R1 MCC-C1</t>
        </is>
      </c>
      <c r="G5793" s="12" t="inlineStr"/>
      <c r="H5793" s="12" t="inlineStr">
        <is>
          <t>Water treatment building: rooftop HVAC, exhaust fans, vents</t>
        </is>
      </c>
      <c r="I5793" s="12" t="inlineStr">
        <is>
          <t>LV 600 V</t>
        </is>
      </c>
      <c r="J5793" s="12" t="inlineStr">
        <is>
          <t>Type TC-ER 600 V 3/C Cu XHHW-2 + ground, PVC jacket</t>
        </is>
      </c>
      <c r="K5793" s="12" t="inlineStr">
        <is>
          <t>LV|3/C+G|2</t>
        </is>
      </c>
      <c r="L5793" s="12" t="inlineStr">
        <is>
          <t>3/C+G</t>
        </is>
      </c>
      <c r="M5793" s="12" t="inlineStr">
        <is>
          <t>2</t>
        </is>
      </c>
      <c r="N5793" s="12" t="n">
        <v>1</v>
      </c>
      <c r="O5793" s="12" t="n">
        <v>1</v>
      </c>
      <c r="P5793" s="12" t="n">
        <v>480</v>
      </c>
      <c r="Q5793" s="12" t="n">
        <v>15</v>
      </c>
      <c r="R5793" s="12" t="n">
        <v>21.2</v>
      </c>
      <c r="S5793" s="12" t="inlineStr">
        <is>
          <t>Duct bank</t>
        </is>
      </c>
      <c r="T5793" s="17" t="n">
        <v>1629</v>
      </c>
      <c r="U5793" s="17" t="n">
        <v>161</v>
      </c>
      <c r="V5793" s="17">
        <f>ROUNDUP((T5793+U5793+2*'Read Me'!$B$13)*(1+'Read Me'!$B$12),-1)</f>
        <v/>
      </c>
      <c r="W5793" s="17">
        <f>V5793*N5793*O5793</f>
        <v/>
      </c>
      <c r="X5793" s="12">
        <f>IF(LEFT(I5793,2)="MV",2*N5793*IF(L5793="1/C",O5793,1),0)</f>
        <v/>
      </c>
      <c r="Y5793" s="12">
        <f>IF(OR(LEFT(K5793,4)="LVAX",LEFT(K5793,6)="MV15AX",LEFT(K5793,4)="CTAX",LEFT(K5793,2)="W|"),2*N5793*O5793,0)</f>
        <v/>
      </c>
      <c r="Z5793" s="12" t="inlineStr">
        <is>
          <t>VD 2.9 %</t>
        </is>
      </c>
      <c r="AA5793" s="12">
        <f>N5793*O5793</f>
        <v/>
      </c>
    </row>
    <row r="5794">
      <c r="A5794" s="12" t="inlineStr">
        <is>
          <t>C-P-0043</t>
        </is>
      </c>
      <c r="B5794" s="12" t="inlineStr">
        <is>
          <t>C</t>
        </is>
      </c>
      <c r="C5794" s="12" t="inlineStr">
        <is>
          <t>Grid interface</t>
        </is>
      </c>
      <c r="D5794" s="12" t="inlineStr">
        <is>
          <t>Motor 14 of 20, 15 kW</t>
        </is>
      </c>
      <c r="E5794" s="12" t="inlineStr">
        <is>
          <t>MCC-C1</t>
        </is>
      </c>
      <c r="F5794" s="12" t="inlineStr">
        <is>
          <t>R1 MCC-C1</t>
        </is>
      </c>
      <c r="G5794" s="12" t="inlineStr"/>
      <c r="H5794" s="12" t="inlineStr">
        <is>
          <t>Water treatment building: rooftop HVAC, exhaust fans, vents</t>
        </is>
      </c>
      <c r="I5794" s="12" t="inlineStr">
        <is>
          <t>LV 600 V</t>
        </is>
      </c>
      <c r="J5794" s="12" t="inlineStr">
        <is>
          <t>Type TC-ER 600 V 3/C Cu XHHW-2 + ground, PVC jacket</t>
        </is>
      </c>
      <c r="K5794" s="12" t="inlineStr">
        <is>
          <t>LV|3/C+G|2</t>
        </is>
      </c>
      <c r="L5794" s="12" t="inlineStr">
        <is>
          <t>3/C+G</t>
        </is>
      </c>
      <c r="M5794" s="12" t="inlineStr">
        <is>
          <t>2</t>
        </is>
      </c>
      <c r="N5794" s="12" t="n">
        <v>1</v>
      </c>
      <c r="O5794" s="12" t="n">
        <v>1</v>
      </c>
      <c r="P5794" s="12" t="n">
        <v>480</v>
      </c>
      <c r="Q5794" s="12" t="n">
        <v>15</v>
      </c>
      <c r="R5794" s="12" t="n">
        <v>21.2</v>
      </c>
      <c r="S5794" s="12" t="inlineStr">
        <is>
          <t>Duct bank</t>
        </is>
      </c>
      <c r="T5794" s="17" t="n">
        <v>1629</v>
      </c>
      <c r="U5794" s="17" t="n">
        <v>161</v>
      </c>
      <c r="V5794" s="17">
        <f>ROUNDUP((T5794+U5794+2*'Read Me'!$B$13)*(1+'Read Me'!$B$12),-1)</f>
        <v/>
      </c>
      <c r="W5794" s="17">
        <f>V5794*N5794*O5794</f>
        <v/>
      </c>
      <c r="X5794" s="12">
        <f>IF(LEFT(I5794,2)="MV",2*N5794*IF(L5794="1/C",O5794,1),0)</f>
        <v/>
      </c>
      <c r="Y5794" s="12">
        <f>IF(OR(LEFT(K5794,4)="LVAX",LEFT(K5794,6)="MV15AX",LEFT(K5794,4)="CTAX",LEFT(K5794,2)="W|"),2*N5794*O5794,0)</f>
        <v/>
      </c>
      <c r="Z5794" s="12" t="inlineStr">
        <is>
          <t>VD 2.9 %</t>
        </is>
      </c>
      <c r="AA5794" s="12">
        <f>N5794*O5794</f>
        <v/>
      </c>
    </row>
    <row r="5795">
      <c r="A5795" s="12" t="inlineStr">
        <is>
          <t>C-P-0044</t>
        </is>
      </c>
      <c r="B5795" s="12" t="inlineStr">
        <is>
          <t>C</t>
        </is>
      </c>
      <c r="C5795" s="12" t="inlineStr">
        <is>
          <t>Grid interface</t>
        </is>
      </c>
      <c r="D5795" s="12" t="inlineStr">
        <is>
          <t>Motor 15 of 20, 15 kW</t>
        </is>
      </c>
      <c r="E5795" s="12" t="inlineStr">
        <is>
          <t>MCC-C1</t>
        </is>
      </c>
      <c r="F5795" s="12" t="inlineStr">
        <is>
          <t>R1 MCC-C1</t>
        </is>
      </c>
      <c r="G5795" s="12" t="inlineStr"/>
      <c r="H5795" s="12" t="inlineStr">
        <is>
          <t>Water treatment building: rooftop HVAC, exhaust fans, vents</t>
        </is>
      </c>
      <c r="I5795" s="12" t="inlineStr">
        <is>
          <t>LV 600 V</t>
        </is>
      </c>
      <c r="J5795" s="12" t="inlineStr">
        <is>
          <t>Type TC-ER 600 V 3/C Cu XHHW-2 + ground, PVC jacket</t>
        </is>
      </c>
      <c r="K5795" s="12" t="inlineStr">
        <is>
          <t>LV|3/C+G|2</t>
        </is>
      </c>
      <c r="L5795" s="12" t="inlineStr">
        <is>
          <t>3/C+G</t>
        </is>
      </c>
      <c r="M5795" s="12" t="inlineStr">
        <is>
          <t>2</t>
        </is>
      </c>
      <c r="N5795" s="12" t="n">
        <v>1</v>
      </c>
      <c r="O5795" s="12" t="n">
        <v>1</v>
      </c>
      <c r="P5795" s="12" t="n">
        <v>480</v>
      </c>
      <c r="Q5795" s="12" t="n">
        <v>15</v>
      </c>
      <c r="R5795" s="12" t="n">
        <v>21.2</v>
      </c>
      <c r="S5795" s="12" t="inlineStr">
        <is>
          <t>Duct bank</t>
        </is>
      </c>
      <c r="T5795" s="17" t="n">
        <v>1629</v>
      </c>
      <c r="U5795" s="17" t="n">
        <v>161</v>
      </c>
      <c r="V5795" s="17">
        <f>ROUNDUP((T5795+U5795+2*'Read Me'!$B$13)*(1+'Read Me'!$B$12),-1)</f>
        <v/>
      </c>
      <c r="W5795" s="17">
        <f>V5795*N5795*O5795</f>
        <v/>
      </c>
      <c r="X5795" s="12">
        <f>IF(LEFT(I5795,2)="MV",2*N5795*IF(L5795="1/C",O5795,1),0)</f>
        <v/>
      </c>
      <c r="Y5795" s="12">
        <f>IF(OR(LEFT(K5795,4)="LVAX",LEFT(K5795,6)="MV15AX",LEFT(K5795,4)="CTAX",LEFT(K5795,2)="W|"),2*N5795*O5795,0)</f>
        <v/>
      </c>
      <c r="Z5795" s="12" t="inlineStr">
        <is>
          <t>VD 2.9 %</t>
        </is>
      </c>
      <c r="AA5795" s="12">
        <f>N5795*O5795</f>
        <v/>
      </c>
    </row>
    <row r="5796">
      <c r="A5796" s="12" t="inlineStr">
        <is>
          <t>C-P-0045</t>
        </is>
      </c>
      <c r="B5796" s="12" t="inlineStr">
        <is>
          <t>C</t>
        </is>
      </c>
      <c r="C5796" s="12" t="inlineStr">
        <is>
          <t>Grid interface</t>
        </is>
      </c>
      <c r="D5796" s="12" t="inlineStr">
        <is>
          <t>Motor 16 of 20, 15 kW</t>
        </is>
      </c>
      <c r="E5796" s="12" t="inlineStr">
        <is>
          <t>MCC-C1</t>
        </is>
      </c>
      <c r="F5796" s="12" t="inlineStr">
        <is>
          <t>R1 MCC-C1</t>
        </is>
      </c>
      <c r="G5796" s="12" t="inlineStr"/>
      <c r="H5796" s="12" t="inlineStr">
        <is>
          <t>Water treatment building: rooftop HVAC, exhaust fans, vents</t>
        </is>
      </c>
      <c r="I5796" s="12" t="inlineStr">
        <is>
          <t>LV 600 V</t>
        </is>
      </c>
      <c r="J5796" s="12" t="inlineStr">
        <is>
          <t>Type TC-ER 600 V 3/C Cu XHHW-2 + ground, PVC jacket</t>
        </is>
      </c>
      <c r="K5796" s="12" t="inlineStr">
        <is>
          <t>LV|3/C+G|2</t>
        </is>
      </c>
      <c r="L5796" s="12" t="inlineStr">
        <is>
          <t>3/C+G</t>
        </is>
      </c>
      <c r="M5796" s="12" t="inlineStr">
        <is>
          <t>2</t>
        </is>
      </c>
      <c r="N5796" s="12" t="n">
        <v>1</v>
      </c>
      <c r="O5796" s="12" t="n">
        <v>1</v>
      </c>
      <c r="P5796" s="12" t="n">
        <v>480</v>
      </c>
      <c r="Q5796" s="12" t="n">
        <v>15</v>
      </c>
      <c r="R5796" s="12" t="n">
        <v>21.2</v>
      </c>
      <c r="S5796" s="12" t="inlineStr">
        <is>
          <t>Duct bank</t>
        </is>
      </c>
      <c r="T5796" s="17" t="n">
        <v>1629</v>
      </c>
      <c r="U5796" s="17" t="n">
        <v>161</v>
      </c>
      <c r="V5796" s="17">
        <f>ROUNDUP((T5796+U5796+2*'Read Me'!$B$13)*(1+'Read Me'!$B$12),-1)</f>
        <v/>
      </c>
      <c r="W5796" s="17">
        <f>V5796*N5796*O5796</f>
        <v/>
      </c>
      <c r="X5796" s="12">
        <f>IF(LEFT(I5796,2)="MV",2*N5796*IF(L5796="1/C",O5796,1),0)</f>
        <v/>
      </c>
      <c r="Y5796" s="12">
        <f>IF(OR(LEFT(K5796,4)="LVAX",LEFT(K5796,6)="MV15AX",LEFT(K5796,4)="CTAX",LEFT(K5796,2)="W|"),2*N5796*O5796,0)</f>
        <v/>
      </c>
      <c r="Z5796" s="12" t="inlineStr">
        <is>
          <t>VD 2.9 %</t>
        </is>
      </c>
      <c r="AA5796" s="12">
        <f>N5796*O5796</f>
        <v/>
      </c>
    </row>
    <row r="5797">
      <c r="A5797" s="12" t="inlineStr">
        <is>
          <t>C-P-0046</t>
        </is>
      </c>
      <c r="B5797" s="12" t="inlineStr">
        <is>
          <t>C</t>
        </is>
      </c>
      <c r="C5797" s="12" t="inlineStr">
        <is>
          <t>Grid interface</t>
        </is>
      </c>
      <c r="D5797" s="12" t="inlineStr">
        <is>
          <t>Motor 17 of 20, 15 kW</t>
        </is>
      </c>
      <c r="E5797" s="12" t="inlineStr">
        <is>
          <t>MCC-C1</t>
        </is>
      </c>
      <c r="F5797" s="12" t="inlineStr">
        <is>
          <t>R1 MCC-C1</t>
        </is>
      </c>
      <c r="G5797" s="12" t="inlineStr"/>
      <c r="H5797" s="12" t="inlineStr">
        <is>
          <t>Water treatment building: rooftop HVAC, exhaust fans, vents</t>
        </is>
      </c>
      <c r="I5797" s="12" t="inlineStr">
        <is>
          <t>LV 600 V</t>
        </is>
      </c>
      <c r="J5797" s="12" t="inlineStr">
        <is>
          <t>Type TC-ER 600 V 3/C Cu XHHW-2 + ground, PVC jacket</t>
        </is>
      </c>
      <c r="K5797" s="12" t="inlineStr">
        <is>
          <t>LV|3/C+G|2</t>
        </is>
      </c>
      <c r="L5797" s="12" t="inlineStr">
        <is>
          <t>3/C+G</t>
        </is>
      </c>
      <c r="M5797" s="12" t="inlineStr">
        <is>
          <t>2</t>
        </is>
      </c>
      <c r="N5797" s="12" t="n">
        <v>1</v>
      </c>
      <c r="O5797" s="12" t="n">
        <v>1</v>
      </c>
      <c r="P5797" s="12" t="n">
        <v>480</v>
      </c>
      <c r="Q5797" s="12" t="n">
        <v>15</v>
      </c>
      <c r="R5797" s="12" t="n">
        <v>21.2</v>
      </c>
      <c r="S5797" s="12" t="inlineStr">
        <is>
          <t>Duct bank</t>
        </is>
      </c>
      <c r="T5797" s="17" t="n">
        <v>1629</v>
      </c>
      <c r="U5797" s="17" t="n">
        <v>161</v>
      </c>
      <c r="V5797" s="17">
        <f>ROUNDUP((T5797+U5797+2*'Read Me'!$B$13)*(1+'Read Me'!$B$12),-1)</f>
        <v/>
      </c>
      <c r="W5797" s="17">
        <f>V5797*N5797*O5797</f>
        <v/>
      </c>
      <c r="X5797" s="12">
        <f>IF(LEFT(I5797,2)="MV",2*N5797*IF(L5797="1/C",O5797,1),0)</f>
        <v/>
      </c>
      <c r="Y5797" s="12">
        <f>IF(OR(LEFT(K5797,4)="LVAX",LEFT(K5797,6)="MV15AX",LEFT(K5797,4)="CTAX",LEFT(K5797,2)="W|"),2*N5797*O5797,0)</f>
        <v/>
      </c>
      <c r="Z5797" s="12" t="inlineStr">
        <is>
          <t>VD 2.9 %</t>
        </is>
      </c>
      <c r="AA5797" s="12">
        <f>N5797*O5797</f>
        <v/>
      </c>
    </row>
    <row r="5798">
      <c r="A5798" s="12" t="inlineStr">
        <is>
          <t>C-P-0047</t>
        </is>
      </c>
      <c r="B5798" s="12" t="inlineStr">
        <is>
          <t>C</t>
        </is>
      </c>
      <c r="C5798" s="12" t="inlineStr">
        <is>
          <t>Grid interface</t>
        </is>
      </c>
      <c r="D5798" s="12" t="inlineStr">
        <is>
          <t>Motor 18 of 20, 15 kW</t>
        </is>
      </c>
      <c r="E5798" s="12" t="inlineStr">
        <is>
          <t>MCC-C1</t>
        </is>
      </c>
      <c r="F5798" s="12" t="inlineStr">
        <is>
          <t>R1 MCC-C1</t>
        </is>
      </c>
      <c r="G5798" s="12" t="inlineStr"/>
      <c r="H5798" s="12" t="inlineStr">
        <is>
          <t>Water treatment building: rooftop HVAC, exhaust fans, vents</t>
        </is>
      </c>
      <c r="I5798" s="12" t="inlineStr">
        <is>
          <t>LV 600 V</t>
        </is>
      </c>
      <c r="J5798" s="12" t="inlineStr">
        <is>
          <t>Type TC-ER 600 V 3/C Cu XHHW-2 + ground, PVC jacket</t>
        </is>
      </c>
      <c r="K5798" s="12" t="inlineStr">
        <is>
          <t>LV|3/C+G|2</t>
        </is>
      </c>
      <c r="L5798" s="12" t="inlineStr">
        <is>
          <t>3/C+G</t>
        </is>
      </c>
      <c r="M5798" s="12" t="inlineStr">
        <is>
          <t>2</t>
        </is>
      </c>
      <c r="N5798" s="12" t="n">
        <v>1</v>
      </c>
      <c r="O5798" s="12" t="n">
        <v>1</v>
      </c>
      <c r="P5798" s="12" t="n">
        <v>480</v>
      </c>
      <c r="Q5798" s="12" t="n">
        <v>15</v>
      </c>
      <c r="R5798" s="12" t="n">
        <v>21.2</v>
      </c>
      <c r="S5798" s="12" t="inlineStr">
        <is>
          <t>Duct bank</t>
        </is>
      </c>
      <c r="T5798" s="17" t="n">
        <v>1629</v>
      </c>
      <c r="U5798" s="17" t="n">
        <v>161</v>
      </c>
      <c r="V5798" s="17">
        <f>ROUNDUP((T5798+U5798+2*'Read Me'!$B$13)*(1+'Read Me'!$B$12),-1)</f>
        <v/>
      </c>
      <c r="W5798" s="17">
        <f>V5798*N5798*O5798</f>
        <v/>
      </c>
      <c r="X5798" s="12">
        <f>IF(LEFT(I5798,2)="MV",2*N5798*IF(L5798="1/C",O5798,1),0)</f>
        <v/>
      </c>
      <c r="Y5798" s="12">
        <f>IF(OR(LEFT(K5798,4)="LVAX",LEFT(K5798,6)="MV15AX",LEFT(K5798,4)="CTAX",LEFT(K5798,2)="W|"),2*N5798*O5798,0)</f>
        <v/>
      </c>
      <c r="Z5798" s="12" t="inlineStr">
        <is>
          <t>VD 2.9 %</t>
        </is>
      </c>
      <c r="AA5798" s="12">
        <f>N5798*O5798</f>
        <v/>
      </c>
    </row>
    <row r="5799">
      <c r="A5799" s="12" t="inlineStr">
        <is>
          <t>C-P-0048</t>
        </is>
      </c>
      <c r="B5799" s="12" t="inlineStr">
        <is>
          <t>C</t>
        </is>
      </c>
      <c r="C5799" s="12" t="inlineStr">
        <is>
          <t>Grid interface</t>
        </is>
      </c>
      <c r="D5799" s="12" t="inlineStr">
        <is>
          <t>Motor 19 of 20, 15 kW</t>
        </is>
      </c>
      <c r="E5799" s="12" t="inlineStr">
        <is>
          <t>MCC-C1</t>
        </is>
      </c>
      <c r="F5799" s="12" t="inlineStr">
        <is>
          <t>R1 MCC-C1</t>
        </is>
      </c>
      <c r="G5799" s="12" t="inlineStr"/>
      <c r="H5799" s="12" t="inlineStr">
        <is>
          <t>Water treatment building: rooftop HVAC, exhaust fans, vents</t>
        </is>
      </c>
      <c r="I5799" s="12" t="inlineStr">
        <is>
          <t>LV 600 V</t>
        </is>
      </c>
      <c r="J5799" s="12" t="inlineStr">
        <is>
          <t>Type TC-ER 600 V 3/C Cu XHHW-2 + ground, PVC jacket</t>
        </is>
      </c>
      <c r="K5799" s="12" t="inlineStr">
        <is>
          <t>LV|3/C+G|2</t>
        </is>
      </c>
      <c r="L5799" s="12" t="inlineStr">
        <is>
          <t>3/C+G</t>
        </is>
      </c>
      <c r="M5799" s="12" t="inlineStr">
        <is>
          <t>2</t>
        </is>
      </c>
      <c r="N5799" s="12" t="n">
        <v>1</v>
      </c>
      <c r="O5799" s="12" t="n">
        <v>1</v>
      </c>
      <c r="P5799" s="12" t="n">
        <v>480</v>
      </c>
      <c r="Q5799" s="12" t="n">
        <v>15</v>
      </c>
      <c r="R5799" s="12" t="n">
        <v>21.2</v>
      </c>
      <c r="S5799" s="12" t="inlineStr">
        <is>
          <t>Duct bank</t>
        </is>
      </c>
      <c r="T5799" s="17" t="n">
        <v>1629</v>
      </c>
      <c r="U5799" s="17" t="n">
        <v>161</v>
      </c>
      <c r="V5799" s="17">
        <f>ROUNDUP((T5799+U5799+2*'Read Me'!$B$13)*(1+'Read Me'!$B$12),-1)</f>
        <v/>
      </c>
      <c r="W5799" s="17">
        <f>V5799*N5799*O5799</f>
        <v/>
      </c>
      <c r="X5799" s="12">
        <f>IF(LEFT(I5799,2)="MV",2*N5799*IF(L5799="1/C",O5799,1),0)</f>
        <v/>
      </c>
      <c r="Y5799" s="12">
        <f>IF(OR(LEFT(K5799,4)="LVAX",LEFT(K5799,6)="MV15AX",LEFT(K5799,4)="CTAX",LEFT(K5799,2)="W|"),2*N5799*O5799,0)</f>
        <v/>
      </c>
      <c r="Z5799" s="12" t="inlineStr">
        <is>
          <t>VD 2.9 %</t>
        </is>
      </c>
      <c r="AA5799" s="12">
        <f>N5799*O5799</f>
        <v/>
      </c>
    </row>
    <row r="5800">
      <c r="A5800" s="12" t="inlineStr">
        <is>
          <t>C-P-0049</t>
        </is>
      </c>
      <c r="B5800" s="12" t="inlineStr">
        <is>
          <t>C</t>
        </is>
      </c>
      <c r="C5800" s="12" t="inlineStr">
        <is>
          <t>Grid interface</t>
        </is>
      </c>
      <c r="D5800" s="12" t="inlineStr">
        <is>
          <t>Motor 20 of 20, 15 kW</t>
        </is>
      </c>
      <c r="E5800" s="12" t="inlineStr">
        <is>
          <t>MCC-C1</t>
        </is>
      </c>
      <c r="F5800" s="12" t="inlineStr">
        <is>
          <t>R1 MCC-C1</t>
        </is>
      </c>
      <c r="G5800" s="12" t="inlineStr"/>
      <c r="H5800" s="12" t="inlineStr">
        <is>
          <t>Water treatment building: rooftop HVAC, exhaust fans, vents</t>
        </is>
      </c>
      <c r="I5800" s="12" t="inlineStr">
        <is>
          <t>LV 600 V</t>
        </is>
      </c>
      <c r="J5800" s="12" t="inlineStr">
        <is>
          <t>Type TC-ER 600 V 3/C Cu XHHW-2 + ground, PVC jacket</t>
        </is>
      </c>
      <c r="K5800" s="12" t="inlineStr">
        <is>
          <t>LV|3/C+G|2</t>
        </is>
      </c>
      <c r="L5800" s="12" t="inlineStr">
        <is>
          <t>3/C+G</t>
        </is>
      </c>
      <c r="M5800" s="12" t="inlineStr">
        <is>
          <t>2</t>
        </is>
      </c>
      <c r="N5800" s="12" t="n">
        <v>1</v>
      </c>
      <c r="O5800" s="12" t="n">
        <v>1</v>
      </c>
      <c r="P5800" s="12" t="n">
        <v>480</v>
      </c>
      <c r="Q5800" s="12" t="n">
        <v>15</v>
      </c>
      <c r="R5800" s="12" t="n">
        <v>21.2</v>
      </c>
      <c r="S5800" s="12" t="inlineStr">
        <is>
          <t>Duct bank</t>
        </is>
      </c>
      <c r="T5800" s="17" t="n">
        <v>1629</v>
      </c>
      <c r="U5800" s="17" t="n">
        <v>161</v>
      </c>
      <c r="V5800" s="17">
        <f>ROUNDUP((T5800+U5800+2*'Read Me'!$B$13)*(1+'Read Me'!$B$12),-1)</f>
        <v/>
      </c>
      <c r="W5800" s="17">
        <f>V5800*N5800*O5800</f>
        <v/>
      </c>
      <c r="X5800" s="12">
        <f>IF(LEFT(I5800,2)="MV",2*N5800*IF(L5800="1/C",O5800,1),0)</f>
        <v/>
      </c>
      <c r="Y5800" s="12">
        <f>IF(OR(LEFT(K5800,4)="LVAX",LEFT(K5800,6)="MV15AX",LEFT(K5800,4)="CTAX",LEFT(K5800,2)="W|"),2*N5800*O5800,0)</f>
        <v/>
      </c>
      <c r="Z5800" s="12" t="inlineStr">
        <is>
          <t>VD 2.9 %</t>
        </is>
      </c>
      <c r="AA5800" s="12">
        <f>N5800*O5800</f>
        <v/>
      </c>
    </row>
  </sheetData>
  <autoFilter ref="A1:AA580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Schedule'!$AA$2:$AA$5800,'Cable Schedule'!$K$2:$K$5800,A2)</f>
        <v/>
      </c>
      <c r="G2" s="19">
        <f>SUMIFS('Cable Schedule'!$W$2:$W$5800,'Cable Schedule'!$K$2:$K$5800,A2)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Schedule'!$AA$2:$AA$5800,'Cable Schedule'!$K$2:$K$5800,A3)</f>
        <v/>
      </c>
      <c r="G3" s="19">
        <f>SUMIFS('Cable Schedule'!$W$2:$W$5800,'Cable Schedule'!$K$2:$K$5800,A3)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Schedule'!$AA$2:$AA$5800,'Cable Schedule'!$K$2:$K$5800,A4)</f>
        <v/>
      </c>
      <c r="G4" s="19">
        <f>SUMIFS('Cable Schedule'!$W$2:$W$5800,'Cable Schedule'!$K$2:$K$5800,A4)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Schedule'!$AA$2:$AA$5800,'Cable Schedule'!$K$2:$K$5800,A5)</f>
        <v/>
      </c>
      <c r="G5" s="19">
        <f>SUMIFS('Cable Schedule'!$W$2:$W$5800,'Cable Schedule'!$K$2:$K$5800,A5)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Schedule'!$AA$2:$AA$5800,'Cable Schedule'!$K$2:$K$5800,A6)</f>
        <v/>
      </c>
      <c r="G6" s="19">
        <f>SUMIFS('Cable Schedule'!$W$2:$W$5800,'Cable Schedule'!$K$2:$K$5800,A6)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Schedule'!$AA$2:$AA$5800,'Cable Schedule'!$K$2:$K$5800,A7)</f>
        <v/>
      </c>
      <c r="G7" s="19">
        <f>SUMIFS('Cable Schedule'!$W$2:$W$5800,'Cable Schedule'!$K$2:$K$5800,A7)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Schedule'!$AA$2:$AA$5800,'Cable Schedule'!$K$2:$K$5800,A8)</f>
        <v/>
      </c>
      <c r="G8" s="19">
        <f>SUMIFS('Cable Schedule'!$W$2:$W$5800,'Cable Schedule'!$K$2:$K$5800,A8)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Schedule'!$AA$2:$AA$5800,'Cable Schedule'!$K$2:$K$5800,A9)</f>
        <v/>
      </c>
      <c r="G9" s="19">
        <f>SUMIFS('Cable Schedule'!$W$2:$W$5800,'Cable Schedule'!$K$2:$K$5800,A9)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Schedule'!$AA$2:$AA$5800,'Cable Schedule'!$K$2:$K$5800,A10)</f>
        <v/>
      </c>
      <c r="G10" s="19">
        <f>SUMIFS('Cable Schedule'!$W$2:$W$5800,'Cable Schedule'!$K$2:$K$5800,A10)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Schedule'!$AA$2:$AA$5800,'Cable Schedule'!$K$2:$K$5800,A11)</f>
        <v/>
      </c>
      <c r="G11" s="19">
        <f>SUMIFS('Cable Schedule'!$W$2:$W$5800,'Cable Schedule'!$K$2:$K$5800,A11)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Schedule'!$AA$2:$AA$5800,'Cable Schedule'!$K$2:$K$5800,A12)</f>
        <v/>
      </c>
      <c r="G12" s="19">
        <f>SUMIFS('Cable Schedule'!$W$2:$W$5800,'Cable Schedule'!$K$2:$K$5800,A12)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Schedule'!$AA$2:$AA$5800,'Cable Schedule'!$K$2:$K$5800,A13)</f>
        <v/>
      </c>
      <c r="G13" s="19">
        <f>SUMIFS('Cable Schedule'!$W$2:$W$5800,'Cable Schedule'!$K$2:$K$5800,A13)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Schedule'!$AA$2:$AA$5800,'Cable Schedule'!$K$2:$K$5800,A14)</f>
        <v/>
      </c>
      <c r="G14" s="19">
        <f>SUMIFS('Cable Schedule'!$W$2:$W$5800,'Cable Schedule'!$K$2:$K$5800,A14)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Schedule'!$AA$2:$AA$5800,'Cable Schedule'!$K$2:$K$5800,A15)</f>
        <v/>
      </c>
      <c r="G15" s="19">
        <f>SUMIFS('Cable Schedule'!$W$2:$W$5800,'Cable Schedule'!$K$2:$K$5800,A15)</f>
        <v/>
      </c>
      <c r="H15" s="20">
        <f>'Read Me'!$B$14</f>
        <v/>
      </c>
      <c r="I15" s="17">
        <f>ROUNDUP(G15*(1+H15),-2)</f>
        <v/>
      </c>
      <c r="J15" s="21" t="n">
        <v>2500</v>
      </c>
      <c r="K15" s="12">
        <f>IF(J15&gt;0,ROUNDUP(I15/J15,0),0)</f>
        <v/>
      </c>
      <c r="L15" s="22">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8">
        <f>SUMIFS('Cable Schedule'!$AA$2:$AA$5800,'Cable Schedule'!$K$2:$K$5800,A16)</f>
        <v/>
      </c>
      <c r="G16" s="19">
        <f>SUMIFS('Cable Schedule'!$W$2:$W$5800,'Cable Schedule'!$K$2:$K$5800,A16)</f>
        <v/>
      </c>
      <c r="H16" s="20">
        <f>'Read Me'!$B$14</f>
        <v/>
      </c>
      <c r="I16" s="17">
        <f>ROUNDUP(G16*(1+H16),-2)</f>
        <v/>
      </c>
      <c r="J16" s="21" t="n">
        <v>2500</v>
      </c>
      <c r="K16" s="12">
        <f>IF(J16&gt;0,ROUNDUP(I16/J16,0),0)</f>
        <v/>
      </c>
      <c r="L16" s="22">
        <f>I16*0.3048/1000</f>
        <v/>
      </c>
    </row>
    <row r="17">
      <c r="A17" s="12" t="inlineStr">
        <is>
          <t>MV25|1/C|2</t>
        </is>
      </c>
      <c r="B17" s="12" t="inlineStr">
        <is>
          <t>MV 25 kV</t>
        </is>
      </c>
      <c r="C17" s="12" t="inlineStr">
        <is>
          <t>MV-105 25 kV 1/C Cu, EPR 133%, Cu tape shield, PVC jacket</t>
        </is>
      </c>
      <c r="D17" s="12" t="inlineStr">
        <is>
          <t>1/C</t>
        </is>
      </c>
      <c r="E17" s="12" t="inlineStr">
        <is>
          <t>2</t>
        </is>
      </c>
      <c r="F17" s="18">
        <f>SUMIFS('Cable Schedule'!$AA$2:$AA$5800,'Cable Schedule'!$K$2:$K$5800,A17)</f>
        <v/>
      </c>
      <c r="G17" s="19">
        <f>SUMIFS('Cable Schedule'!$W$2:$W$5800,'Cable Schedule'!$K$2:$K$5800,A17)</f>
        <v/>
      </c>
      <c r="H17" s="20">
        <f>'Read Me'!$B$14</f>
        <v/>
      </c>
      <c r="I17" s="17">
        <f>ROUNDUP(G17*(1+H17),-2)</f>
        <v/>
      </c>
      <c r="J17" s="21" t="n">
        <v>2500</v>
      </c>
      <c r="K17" s="12">
        <f>IF(J17&gt;0,ROUNDUP(I17/J17,0),0)</f>
        <v/>
      </c>
      <c r="L17" s="22">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8">
        <f>SUMIFS('Cable Schedule'!$AA$2:$AA$5800,'Cable Schedule'!$K$2:$K$5800,A18)</f>
        <v/>
      </c>
      <c r="G18" s="19">
        <f>SUMIFS('Cable Schedule'!$W$2:$W$5800,'Cable Schedule'!$K$2:$K$5800,A18)</f>
        <v/>
      </c>
      <c r="H18" s="20">
        <f>'Read Me'!$B$14</f>
        <v/>
      </c>
      <c r="I18" s="17">
        <f>ROUNDUP(G18*(1+H18),-2)</f>
        <v/>
      </c>
      <c r="J18" s="21" t="n">
        <v>2500</v>
      </c>
      <c r="K18" s="12">
        <f>IF(J18&gt;0,ROUNDUP(I18/J18,0),0)</f>
        <v/>
      </c>
      <c r="L18" s="22">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8">
        <f>SUMIFS('Cable Schedule'!$AA$2:$AA$5800,'Cable Schedule'!$K$2:$K$5800,A19)</f>
        <v/>
      </c>
      <c r="G19" s="19">
        <f>SUMIFS('Cable Schedule'!$W$2:$W$5800,'Cable Schedule'!$K$2:$K$5800,A19)</f>
        <v/>
      </c>
      <c r="H19" s="20">
        <f>'Read Me'!$B$14</f>
        <v/>
      </c>
      <c r="I19" s="17">
        <f>ROUNDUP(G19*(1+H19),-2)</f>
        <v/>
      </c>
      <c r="J19" s="21" t="n">
        <v>2500</v>
      </c>
      <c r="K19" s="12">
        <f>IF(J19&gt;0,ROUNDUP(I19/J19,0),0)</f>
        <v/>
      </c>
      <c r="L19" s="22">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8">
        <f>SUMIFS('Cable Schedule'!$AA$2:$AA$5800,'Cable Schedule'!$K$2:$K$5800,A20)</f>
        <v/>
      </c>
      <c r="G20" s="19">
        <f>SUMIFS('Cable Schedule'!$W$2:$W$5800,'Cable Schedule'!$K$2:$K$5800,A20)</f>
        <v/>
      </c>
      <c r="H20" s="20">
        <f>'Read Me'!$B$14</f>
        <v/>
      </c>
      <c r="I20" s="17">
        <f>ROUNDUP(G20*(1+H20),-2)</f>
        <v/>
      </c>
      <c r="J20" s="21" t="n">
        <v>2500</v>
      </c>
      <c r="K20" s="12">
        <f>IF(J20&gt;0,ROUNDUP(I20/J20,0),0)</f>
        <v/>
      </c>
      <c r="L20" s="22">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8">
        <f>SUMIFS('Cable Schedule'!$AA$2:$AA$5800,'Cable Schedule'!$K$2:$K$5800,A21)</f>
        <v/>
      </c>
      <c r="G21" s="19">
        <f>SUMIFS('Cable Schedule'!$W$2:$W$5800,'Cable Schedule'!$K$2:$K$5800,A21)</f>
        <v/>
      </c>
      <c r="H21" s="20">
        <f>'Read Me'!$B$14</f>
        <v/>
      </c>
      <c r="I21" s="17">
        <f>ROUNDUP(G21*(1+H21),-2)</f>
        <v/>
      </c>
      <c r="J21" s="21" t="n">
        <v>1800</v>
      </c>
      <c r="K21" s="12">
        <f>IF(J21&gt;0,ROUNDUP(I21/J21,0),0)</f>
        <v/>
      </c>
      <c r="L21" s="22">
        <f>I21*0.3048/1000</f>
        <v/>
      </c>
    </row>
    <row r="22">
      <c r="A22" s="12" t="inlineStr">
        <is>
          <t>LV|3/C+G|10</t>
        </is>
      </c>
      <c r="B22" s="12" t="inlineStr">
        <is>
          <t>LV 600 V</t>
        </is>
      </c>
      <c r="C22" s="12" t="inlineStr">
        <is>
          <t>Type TC-ER 600 V 3/C Cu XHHW-2 + ground, PVC jacket</t>
        </is>
      </c>
      <c r="D22" s="12" t="inlineStr">
        <is>
          <t>3/C+G</t>
        </is>
      </c>
      <c r="E22" s="12" t="inlineStr">
        <is>
          <t>10</t>
        </is>
      </c>
      <c r="F22" s="18">
        <f>SUMIFS('Cable Schedule'!$AA$2:$AA$5800,'Cable Schedule'!$K$2:$K$5800,A22)</f>
        <v/>
      </c>
      <c r="G22" s="19">
        <f>SUMIFS('Cable Schedule'!$W$2:$W$5800,'Cable Schedule'!$K$2:$K$5800,A22)</f>
        <v/>
      </c>
      <c r="H22" s="20">
        <f>'Read Me'!$B$14</f>
        <v/>
      </c>
      <c r="I22" s="17">
        <f>ROUNDUP(G22*(1+H22),-2)</f>
        <v/>
      </c>
      <c r="J22" s="21" t="n">
        <v>2500</v>
      </c>
      <c r="K22" s="12">
        <f>IF(J22&gt;0,ROUNDUP(I22/J22,0),0)</f>
        <v/>
      </c>
      <c r="L22" s="22">
        <f>I22*0.3048/1000</f>
        <v/>
      </c>
    </row>
    <row r="23">
      <c r="A23" s="12" t="inlineStr">
        <is>
          <t>LV|1/C|8</t>
        </is>
      </c>
      <c r="B23" s="12" t="inlineStr">
        <is>
          <t>LV 600 V</t>
        </is>
      </c>
      <c r="C23" s="12" t="inlineStr">
        <is>
          <t>Type TC-ER 600 V 3/C Cu XHHW-2 + ground, PVC jacket</t>
        </is>
      </c>
      <c r="D23" s="12" t="inlineStr">
        <is>
          <t>1/C</t>
        </is>
      </c>
      <c r="E23" s="12" t="inlineStr">
        <is>
          <t>8</t>
        </is>
      </c>
      <c r="F23" s="18">
        <f>SUMIFS('Cable Schedule'!$AA$2:$AA$5800,'Cable Schedule'!$K$2:$K$5800,A23)</f>
        <v/>
      </c>
      <c r="G23" s="19">
        <f>SUMIFS('Cable Schedule'!$W$2:$W$5800,'Cable Schedule'!$K$2:$K$5800,A23)</f>
        <v/>
      </c>
      <c r="H23" s="20">
        <f>'Read Me'!$B$14</f>
        <v/>
      </c>
      <c r="I23" s="17">
        <f>ROUNDUP(G23*(1+H23),-2)</f>
        <v/>
      </c>
      <c r="J23" s="21" t="n">
        <v>2500</v>
      </c>
      <c r="K23" s="12">
        <f>IF(J23&gt;0,ROUNDUP(I23/J23,0),0)</f>
        <v/>
      </c>
      <c r="L23" s="22">
        <f>I23*0.3048/1000</f>
        <v/>
      </c>
    </row>
    <row r="24">
      <c r="A24" s="12" t="inlineStr">
        <is>
          <t>LV|3/C+G|8</t>
        </is>
      </c>
      <c r="B24" s="12" t="inlineStr">
        <is>
          <t>LV 600 V</t>
        </is>
      </c>
      <c r="C24" s="12" t="inlineStr">
        <is>
          <t>Type TC-ER 600 V 3/C Cu XHHW-2 + ground, PVC jacket</t>
        </is>
      </c>
      <c r="D24" s="12" t="inlineStr">
        <is>
          <t>3/C+G</t>
        </is>
      </c>
      <c r="E24" s="12" t="inlineStr">
        <is>
          <t>8</t>
        </is>
      </c>
      <c r="F24" s="18">
        <f>SUMIFS('Cable Schedule'!$AA$2:$AA$5800,'Cable Schedule'!$K$2:$K$5800,A24)</f>
        <v/>
      </c>
      <c r="G24" s="19">
        <f>SUMIFS('Cable Schedule'!$W$2:$W$5800,'Cable Schedule'!$K$2:$K$5800,A24)</f>
        <v/>
      </c>
      <c r="H24" s="20">
        <f>'Read Me'!$B$14</f>
        <v/>
      </c>
      <c r="I24" s="17">
        <f>ROUNDUP(G24*(1+H24),-2)</f>
        <v/>
      </c>
      <c r="J24" s="21" t="n">
        <v>2500</v>
      </c>
      <c r="K24" s="12">
        <f>IF(J24&gt;0,ROUNDUP(I24/J24,0),0)</f>
        <v/>
      </c>
      <c r="L24" s="22">
        <f>I24*0.3048/1000</f>
        <v/>
      </c>
    </row>
    <row r="25">
      <c r="A25" s="12" t="inlineStr">
        <is>
          <t>LV|3/C+G|6</t>
        </is>
      </c>
      <c r="B25" s="12" t="inlineStr">
        <is>
          <t>LV 600 V</t>
        </is>
      </c>
      <c r="C25" s="12" t="inlineStr">
        <is>
          <t>Type TC-ER 600 V 3/C Cu XHHW-2 + ground, PVC jacket</t>
        </is>
      </c>
      <c r="D25" s="12" t="inlineStr">
        <is>
          <t>3/C+G</t>
        </is>
      </c>
      <c r="E25" s="12" t="inlineStr">
        <is>
          <t>6</t>
        </is>
      </c>
      <c r="F25" s="18">
        <f>SUMIFS('Cable Schedule'!$AA$2:$AA$5800,'Cable Schedule'!$K$2:$K$5800,A25)</f>
        <v/>
      </c>
      <c r="G25" s="19">
        <f>SUMIFS('Cable Schedule'!$W$2:$W$5800,'Cable Schedule'!$K$2:$K$5800,A25)</f>
        <v/>
      </c>
      <c r="H25" s="20">
        <f>'Read Me'!$B$14</f>
        <v/>
      </c>
      <c r="I25" s="17">
        <f>ROUNDUP(G25*(1+H25),-2)</f>
        <v/>
      </c>
      <c r="J25" s="21" t="n">
        <v>2500</v>
      </c>
      <c r="K25" s="12">
        <f>IF(J25&gt;0,ROUNDUP(I25/J25,0),0)</f>
        <v/>
      </c>
      <c r="L25" s="22">
        <f>I25*0.3048/1000</f>
        <v/>
      </c>
    </row>
    <row r="26">
      <c r="A26" s="12" t="inlineStr">
        <is>
          <t>LV|3/C+G|4</t>
        </is>
      </c>
      <c r="B26" s="12" t="inlineStr">
        <is>
          <t>LV 600 V</t>
        </is>
      </c>
      <c r="C26" s="12" t="inlineStr">
        <is>
          <t>Type TC-ER 600 V 3/C Cu XHHW-2 + ground, PVC jacket</t>
        </is>
      </c>
      <c r="D26" s="12" t="inlineStr">
        <is>
          <t>3/C+G</t>
        </is>
      </c>
      <c r="E26" s="12" t="inlineStr">
        <is>
          <t>4</t>
        </is>
      </c>
      <c r="F26" s="18">
        <f>SUMIFS('Cable Schedule'!$AA$2:$AA$5800,'Cable Schedule'!$K$2:$K$5800,A26)</f>
        <v/>
      </c>
      <c r="G26" s="19">
        <f>SUMIFS('Cable Schedule'!$W$2:$W$5800,'Cable Schedule'!$K$2:$K$5800,A26)</f>
        <v/>
      </c>
      <c r="H26" s="20">
        <f>'Read Me'!$B$14</f>
        <v/>
      </c>
      <c r="I26" s="17">
        <f>ROUNDUP(G26*(1+H26),-2)</f>
        <v/>
      </c>
      <c r="J26" s="21" t="n">
        <v>2500</v>
      </c>
      <c r="K26" s="12">
        <f>IF(J26&gt;0,ROUNDUP(I26/J26,0),0)</f>
        <v/>
      </c>
      <c r="L26" s="22">
        <f>I26*0.3048/1000</f>
        <v/>
      </c>
    </row>
    <row r="27">
      <c r="A27" s="12" t="inlineStr">
        <is>
          <t>LV|3/C+G|2</t>
        </is>
      </c>
      <c r="B27" s="12" t="inlineStr">
        <is>
          <t>LV 600 V</t>
        </is>
      </c>
      <c r="C27" s="12" t="inlineStr">
        <is>
          <t>Type TC-ER 600 V 3/C Cu XHHW-2 + ground, PVC jacket</t>
        </is>
      </c>
      <c r="D27" s="12" t="inlineStr">
        <is>
          <t>3/C+G</t>
        </is>
      </c>
      <c r="E27" s="12" t="inlineStr">
        <is>
          <t>2</t>
        </is>
      </c>
      <c r="F27" s="18">
        <f>SUMIFS('Cable Schedule'!$AA$2:$AA$5800,'Cable Schedule'!$K$2:$K$5800,A27)</f>
        <v/>
      </c>
      <c r="G27" s="19">
        <f>SUMIFS('Cable Schedule'!$W$2:$W$5800,'Cable Schedule'!$K$2:$K$5800,A27)</f>
        <v/>
      </c>
      <c r="H27" s="20">
        <f>'Read Me'!$B$14</f>
        <v/>
      </c>
      <c r="I27" s="17">
        <f>ROUNDUP(G27*(1+H27),-2)</f>
        <v/>
      </c>
      <c r="J27" s="21" t="n">
        <v>2500</v>
      </c>
      <c r="K27" s="12">
        <f>IF(J27&gt;0,ROUNDUP(I27/J27,0),0)</f>
        <v/>
      </c>
      <c r="L27" s="22">
        <f>I27*0.3048/1000</f>
        <v/>
      </c>
    </row>
    <row r="28">
      <c r="A28" s="12" t="inlineStr">
        <is>
          <t>LV|3/C+G|1</t>
        </is>
      </c>
      <c r="B28" s="12" t="inlineStr">
        <is>
          <t>LV 600 V</t>
        </is>
      </c>
      <c r="C28" s="12" t="inlineStr">
        <is>
          <t>Type TC-ER 600 V 3/C Cu XHHW-2 + ground, PVC jacket</t>
        </is>
      </c>
      <c r="D28" s="12" t="inlineStr">
        <is>
          <t>3/C+G</t>
        </is>
      </c>
      <c r="E28" s="12" t="inlineStr">
        <is>
          <t>1</t>
        </is>
      </c>
      <c r="F28" s="18">
        <f>SUMIFS('Cable Schedule'!$AA$2:$AA$5800,'Cable Schedule'!$K$2:$K$5800,A28)</f>
        <v/>
      </c>
      <c r="G28" s="19">
        <f>SUMIFS('Cable Schedule'!$W$2:$W$5800,'Cable Schedule'!$K$2:$K$5800,A28)</f>
        <v/>
      </c>
      <c r="H28" s="20">
        <f>'Read Me'!$B$14</f>
        <v/>
      </c>
      <c r="I28" s="17">
        <f>ROUNDUP(G28*(1+H28),-2)</f>
        <v/>
      </c>
      <c r="J28" s="21" t="n">
        <v>2500</v>
      </c>
      <c r="K28" s="12">
        <f>IF(J28&gt;0,ROUNDUP(I28/J28,0),0)</f>
        <v/>
      </c>
      <c r="L28" s="22">
        <f>I28*0.3048/1000</f>
        <v/>
      </c>
    </row>
    <row r="29">
      <c r="A29" s="12" t="inlineStr">
        <is>
          <t>LV|3/C+G|1/0</t>
        </is>
      </c>
      <c r="B29" s="12" t="inlineStr">
        <is>
          <t>LV 600 V</t>
        </is>
      </c>
      <c r="C29" s="12" t="inlineStr">
        <is>
          <t>Type TC-ER 600 V 3/C Cu XHHW-2 + ground, PVC jacket</t>
        </is>
      </c>
      <c r="D29" s="12" t="inlineStr">
        <is>
          <t>3/C+G</t>
        </is>
      </c>
      <c r="E29" s="12" t="inlineStr">
        <is>
          <t>1/0</t>
        </is>
      </c>
      <c r="F29" s="18">
        <f>SUMIFS('Cable Schedule'!$AA$2:$AA$5800,'Cable Schedule'!$K$2:$K$5800,A29)</f>
        <v/>
      </c>
      <c r="G29" s="19">
        <f>SUMIFS('Cable Schedule'!$W$2:$W$5800,'Cable Schedule'!$K$2:$K$5800,A29)</f>
        <v/>
      </c>
      <c r="H29" s="20">
        <f>'Read Me'!$B$14</f>
        <v/>
      </c>
      <c r="I29" s="17">
        <f>ROUNDUP(G29*(1+H29),-2)</f>
        <v/>
      </c>
      <c r="J29" s="21" t="n">
        <v>2500</v>
      </c>
      <c r="K29" s="12">
        <f>IF(J29&gt;0,ROUNDUP(I29/J29,0),0)</f>
        <v/>
      </c>
      <c r="L29" s="22">
        <f>I29*0.3048/1000</f>
        <v/>
      </c>
    </row>
    <row r="30">
      <c r="A30" s="12" t="inlineStr">
        <is>
          <t>LV|3/C+G|2/0</t>
        </is>
      </c>
      <c r="B30" s="12" t="inlineStr">
        <is>
          <t>LV 600 V</t>
        </is>
      </c>
      <c r="C30" s="12" t="inlineStr">
        <is>
          <t>Type TC-ER 600 V 3/C Cu XHHW-2 + ground, PVC jacket</t>
        </is>
      </c>
      <c r="D30" s="12" t="inlineStr">
        <is>
          <t>3/C+G</t>
        </is>
      </c>
      <c r="E30" s="12" t="inlineStr">
        <is>
          <t>2/0</t>
        </is>
      </c>
      <c r="F30" s="18">
        <f>SUMIFS('Cable Schedule'!$AA$2:$AA$5800,'Cable Schedule'!$K$2:$K$5800,A30)</f>
        <v/>
      </c>
      <c r="G30" s="19">
        <f>SUMIFS('Cable Schedule'!$W$2:$W$5800,'Cable Schedule'!$K$2:$K$5800,A30)</f>
        <v/>
      </c>
      <c r="H30" s="20">
        <f>'Read Me'!$B$14</f>
        <v/>
      </c>
      <c r="I30" s="17">
        <f>ROUNDUP(G30*(1+H30),-2)</f>
        <v/>
      </c>
      <c r="J30" s="21" t="n">
        <v>2500</v>
      </c>
      <c r="K30" s="12">
        <f>IF(J30&gt;0,ROUNDUP(I30/J30,0),0)</f>
        <v/>
      </c>
      <c r="L30" s="22">
        <f>I30*0.3048/1000</f>
        <v/>
      </c>
    </row>
    <row r="31">
      <c r="A31" s="12" t="inlineStr">
        <is>
          <t>LV|3/C+G|3/0</t>
        </is>
      </c>
      <c r="B31" s="12" t="inlineStr">
        <is>
          <t>LV 600 V</t>
        </is>
      </c>
      <c r="C31" s="12" t="inlineStr">
        <is>
          <t>Type TC-ER 600 V 3/C Cu XHHW-2 + ground, PVC jacket</t>
        </is>
      </c>
      <c r="D31" s="12" t="inlineStr">
        <is>
          <t>3/C+G</t>
        </is>
      </c>
      <c r="E31" s="12" t="inlineStr">
        <is>
          <t>3/0</t>
        </is>
      </c>
      <c r="F31" s="18">
        <f>SUMIFS('Cable Schedule'!$AA$2:$AA$5800,'Cable Schedule'!$K$2:$K$5800,A31)</f>
        <v/>
      </c>
      <c r="G31" s="19">
        <f>SUMIFS('Cable Schedule'!$W$2:$W$5800,'Cable Schedule'!$K$2:$K$5800,A31)</f>
        <v/>
      </c>
      <c r="H31" s="20">
        <f>'Read Me'!$B$14</f>
        <v/>
      </c>
      <c r="I31" s="17">
        <f>ROUNDUP(G31*(1+H31),-2)</f>
        <v/>
      </c>
      <c r="J31" s="21" t="n">
        <v>2500</v>
      </c>
      <c r="K31" s="12">
        <f>IF(J31&gt;0,ROUNDUP(I31/J31,0),0)</f>
        <v/>
      </c>
      <c r="L31" s="22">
        <f>I31*0.3048/1000</f>
        <v/>
      </c>
    </row>
    <row r="32">
      <c r="A32" s="12" t="inlineStr">
        <is>
          <t>LV|3/C+G|4/0</t>
        </is>
      </c>
      <c r="B32" s="12" t="inlineStr">
        <is>
          <t>LV 600 V</t>
        </is>
      </c>
      <c r="C32" s="12" t="inlineStr">
        <is>
          <t>Type TC-ER 600 V 3/C Cu XHHW-2 + ground, PVC jacket</t>
        </is>
      </c>
      <c r="D32" s="12" t="inlineStr">
        <is>
          <t>3/C+G</t>
        </is>
      </c>
      <c r="E32" s="12" t="inlineStr">
        <is>
          <t>4/0</t>
        </is>
      </c>
      <c r="F32" s="18">
        <f>SUMIFS('Cable Schedule'!$AA$2:$AA$5800,'Cable Schedule'!$K$2:$K$5800,A32)</f>
        <v/>
      </c>
      <c r="G32" s="19">
        <f>SUMIFS('Cable Schedule'!$W$2:$W$5800,'Cable Schedule'!$K$2:$K$5800,A32)</f>
        <v/>
      </c>
      <c r="H32" s="20">
        <f>'Read Me'!$B$14</f>
        <v/>
      </c>
      <c r="I32" s="17">
        <f>ROUNDUP(G32*(1+H32),-2)</f>
        <v/>
      </c>
      <c r="J32" s="21" t="n">
        <v>2500</v>
      </c>
      <c r="K32" s="12">
        <f>IF(J32&gt;0,ROUNDUP(I32/J32,0),0)</f>
        <v/>
      </c>
      <c r="L32" s="22">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8">
        <f>SUMIFS('Cable Schedule'!$AA$2:$AA$5800,'Cable Schedule'!$K$2:$K$5800,A33)</f>
        <v/>
      </c>
      <c r="G33" s="19">
        <f>SUMIFS('Cable Schedule'!$W$2:$W$5800,'Cable Schedule'!$K$2:$K$5800,A33)</f>
        <v/>
      </c>
      <c r="H33" s="20">
        <f>'Read Me'!$B$14</f>
        <v/>
      </c>
      <c r="I33" s="17">
        <f>ROUNDUP(G33*(1+H33),-2)</f>
        <v/>
      </c>
      <c r="J33" s="21" t="n">
        <v>2500</v>
      </c>
      <c r="K33" s="12">
        <f>IF(J33&gt;0,ROUNDUP(I33/J33,0),0)</f>
        <v/>
      </c>
      <c r="L33" s="22">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8">
        <f>SUMIFS('Cable Schedule'!$AA$2:$AA$5800,'Cable Schedule'!$K$2:$K$5800,A34)</f>
        <v/>
      </c>
      <c r="G34" s="19">
        <f>SUMIFS('Cable Schedule'!$W$2:$W$5800,'Cable Schedule'!$K$2:$K$5800,A34)</f>
        <v/>
      </c>
      <c r="H34" s="20">
        <f>'Read Me'!$B$14</f>
        <v/>
      </c>
      <c r="I34" s="17">
        <f>ROUNDUP(G34*(1+H34),-2)</f>
        <v/>
      </c>
      <c r="J34" s="21" t="n">
        <v>2500</v>
      </c>
      <c r="K34" s="12">
        <f>IF(J34&gt;0,ROUNDUP(I34/J34,0),0)</f>
        <v/>
      </c>
      <c r="L34" s="22">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8">
        <f>SUMIFS('Cable Schedule'!$AA$2:$AA$5800,'Cable Schedule'!$K$2:$K$5800,A35)</f>
        <v/>
      </c>
      <c r="G35" s="19">
        <f>SUMIFS('Cable Schedule'!$W$2:$W$5800,'Cable Schedule'!$K$2:$K$5800,A35)</f>
        <v/>
      </c>
      <c r="H35" s="20">
        <f>'Read Me'!$B$14</f>
        <v/>
      </c>
      <c r="I35" s="17">
        <f>ROUNDUP(G35*(1+H35),-2)</f>
        <v/>
      </c>
      <c r="J35" s="21" t="n">
        <v>2500</v>
      </c>
      <c r="K35" s="12">
        <f>IF(J35&gt;0,ROUNDUP(I35/J35,0),0)</f>
        <v/>
      </c>
      <c r="L35" s="22">
        <f>I35*0.3048/1000</f>
        <v/>
      </c>
    </row>
    <row r="36">
      <c r="A36" s="12" t="inlineStr">
        <is>
          <t>LV1C|1/C|500</t>
        </is>
      </c>
      <c r="B36" s="12" t="inlineStr">
        <is>
          <t>LV 600 V</t>
        </is>
      </c>
      <c r="C36" s="12" t="inlineStr">
        <is>
          <t>XHHW-2 600 V 1/C Cu (feeder sets in tray / duct)</t>
        </is>
      </c>
      <c r="D36" s="12" t="inlineStr">
        <is>
          <t>1/C</t>
        </is>
      </c>
      <c r="E36" s="12" t="inlineStr">
        <is>
          <t>500 kcmil</t>
        </is>
      </c>
      <c r="F36" s="18">
        <f>SUMIFS('Cable Schedule'!$AA$2:$AA$5800,'Cable Schedule'!$K$2:$K$5800,A36)</f>
        <v/>
      </c>
      <c r="G36" s="19">
        <f>SUMIFS('Cable Schedule'!$W$2:$W$5800,'Cable Schedule'!$K$2:$K$5800,A36)</f>
        <v/>
      </c>
      <c r="H36" s="20">
        <f>'Read Me'!$B$14</f>
        <v/>
      </c>
      <c r="I36" s="17">
        <f>ROUNDUP(G36*(1+H36),-2)</f>
        <v/>
      </c>
      <c r="J36" s="21" t="n">
        <v>2500</v>
      </c>
      <c r="K36" s="12">
        <f>IF(J36&gt;0,ROUNDUP(I36/J36,0),0)</f>
        <v/>
      </c>
      <c r="L36" s="22">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8">
        <f>SUMIFS('Cable Schedule'!$AA$2:$AA$5800,'Cable Schedule'!$K$2:$K$5800,A37)</f>
        <v/>
      </c>
      <c r="G37" s="19">
        <f>SUMIFS('Cable Schedule'!$W$2:$W$5800,'Cable Schedule'!$K$2:$K$5800,A37)</f>
        <v/>
      </c>
      <c r="H37" s="20">
        <f>'Read Me'!$B$14</f>
        <v/>
      </c>
      <c r="I37" s="17">
        <f>ROUNDUP(G37*(1+H37),-2)</f>
        <v/>
      </c>
      <c r="J37" s="21" t="n">
        <v>2000</v>
      </c>
      <c r="K37" s="12">
        <f>IF(J37&gt;0,ROUNDUP(I37/J37,0),0)</f>
        <v/>
      </c>
      <c r="L37" s="22">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8">
        <f>SUMIFS('Cable Schedule'!$AA$2:$AA$5800,'Cable Schedule'!$K$2:$K$5800,A38)</f>
        <v/>
      </c>
      <c r="G38" s="19">
        <f>SUMIFS('Cable Schedule'!$W$2:$W$5800,'Cable Schedule'!$K$2:$K$5800,A38)</f>
        <v/>
      </c>
      <c r="H38" s="20">
        <f>'Read Me'!$B$14</f>
        <v/>
      </c>
      <c r="I38" s="17">
        <f>ROUNDUP(G38*(1+H38),-2)</f>
        <v/>
      </c>
      <c r="J38" s="21" t="n">
        <v>2000</v>
      </c>
      <c r="K38" s="12">
        <f>IF(J38&gt;0,ROUNDUP(I38/J38,0),0)</f>
        <v/>
      </c>
      <c r="L38" s="22">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8">
        <f>SUMIFS('Cable Schedule'!$AA$2:$AA$5800,'Cable Schedule'!$K$2:$K$5800,A39)</f>
        <v/>
      </c>
      <c r="G39" s="19">
        <f>SUMIFS('Cable Schedule'!$W$2:$W$5800,'Cable Schedule'!$K$2:$K$5800,A39)</f>
        <v/>
      </c>
      <c r="H39" s="20">
        <f>'Read Me'!$B$14</f>
        <v/>
      </c>
      <c r="I39" s="17">
        <f>ROUNDUP(G39*(1+H39),-2)</f>
        <v/>
      </c>
      <c r="J39" s="21" t="n">
        <v>2000</v>
      </c>
      <c r="K39" s="12">
        <f>IF(J39&gt;0,ROUNDUP(I39/J39,0),0)</f>
        <v/>
      </c>
      <c r="L39" s="22">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8">
        <f>SUMIFS('Cable Schedule'!$AA$2:$AA$5800,'Cable Schedule'!$K$2:$K$5800,A40)</f>
        <v/>
      </c>
      <c r="G40" s="19">
        <f>SUMIFS('Cable Schedule'!$W$2:$W$5800,'Cable Schedule'!$K$2:$K$5800,A40)</f>
        <v/>
      </c>
      <c r="H40" s="20">
        <f>'Read Me'!$B$14</f>
        <v/>
      </c>
      <c r="I40" s="17">
        <f>ROUNDUP(G40*(1+H40),-2)</f>
        <v/>
      </c>
      <c r="J40" s="21" t="n">
        <v>2000</v>
      </c>
      <c r="K40" s="12">
        <f>IF(J40&gt;0,ROUNDUP(I40/J40,0),0)</f>
        <v/>
      </c>
      <c r="L40" s="22">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8">
        <f>SUMIFS('Cable Schedule'!$AA$2:$AA$5800,'Cable Schedule'!$K$2:$K$5800,A41)</f>
        <v/>
      </c>
      <c r="G41" s="19">
        <f>SUMIFS('Cable Schedule'!$W$2:$W$5800,'Cable Schedule'!$K$2:$K$5800,A41)</f>
        <v/>
      </c>
      <c r="H41" s="20">
        <f>'Read Me'!$B$14</f>
        <v/>
      </c>
      <c r="I41" s="17">
        <f>ROUNDUP(G41*(1+H41),-2)</f>
        <v/>
      </c>
      <c r="J41" s="21" t="n">
        <v>2000</v>
      </c>
      <c r="K41" s="12">
        <f>IF(J41&gt;0,ROUNDUP(I41/J41,0),0)</f>
        <v/>
      </c>
      <c r="L41" s="22">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8">
        <f>SUMIFS('Cable Schedule'!$AA$2:$AA$5800,'Cable Schedule'!$K$2:$K$5800,A42)</f>
        <v/>
      </c>
      <c r="G42" s="19">
        <f>SUMIFS('Cable Schedule'!$W$2:$W$5800,'Cable Schedule'!$K$2:$K$5800,A42)</f>
        <v/>
      </c>
      <c r="H42" s="20">
        <f>'Read Me'!$B$14</f>
        <v/>
      </c>
      <c r="I42" s="17">
        <f>ROUNDUP(G42*(1+H42),-2)</f>
        <v/>
      </c>
      <c r="J42" s="21" t="n">
        <v>2000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Schedule'!$AA$2:$AA$5800,'Cable Schedule'!$K$2:$K$5800,A43)</f>
        <v/>
      </c>
      <c r="G43" s="19">
        <f>SUMIFS('Cable Schedule'!$W$2:$W$5800,'Cable Schedule'!$K$2:$K$5800,A43)</f>
        <v/>
      </c>
      <c r="H43" s="20">
        <f>'Read Me'!$B$14</f>
        <v/>
      </c>
      <c r="I43" s="17">
        <f>ROUNDUP(G43*(1+H43),-2)</f>
        <v/>
      </c>
      <c r="J43" s="21" t="n">
        <v>2000</v>
      </c>
      <c r="K43" s="12">
        <f>IF(J43&gt;0,ROUNDUP(I43/J43,0),0)</f>
        <v/>
      </c>
      <c r="L43" s="22">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8">
        <f>SUMIFS('Cable Schedule'!$AA$2:$AA$5800,'Cable Schedule'!$K$2:$K$5800,A44)</f>
        <v/>
      </c>
      <c r="G44" s="19">
        <f>SUMIFS('Cable Schedule'!$W$2:$W$5800,'Cable Schedule'!$K$2:$K$5800,A44)</f>
        <v/>
      </c>
      <c r="H44" s="20">
        <f>'Read Me'!$B$14</f>
        <v/>
      </c>
      <c r="I44" s="17">
        <f>ROUNDUP(G44*(1+H44),-2)</f>
        <v/>
      </c>
      <c r="J44" s="21" t="n">
        <v>2000</v>
      </c>
      <c r="K44" s="12">
        <f>IF(J44&gt;0,ROUNDUP(I44/J44,0),0)</f>
        <v/>
      </c>
      <c r="L44" s="22">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8">
        <f>SUMIFS('Cable Schedule'!$AA$2:$AA$5800,'Cable Schedule'!$K$2:$K$5800,A45)</f>
        <v/>
      </c>
      <c r="G45" s="19">
        <f>SUMIFS('Cable Schedule'!$W$2:$W$5800,'Cable Schedule'!$K$2:$K$5800,A45)</f>
        <v/>
      </c>
      <c r="H45" s="20">
        <f>'Read Me'!$B$14</f>
        <v/>
      </c>
      <c r="I45" s="17">
        <f>ROUNDUP(G45*(1+H45),-2)</f>
        <v/>
      </c>
      <c r="J45" s="21" t="n">
        <v>2000</v>
      </c>
      <c r="K45" s="12">
        <f>IF(J45&gt;0,ROUNDUP(I45/J45,0),0)</f>
        <v/>
      </c>
      <c r="L45" s="22">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8">
        <f>SUMIFS('Cable Schedule'!$AA$2:$AA$5800,'Cable Schedule'!$K$2:$K$5800,A46)</f>
        <v/>
      </c>
      <c r="G46" s="19">
        <f>SUMIFS('Cable Schedule'!$W$2:$W$5800,'Cable Schedule'!$K$2:$K$5800,A46)</f>
        <v/>
      </c>
      <c r="H46" s="20">
        <f>'Read Me'!$B$14</f>
        <v/>
      </c>
      <c r="I46" s="17">
        <f>ROUNDUP(G46*(1+H46),-2)</f>
        <v/>
      </c>
      <c r="J46" s="21" t="n">
        <v>2000</v>
      </c>
      <c r="K46" s="12">
        <f>IF(J46&gt;0,ROUNDUP(I46/J46,0),0)</f>
        <v/>
      </c>
      <c r="L46" s="22">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8">
        <f>SUMIFS('Cable Schedule'!$AA$2:$AA$5800,'Cable Schedule'!$K$2:$K$5800,A47)</f>
        <v/>
      </c>
      <c r="G47" s="19">
        <f>SUMIFS('Cable Schedule'!$W$2:$W$5800,'Cable Schedule'!$K$2:$K$5800,A47)</f>
        <v/>
      </c>
      <c r="H47" s="20">
        <f>'Read Me'!$B$14</f>
        <v/>
      </c>
      <c r="I47" s="17">
        <f>ROUNDUP(G47*(1+H47),-2)</f>
        <v/>
      </c>
      <c r="J47" s="21" t="n">
        <v>2500</v>
      </c>
      <c r="K47" s="12">
        <f>IF(J47&gt;0,ROUNDUP(I47/J47,0),0)</f>
        <v/>
      </c>
      <c r="L47" s="22">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8">
        <f>SUMIFS('Cable Schedule'!$AA$2:$AA$5800,'Cable Schedule'!$K$2:$K$5800,A48)</f>
        <v/>
      </c>
      <c r="G48" s="19">
        <f>SUMIFS('Cable Schedule'!$W$2:$W$5800,'Cable Schedule'!$K$2:$K$5800,A48)</f>
        <v/>
      </c>
      <c r="H48" s="20">
        <f>'Read Me'!$B$14</f>
        <v/>
      </c>
      <c r="I48" s="17">
        <f>ROUNDUP(G48*(1+H48),-2)</f>
        <v/>
      </c>
      <c r="J48" s="21" t="n">
        <v>2500</v>
      </c>
      <c r="K48" s="12">
        <f>IF(J48&gt;0,ROUNDUP(I48/J48,0),0)</f>
        <v/>
      </c>
      <c r="L48" s="22">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8">
        <f>SUMIFS('Cable Schedule'!$AA$2:$AA$5800,'Cable Schedule'!$K$2:$K$5800,A49)</f>
        <v/>
      </c>
      <c r="G49" s="19">
        <f>SUMIFS('Cable Schedule'!$W$2:$W$5800,'Cable Schedule'!$K$2:$K$5800,A49)</f>
        <v/>
      </c>
      <c r="H49" s="20">
        <f>'Read Me'!$B$14</f>
        <v/>
      </c>
      <c r="I49" s="17">
        <f>ROUNDUP(G49*(1+H49),-2)</f>
        <v/>
      </c>
      <c r="J49" s="21" t="n">
        <v>2500</v>
      </c>
      <c r="K49" s="12">
        <f>IF(J49&gt;0,ROUNDUP(I49/J49,0),0)</f>
        <v/>
      </c>
      <c r="L49" s="22">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8">
        <f>SUMIFS('Cable Schedule'!$AA$2:$AA$5800,'Cable Schedule'!$K$2:$K$5800,A50)</f>
        <v/>
      </c>
      <c r="G50" s="19">
        <f>SUMIFS('Cable Schedule'!$W$2:$W$5800,'Cable Schedule'!$K$2:$K$5800,A50)</f>
        <v/>
      </c>
      <c r="H50" s="20">
        <f>'Read Me'!$B$14</f>
        <v/>
      </c>
      <c r="I50" s="17">
        <f>ROUNDUP(G50*(1+H50),-2)</f>
        <v/>
      </c>
      <c r="J50" s="21" t="n">
        <v>2500</v>
      </c>
      <c r="K50" s="12">
        <f>IF(J50&gt;0,ROUNDUP(I50/J50,0),0)</f>
        <v/>
      </c>
      <c r="L50" s="22">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8">
        <f>SUMIFS('Cable Schedule'!$AA$2:$AA$5800,'Cable Schedule'!$K$2:$K$5800,A51)</f>
        <v/>
      </c>
      <c r="G51" s="19">
        <f>SUMIFS('Cable Schedule'!$W$2:$W$5800,'Cable Schedule'!$K$2:$K$5800,A51)</f>
        <v/>
      </c>
      <c r="H51" s="20">
        <f>'Read Me'!$B$14</f>
        <v/>
      </c>
      <c r="I51" s="17">
        <f>ROUNDUP(G51*(1+H51),-2)</f>
        <v/>
      </c>
      <c r="J51" s="21" t="n">
        <v>2500</v>
      </c>
      <c r="K51" s="12">
        <f>IF(J51&gt;0,ROUNDUP(I51/J51,0),0)</f>
        <v/>
      </c>
      <c r="L51" s="22">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8">
        <f>SUMIFS('Cable Schedule'!$AA$2:$AA$5800,'Cable Schedule'!$K$2:$K$5800,A52)</f>
        <v/>
      </c>
      <c r="G52" s="19">
        <f>SUMIFS('Cable Schedule'!$W$2:$W$5800,'Cable Schedule'!$K$2:$K$5800,A52)</f>
        <v/>
      </c>
      <c r="H52" s="20">
        <f>'Read Me'!$B$14</f>
        <v/>
      </c>
      <c r="I52" s="17">
        <f>ROUNDUP(G52*(1+H52),-2)</f>
        <v/>
      </c>
      <c r="J52" s="21" t="n">
        <v>2500</v>
      </c>
      <c r="K52" s="12">
        <f>IF(J52&gt;0,ROUNDUP(I52/J52,0),0)</f>
        <v/>
      </c>
      <c r="L52" s="22">
        <f>I52*0.3048/1000</f>
        <v/>
      </c>
    </row>
    <row r="53">
      <c r="A53" s="12" t="inlineStr">
        <is>
          <t>CT|12/C|14</t>
        </is>
      </c>
      <c r="B53" s="12" t="inlineStr">
        <is>
          <t>Control</t>
        </is>
      </c>
      <c r="C53" s="12" t="inlineStr">
        <is>
          <t>Control cable 600 V Type TC-ER, Cu #14 AWG, PVC jacket</t>
        </is>
      </c>
      <c r="D53" s="12" t="inlineStr">
        <is>
          <t>12/C</t>
        </is>
      </c>
      <c r="E53" s="12" t="inlineStr">
        <is>
          <t>14</t>
        </is>
      </c>
      <c r="F53" s="18">
        <f>SUMIFS('Cable Schedule'!$AA$2:$AA$5800,'Cable Schedule'!$K$2:$K$5800,A53)</f>
        <v/>
      </c>
      <c r="G53" s="19">
        <f>SUMIFS('Cable Schedule'!$W$2:$W$5800,'Cable Schedule'!$K$2:$K$5800,A53)</f>
        <v/>
      </c>
      <c r="H53" s="20">
        <f>'Read Me'!$B$14</f>
        <v/>
      </c>
      <c r="I53" s="17">
        <f>ROUNDUP(G53*(1+H53),-2)</f>
        <v/>
      </c>
      <c r="J53" s="21" t="n">
        <v>5000</v>
      </c>
      <c r="K53" s="12">
        <f>IF(J53&gt;0,ROUNDUP(I53/J53,0),0)</f>
        <v/>
      </c>
      <c r="L53" s="22">
        <f>I53*0.3048/1000</f>
        <v/>
      </c>
    </row>
    <row r="54">
      <c r="A54" s="12" t="inlineStr">
        <is>
          <t>CT|2/C|14</t>
        </is>
      </c>
      <c r="B54" s="12" t="inlineStr">
        <is>
          <t>Control</t>
        </is>
      </c>
      <c r="C54" s="12" t="inlineStr">
        <is>
          <t>Control cable 600 V Type TC-ER, Cu #14 AWG, PVC jacket</t>
        </is>
      </c>
      <c r="D54" s="12" t="inlineStr">
        <is>
          <t>2/C</t>
        </is>
      </c>
      <c r="E54" s="12" t="inlineStr">
        <is>
          <t>14</t>
        </is>
      </c>
      <c r="F54" s="18">
        <f>SUMIFS('Cable Schedule'!$AA$2:$AA$5800,'Cable Schedule'!$K$2:$K$5800,A54)</f>
        <v/>
      </c>
      <c r="G54" s="19">
        <f>SUMIFS('Cable Schedule'!$W$2:$W$5800,'Cable Schedule'!$K$2:$K$5800,A54)</f>
        <v/>
      </c>
      <c r="H54" s="20">
        <f>'Read Me'!$B$14</f>
        <v/>
      </c>
      <c r="I54" s="17">
        <f>ROUNDUP(G54*(1+H54),-2)</f>
        <v/>
      </c>
      <c r="J54" s="21" t="n">
        <v>5000</v>
      </c>
      <c r="K54" s="12">
        <f>IF(J54&gt;0,ROUNDUP(I54/J54,0),0)</f>
        <v/>
      </c>
      <c r="L54" s="22">
        <f>I54*0.3048/1000</f>
        <v/>
      </c>
    </row>
    <row r="55">
      <c r="A55" s="12" t="inlineStr">
        <is>
          <t>CT|25/C|14</t>
        </is>
      </c>
      <c r="B55" s="12" t="inlineStr">
        <is>
          <t>Control</t>
        </is>
      </c>
      <c r="C55" s="12" t="inlineStr">
        <is>
          <t>Control cable 600 V Type TC-ER, Cu #14 AWG, PVC jacket</t>
        </is>
      </c>
      <c r="D55" s="12" t="inlineStr">
        <is>
          <t>25/C</t>
        </is>
      </c>
      <c r="E55" s="12" t="inlineStr">
        <is>
          <t>14</t>
        </is>
      </c>
      <c r="F55" s="18">
        <f>SUMIFS('Cable Schedule'!$AA$2:$AA$5800,'Cable Schedule'!$K$2:$K$5800,A55)</f>
        <v/>
      </c>
      <c r="G55" s="19">
        <f>SUMIFS('Cable Schedule'!$W$2:$W$5800,'Cable Schedule'!$K$2:$K$5800,A55)</f>
        <v/>
      </c>
      <c r="H55" s="20">
        <f>'Read Me'!$B$14</f>
        <v/>
      </c>
      <c r="I55" s="17">
        <f>ROUNDUP(G55*(1+H55),-2)</f>
        <v/>
      </c>
      <c r="J55" s="21" t="n">
        <v>5000</v>
      </c>
      <c r="K55" s="12">
        <f>IF(J55&gt;0,ROUNDUP(I55/J55,0),0)</f>
        <v/>
      </c>
      <c r="L55" s="22">
        <f>I55*0.3048/1000</f>
        <v/>
      </c>
    </row>
    <row r="56">
      <c r="A56" s="12" t="inlineStr">
        <is>
          <t>CT|7/C|14</t>
        </is>
      </c>
      <c r="B56" s="12" t="inlineStr">
        <is>
          <t>Control</t>
        </is>
      </c>
      <c r="C56" s="12" t="inlineStr">
        <is>
          <t>Control cable 600 V Type TC-ER, Cu #14 AWG, PVC jacket</t>
        </is>
      </c>
      <c r="D56" s="12" t="inlineStr">
        <is>
          <t>7/C</t>
        </is>
      </c>
      <c r="E56" s="12" t="inlineStr">
        <is>
          <t>14</t>
        </is>
      </c>
      <c r="F56" s="18">
        <f>SUMIFS('Cable Schedule'!$AA$2:$AA$5800,'Cable Schedule'!$K$2:$K$5800,A56)</f>
        <v/>
      </c>
      <c r="G56" s="19">
        <f>SUMIFS('Cable Schedule'!$W$2:$W$5800,'Cable Schedule'!$K$2:$K$5800,A56)</f>
        <v/>
      </c>
      <c r="H56" s="20">
        <f>'Read Me'!$B$14</f>
        <v/>
      </c>
      <c r="I56" s="17">
        <f>ROUNDUP(G56*(1+H56),-2)</f>
        <v/>
      </c>
      <c r="J56" s="21" t="n">
        <v>5000</v>
      </c>
      <c r="K56" s="12">
        <f>IF(J56&gt;0,ROUNDUP(I56/J56,0),0)</f>
        <v/>
      </c>
      <c r="L56" s="22">
        <f>I56*0.3048/1000</f>
        <v/>
      </c>
    </row>
    <row r="57">
      <c r="A57" s="12" t="inlineStr">
        <is>
          <t>CTAX|12/C|14</t>
        </is>
      </c>
      <c r="B57" s="12" t="inlineStr">
        <is>
          <t>Control</t>
        </is>
      </c>
      <c r="C57" s="12" t="inlineStr">
        <is>
          <t>ARMOR-X MC-HL 600 V control, Cu #14 AWG (Class I Div 2)</t>
        </is>
      </c>
      <c r="D57" s="12" t="inlineStr">
        <is>
          <t>12/C</t>
        </is>
      </c>
      <c r="E57" s="12" t="inlineStr">
        <is>
          <t>14</t>
        </is>
      </c>
      <c r="F57" s="18">
        <f>SUMIFS('Cable Schedule'!$AA$2:$AA$5800,'Cable Schedule'!$K$2:$K$5800,A57)</f>
        <v/>
      </c>
      <c r="G57" s="19">
        <f>SUMIFS('Cable Schedule'!$W$2:$W$5800,'Cable Schedule'!$K$2:$K$5800,A57)</f>
        <v/>
      </c>
      <c r="H57" s="20">
        <f>'Read Me'!$B$14</f>
        <v/>
      </c>
      <c r="I57" s="17">
        <f>ROUNDUP(G57*(1+H57),-2)</f>
        <v/>
      </c>
      <c r="J57" s="21" t="n">
        <v>3000</v>
      </c>
      <c r="K57" s="12">
        <f>IF(J57&gt;0,ROUNDUP(I57/J57,0),0)</f>
        <v/>
      </c>
      <c r="L57" s="22">
        <f>I57*0.3048/1000</f>
        <v/>
      </c>
    </row>
    <row r="58">
      <c r="A58" s="12" t="inlineStr">
        <is>
          <t>CTAX|2/C|14</t>
        </is>
      </c>
      <c r="B58" s="12" t="inlineStr">
        <is>
          <t>Control</t>
        </is>
      </c>
      <c r="C58" s="12" t="inlineStr">
        <is>
          <t>ARMOR-X MC-HL 600 V control, Cu #14 AWG (Class I Div 2)</t>
        </is>
      </c>
      <c r="D58" s="12" t="inlineStr">
        <is>
          <t>2/C</t>
        </is>
      </c>
      <c r="E58" s="12" t="inlineStr">
        <is>
          <t>14</t>
        </is>
      </c>
      <c r="F58" s="18">
        <f>SUMIFS('Cable Schedule'!$AA$2:$AA$5800,'Cable Schedule'!$K$2:$K$5800,A58)</f>
        <v/>
      </c>
      <c r="G58" s="19">
        <f>SUMIFS('Cable Schedule'!$W$2:$W$5800,'Cable Schedule'!$K$2:$K$5800,A58)</f>
        <v/>
      </c>
      <c r="H58" s="20">
        <f>'Read Me'!$B$14</f>
        <v/>
      </c>
      <c r="I58" s="17">
        <f>ROUNDUP(G58*(1+H58),-2)</f>
        <v/>
      </c>
      <c r="J58" s="21" t="n">
        <v>3000</v>
      </c>
      <c r="K58" s="12">
        <f>IF(J58&gt;0,ROUNDUP(I58/J58,0),0)</f>
        <v/>
      </c>
      <c r="L58" s="22">
        <f>I58*0.3048/1000</f>
        <v/>
      </c>
    </row>
    <row r="59">
      <c r="A59" s="12" t="inlineStr">
        <is>
          <t>CTAX|25/C|14</t>
        </is>
      </c>
      <c r="B59" s="12" t="inlineStr">
        <is>
          <t>Control</t>
        </is>
      </c>
      <c r="C59" s="12" t="inlineStr">
        <is>
          <t>ARMOR-X MC-HL 600 V control, Cu #14 AWG (Class I Div 2)</t>
        </is>
      </c>
      <c r="D59" s="12" t="inlineStr">
        <is>
          <t>25/C</t>
        </is>
      </c>
      <c r="E59" s="12" t="inlineStr">
        <is>
          <t>14</t>
        </is>
      </c>
      <c r="F59" s="18">
        <f>SUMIFS('Cable Schedule'!$AA$2:$AA$5800,'Cable Schedule'!$K$2:$K$5800,A59)</f>
        <v/>
      </c>
      <c r="G59" s="19">
        <f>SUMIFS('Cable Schedule'!$W$2:$W$5800,'Cable Schedule'!$K$2:$K$5800,A59)</f>
        <v/>
      </c>
      <c r="H59" s="20">
        <f>'Read Me'!$B$14</f>
        <v/>
      </c>
      <c r="I59" s="17">
        <f>ROUNDUP(G59*(1+H59),-2)</f>
        <v/>
      </c>
      <c r="J59" s="21" t="n">
        <v>3000</v>
      </c>
      <c r="K59" s="12">
        <f>IF(J59&gt;0,ROUNDUP(I59/J59,0),0)</f>
        <v/>
      </c>
      <c r="L59" s="22">
        <f>I59*0.3048/1000</f>
        <v/>
      </c>
    </row>
    <row r="60">
      <c r="A60" s="12" t="inlineStr">
        <is>
          <t>CTAX|7/C|14</t>
        </is>
      </c>
      <c r="B60" s="12" t="inlineStr">
        <is>
          <t>Control</t>
        </is>
      </c>
      <c r="C60" s="12" t="inlineStr">
        <is>
          <t>ARMOR-X MC-HL 600 V control, Cu #14 AWG (Class I Div 2)</t>
        </is>
      </c>
      <c r="D60" s="12" t="inlineStr">
        <is>
          <t>7/C</t>
        </is>
      </c>
      <c r="E60" s="12" t="inlineStr">
        <is>
          <t>14</t>
        </is>
      </c>
      <c r="F60" s="18">
        <f>SUMIFS('Cable Schedule'!$AA$2:$AA$5800,'Cable Schedule'!$K$2:$K$5800,A60)</f>
        <v/>
      </c>
      <c r="G60" s="19">
        <f>SUMIFS('Cable Schedule'!$W$2:$W$5800,'Cable Schedule'!$K$2:$K$5800,A60)</f>
        <v/>
      </c>
      <c r="H60" s="20">
        <f>'Read Me'!$B$14</f>
        <v/>
      </c>
      <c r="I60" s="17">
        <f>ROUNDUP(G60*(1+H60),-2)</f>
        <v/>
      </c>
      <c r="J60" s="21" t="n">
        <v>3000</v>
      </c>
      <c r="K60" s="12">
        <f>IF(J60&gt;0,ROUNDUP(I60/J60,0),0)</f>
        <v/>
      </c>
      <c r="L60" s="22">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8">
        <f>SUMIFS('Cable Schedule'!$AA$2:$AA$5800,'Cable Schedule'!$K$2:$K$5800,A61)</f>
        <v/>
      </c>
      <c r="G61" s="19">
        <f>SUMIFS('Cable Schedule'!$W$2:$W$5800,'Cable Schedule'!$K$2:$K$5800,A61)</f>
        <v/>
      </c>
      <c r="H61" s="20">
        <f>'Read Me'!$B$14</f>
        <v/>
      </c>
      <c r="I61" s="17">
        <f>ROUNDUP(G61*(1+H61),-2)</f>
        <v/>
      </c>
      <c r="J61" s="21" t="n">
        <v>5000</v>
      </c>
      <c r="K61" s="12">
        <f>IF(J61&gt;0,ROUNDUP(I61/J61,0),0)</f>
        <v/>
      </c>
      <c r="L61" s="22">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8">
        <f>SUMIFS('Cable Schedule'!$AA$2:$AA$5800,'Cable Schedule'!$K$2:$K$5800,A62)</f>
        <v/>
      </c>
      <c r="G62" s="19">
        <f>SUMIFS('Cable Schedule'!$W$2:$W$5800,'Cable Schedule'!$K$2:$K$5800,A62)</f>
        <v/>
      </c>
      <c r="H62" s="20">
        <f>'Read Me'!$B$14</f>
        <v/>
      </c>
      <c r="I62" s="17">
        <f>ROUNDUP(G62*(1+H62),-2)</f>
        <v/>
      </c>
      <c r="J62" s="21" t="n">
        <v>5000</v>
      </c>
      <c r="K62" s="12">
        <f>IF(J62&gt;0,ROUNDUP(I62/J62,0),0)</f>
        <v/>
      </c>
      <c r="L62" s="22">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8">
        <f>SUMIFS('Cable Schedule'!$AA$2:$AA$5800,'Cable Schedule'!$K$2:$K$5800,A63)</f>
        <v/>
      </c>
      <c r="G63" s="19">
        <f>SUMIFS('Cable Schedule'!$W$2:$W$5800,'Cable Schedule'!$K$2:$K$5800,A63)</f>
        <v/>
      </c>
      <c r="H63" s="20">
        <f>'Read Me'!$B$14</f>
        <v/>
      </c>
      <c r="I63" s="17">
        <f>ROUNDUP(G63*(1+H63),-2)</f>
        <v/>
      </c>
      <c r="J63" s="21" t="n">
        <v>5000</v>
      </c>
      <c r="K63" s="12">
        <f>IF(J63&gt;0,ROUNDUP(I63/J63,0),0)</f>
        <v/>
      </c>
      <c r="L63" s="22">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8">
        <f>SUMIFS('Cable Schedule'!$AA$2:$AA$5800,'Cable Schedule'!$K$2:$K$5800,A64)</f>
        <v/>
      </c>
      <c r="G64" s="19">
        <f>SUMIFS('Cable Schedule'!$W$2:$W$5800,'Cable Schedule'!$K$2:$K$5800,A64)</f>
        <v/>
      </c>
      <c r="H64" s="20">
        <f>'Read Me'!$B$14</f>
        <v/>
      </c>
      <c r="I64" s="17">
        <f>ROUNDUP(G64*(1+H64),-2)</f>
        <v/>
      </c>
      <c r="J64" s="21" t="n">
        <v>5000</v>
      </c>
      <c r="K64" s="12">
        <f>IF(J64&gt;0,ROUNDUP(I64/J64,0),0)</f>
        <v/>
      </c>
      <c r="L64" s="22">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8">
        <f>SUMIFS('Cable Schedule'!$AA$2:$AA$5800,'Cable Schedule'!$K$2:$K$5800,A65)</f>
        <v/>
      </c>
      <c r="G65" s="19">
        <f>SUMIFS('Cable Schedule'!$W$2:$W$5800,'Cable Schedule'!$K$2:$K$5800,A65)</f>
        <v/>
      </c>
      <c r="H65" s="20">
        <f>'Read Me'!$B$14</f>
        <v/>
      </c>
      <c r="I65" s="17">
        <f>ROUNDUP(G65*(1+H65),-2)</f>
        <v/>
      </c>
      <c r="J65" s="21" t="n">
        <v>5000</v>
      </c>
      <c r="K65" s="12">
        <f>IF(J65&gt;0,ROUNDUP(I65/J65,0),0)</f>
        <v/>
      </c>
      <c r="L65" s="22">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8">
        <f>SUMIFS('Cable Schedule'!$AA$2:$AA$5800,'Cable Schedule'!$K$2:$K$5800,A66)</f>
        <v/>
      </c>
      <c r="G66" s="19">
        <f>SUMIFS('Cable Schedule'!$W$2:$W$5800,'Cable Schedule'!$K$2:$K$5800,A66)</f>
        <v/>
      </c>
      <c r="H66" s="20">
        <f>'Read Me'!$B$14</f>
        <v/>
      </c>
      <c r="I66" s="17">
        <f>ROUNDUP(G66*(1+H66),-2)</f>
        <v/>
      </c>
      <c r="J66" s="21" t="n">
        <v>5000</v>
      </c>
      <c r="K66" s="12">
        <f>IF(J66&gt;0,ROUNDUP(I66/J66,0),0)</f>
        <v/>
      </c>
      <c r="L66" s="22">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8">
        <f>SUMIFS('Cable Schedule'!$AA$2:$AA$5800,'Cable Schedule'!$K$2:$K$5800,A67)</f>
        <v/>
      </c>
      <c r="G67" s="19">
        <f>SUMIFS('Cable Schedule'!$W$2:$W$5800,'Cable Schedule'!$K$2:$K$5800,A67)</f>
        <v/>
      </c>
      <c r="H67" s="20">
        <f>'Read Me'!$B$14</f>
        <v/>
      </c>
      <c r="I67" s="17">
        <f>ROUNDUP(G67*(1+H67),-2)</f>
        <v/>
      </c>
      <c r="J67" s="21" t="n">
        <v>5000</v>
      </c>
      <c r="K67" s="12">
        <f>IF(J67&gt;0,ROUNDUP(I67/J67,0),0)</f>
        <v/>
      </c>
      <c r="L67" s="22">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8">
        <f>SUMIFS('Cable Schedule'!$AA$2:$AA$5800,'Cable Schedule'!$K$2:$K$5800,A68)</f>
        <v/>
      </c>
      <c r="G68" s="19">
        <f>SUMIFS('Cable Schedule'!$W$2:$W$5800,'Cable Schedule'!$K$2:$K$5800,A68)</f>
        <v/>
      </c>
      <c r="H68" s="20">
        <f>'Read Me'!$B$14</f>
        <v/>
      </c>
      <c r="I68" s="17">
        <f>ROUNDUP(G68*(1+H68),-2)</f>
        <v/>
      </c>
      <c r="J68" s="21" t="n">
        <v>5000</v>
      </c>
      <c r="K68" s="12">
        <f>IF(J68&gt;0,ROUNDUP(I68/J68,0),0)</f>
        <v/>
      </c>
      <c r="L68" s="22">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8">
        <f>SUMIFS('Cable Schedule'!$AA$2:$AA$5800,'Cable Schedule'!$K$2:$K$5800,A69)</f>
        <v/>
      </c>
      <c r="G69" s="19">
        <f>SUMIFS('Cable Schedule'!$W$2:$W$5800,'Cable Schedule'!$K$2:$K$5800,A69)</f>
        <v/>
      </c>
      <c r="H69" s="20">
        <f>'Read Me'!$B$14</f>
        <v/>
      </c>
      <c r="I69" s="17">
        <f>ROUNDUP(G69*(1+H69),-2)</f>
        <v/>
      </c>
      <c r="J69" s="21" t="n">
        <v>5000</v>
      </c>
      <c r="K69" s="12">
        <f>IF(J69&gt;0,ROUNDUP(I69/J69,0),0)</f>
        <v/>
      </c>
      <c r="L69" s="22">
        <f>I69*0.3048/1000</f>
        <v/>
      </c>
    </row>
    <row r="70">
      <c r="A70" s="12" t="inlineStr">
        <is>
          <t>RTD|1 tri|18</t>
        </is>
      </c>
      <c r="B70" s="12" t="inlineStr">
        <is>
          <t>Instrumentation</t>
        </is>
      </c>
      <c r="C70" s="12" t="inlineStr">
        <is>
          <t>RTD cable, #18 shielded triads, PLTC</t>
        </is>
      </c>
      <c r="D70" s="12" t="inlineStr">
        <is>
          <t>1 tri</t>
        </is>
      </c>
      <c r="E70" s="12" t="inlineStr">
        <is>
          <t>18</t>
        </is>
      </c>
      <c r="F70" s="18">
        <f>SUMIFS('Cable Schedule'!$AA$2:$AA$5800,'Cable Schedule'!$K$2:$K$5800,A70)</f>
        <v/>
      </c>
      <c r="G70" s="19">
        <f>SUMIFS('Cable Schedule'!$W$2:$W$5800,'Cable Schedule'!$K$2:$K$5800,A70)</f>
        <v/>
      </c>
      <c r="H70" s="20">
        <f>'Read Me'!$B$14</f>
        <v/>
      </c>
      <c r="I70" s="17">
        <f>ROUNDUP(G70*(1+H70),-2)</f>
        <v/>
      </c>
      <c r="J70" s="21" t="n">
        <v>5000</v>
      </c>
      <c r="K70" s="12">
        <f>IF(J70&gt;0,ROUNDUP(I70/J70,0),0)</f>
        <v/>
      </c>
      <c r="L70" s="22">
        <f>I70*0.3048/1000</f>
        <v/>
      </c>
    </row>
    <row r="71">
      <c r="A71" s="12" t="inlineStr">
        <is>
          <t>RTD|12 tri|18</t>
        </is>
      </c>
      <c r="B71" s="12" t="inlineStr">
        <is>
          <t>Instrumentation</t>
        </is>
      </c>
      <c r="C71" s="12" t="inlineStr">
        <is>
          <t>RTD cable, #18 shielded triads, PLTC</t>
        </is>
      </c>
      <c r="D71" s="12" t="inlineStr">
        <is>
          <t>12 tri</t>
        </is>
      </c>
      <c r="E71" s="12" t="inlineStr">
        <is>
          <t>18</t>
        </is>
      </c>
      <c r="F71" s="18">
        <f>SUMIFS('Cable Schedule'!$AA$2:$AA$5800,'Cable Schedule'!$K$2:$K$5800,A71)</f>
        <v/>
      </c>
      <c r="G71" s="19">
        <f>SUMIFS('Cable Schedule'!$W$2:$W$5800,'Cable Schedule'!$K$2:$K$5800,A71)</f>
        <v/>
      </c>
      <c r="H71" s="20">
        <f>'Read Me'!$B$14</f>
        <v/>
      </c>
      <c r="I71" s="17">
        <f>ROUNDUP(G71*(1+H71),-2)</f>
        <v/>
      </c>
      <c r="J71" s="21" t="n">
        <v>5000</v>
      </c>
      <c r="K71" s="12">
        <f>IF(J71&gt;0,ROUNDUP(I71/J71,0),0)</f>
        <v/>
      </c>
      <c r="L71" s="22">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8">
        <f>SUMIFS('Cable Schedule'!$AA$2:$AA$5800,'Cable Schedule'!$K$2:$K$5800,A72)</f>
        <v/>
      </c>
      <c r="G72" s="19">
        <f>SUMIFS('Cable Schedule'!$W$2:$W$5800,'Cable Schedule'!$K$2:$K$5800,A72)</f>
        <v/>
      </c>
      <c r="H72" s="20">
        <f>'Read Me'!$B$14</f>
        <v/>
      </c>
      <c r="I72" s="17">
        <f>ROUNDUP(G72*(1+H72),-2)</f>
        <v/>
      </c>
      <c r="J72" s="21" t="n">
        <v>5000</v>
      </c>
      <c r="K72" s="12">
        <f>IF(J72&gt;0,ROUNDUP(I72/J72,0),0)</f>
        <v/>
      </c>
      <c r="L72" s="22">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8">
        <f>SUMIFS('Cable Schedule'!$AA$2:$AA$5800,'Cable Schedule'!$K$2:$K$5800,A73)</f>
        <v/>
      </c>
      <c r="G73" s="19">
        <f>SUMIFS('Cable Schedule'!$W$2:$W$5800,'Cable Schedule'!$K$2:$K$5800,A73)</f>
        <v/>
      </c>
      <c r="H73" s="20">
        <f>'Read Me'!$B$14</f>
        <v/>
      </c>
      <c r="I73" s="17">
        <f>ROUNDUP(G73*(1+H73),-2)</f>
        <v/>
      </c>
      <c r="J73" s="21" t="n">
        <v>5000</v>
      </c>
      <c r="K73" s="12">
        <f>IF(J73&gt;0,ROUNDUP(I73/J73,0),0)</f>
        <v/>
      </c>
      <c r="L73" s="22">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8">
        <f>SUMIFS('Cable Schedule'!$AA$2:$AA$5800,'Cable Schedule'!$K$2:$K$5800,A74)</f>
        <v/>
      </c>
      <c r="G74" s="19">
        <f>SUMIFS('Cable Schedule'!$W$2:$W$5800,'Cable Schedule'!$K$2:$K$5800,A74)</f>
        <v/>
      </c>
      <c r="H74" s="20">
        <f>'Read Me'!$B$14</f>
        <v/>
      </c>
      <c r="I74" s="17">
        <f>ROUNDUP(G74*(1+H74),-2)</f>
        <v/>
      </c>
      <c r="J74" s="21" t="n">
        <v>5000</v>
      </c>
      <c r="K74" s="12">
        <f>IF(J74&gt;0,ROUNDUP(I74/J74,0),0)</f>
        <v/>
      </c>
      <c r="L74" s="22">
        <f>I74*0.3048/1000</f>
        <v/>
      </c>
    </row>
    <row r="75">
      <c r="A75" s="12" t="inlineStr">
        <is>
          <t>FA|2/C|14</t>
        </is>
      </c>
      <c r="B75" s="12" t="inlineStr">
        <is>
          <t>Fire alarm</t>
        </is>
      </c>
      <c r="C75" s="12" t="inlineStr">
        <is>
          <t>Fire alarm FPLR 2/C #14 shielded, red jacket (NEC 760)</t>
        </is>
      </c>
      <c r="D75" s="12" t="inlineStr">
        <is>
          <t>2/C</t>
        </is>
      </c>
      <c r="E75" s="12" t="inlineStr">
        <is>
          <t>14</t>
        </is>
      </c>
      <c r="F75" s="18">
        <f>SUMIFS('Cable Schedule'!$AA$2:$AA$5800,'Cable Schedule'!$K$2:$K$5800,A75)</f>
        <v/>
      </c>
      <c r="G75" s="19">
        <f>SUMIFS('Cable Schedule'!$W$2:$W$5800,'Cable Schedule'!$K$2:$K$5800,A75)</f>
        <v/>
      </c>
      <c r="H75" s="20">
        <f>'Read Me'!$B$14</f>
        <v/>
      </c>
      <c r="I75" s="17">
        <f>ROUNDUP(G75*(1+H75),-2)</f>
        <v/>
      </c>
      <c r="J75" s="21" t="n">
        <v>5000</v>
      </c>
      <c r="K75" s="12">
        <f>IF(J75&gt;0,ROUNDUP(I75/J75,0),0)</f>
        <v/>
      </c>
      <c r="L75" s="22">
        <f>I75*0.3048/1000</f>
        <v/>
      </c>
    </row>
    <row r="76">
      <c r="A76" s="12" t="inlineStr">
        <is>
          <t>CAT6|4-pr|23</t>
        </is>
      </c>
      <c r="B76" s="12" t="inlineStr">
        <is>
          <t>Fibre / data</t>
        </is>
      </c>
      <c r="C76" s="12" t="inlineStr">
        <is>
          <t>Cat 6A U/FTP 4-pair 23 AWG, plenum CMP (data drops)</t>
        </is>
      </c>
      <c r="D76" s="12" t="inlineStr">
        <is>
          <t>4-pr</t>
        </is>
      </c>
      <c r="E76" s="12" t="inlineStr">
        <is>
          <t>23</t>
        </is>
      </c>
      <c r="F76" s="18">
        <f>SUMIFS('Cable Schedule'!$AA$2:$AA$5800,'Cable Schedule'!$K$2:$K$5800,A76)</f>
        <v/>
      </c>
      <c r="G76" s="19">
        <f>SUMIFS('Cable Schedule'!$W$2:$W$5800,'Cable Schedule'!$K$2:$K$5800,A76)</f>
        <v/>
      </c>
      <c r="H76" s="20">
        <f>'Read Me'!$B$14</f>
        <v/>
      </c>
      <c r="I76" s="17">
        <f>ROUNDUP(G76*(1+H76),-2)</f>
        <v/>
      </c>
      <c r="J76" s="21" t="n">
        <v>1000</v>
      </c>
      <c r="K76" s="12">
        <f>IF(J76&gt;0,ROUNDUP(I76/J76,0),0)</f>
        <v/>
      </c>
      <c r="L76" s="22">
        <f>I76*0.3048/1000</f>
        <v/>
      </c>
    </row>
    <row r="77">
      <c r="A77" s="12" t="inlineStr">
        <is>
          <t>FO|12 SM|-</t>
        </is>
      </c>
      <c r="B77" s="12" t="inlineStr">
        <is>
          <t>Fibre / data</t>
        </is>
      </c>
      <c r="C77" s="12" t="inlineStr">
        <is>
          <t>Fibre optic, single-mode, 12-fibre, armored, orange jacket</t>
        </is>
      </c>
      <c r="D77" s="12" t="inlineStr">
        <is>
          <t>12 SM</t>
        </is>
      </c>
      <c r="E77" s="12" t="inlineStr">
        <is>
          <t>-</t>
        </is>
      </c>
      <c r="F77" s="18">
        <f>SUMIFS('Cable Schedule'!$AA$2:$AA$5800,'Cable Schedule'!$K$2:$K$5800,A77)</f>
        <v/>
      </c>
      <c r="G77" s="19">
        <f>SUMIFS('Cable Schedule'!$W$2:$W$5800,'Cable Schedule'!$K$2:$K$5800,A77)</f>
        <v/>
      </c>
      <c r="H77" s="20">
        <f>'Read Me'!$B$14</f>
        <v/>
      </c>
      <c r="I77" s="17">
        <f>ROUNDUP(G77*(1+H77),-2)</f>
        <v/>
      </c>
      <c r="J77" s="21" t="n">
        <v>10000</v>
      </c>
      <c r="K77" s="12">
        <f>IF(J77&gt;0,ROUNDUP(I77/J77,0),0)</f>
        <v/>
      </c>
      <c r="L77" s="22">
        <f>I77*0.3048/1000</f>
        <v/>
      </c>
    </row>
    <row r="78">
      <c r="A78" s="12" t="inlineStr">
        <is>
          <t>PV|1/C|500</t>
        </is>
      </c>
      <c r="B78" s="12" t="inlineStr">
        <is>
          <t>DC 2 kV</t>
        </is>
      </c>
      <c r="C78" s="12" t="inlineStr">
        <is>
          <t>PV / RHW-2 2 kV 1/C Cu, XLPE (DC)</t>
        </is>
      </c>
      <c r="D78" s="12" t="inlineStr">
        <is>
          <t>1/C</t>
        </is>
      </c>
      <c r="E78" s="12" t="inlineStr">
        <is>
          <t>500 kcmil</t>
        </is>
      </c>
      <c r="F78" s="18">
        <f>SUMIFS('Cable Schedule'!$AA$2:$AA$5800,'Cable Schedule'!$K$2:$K$5800,A78)</f>
        <v/>
      </c>
      <c r="G78" s="19">
        <f>SUMIFS('Cable Schedule'!$W$2:$W$5800,'Cable Schedule'!$K$2:$K$5800,A78)</f>
        <v/>
      </c>
      <c r="H78" s="20">
        <f>'Read Me'!$B$14</f>
        <v/>
      </c>
      <c r="I78" s="17">
        <f>ROUNDUP(G78*(1+H78),-2)</f>
        <v/>
      </c>
      <c r="J78" s="21" t="n">
        <v>2500</v>
      </c>
      <c r="K78" s="12">
        <f>IF(J78&gt;0,ROUNDUP(I78/J78,0),0)</f>
        <v/>
      </c>
      <c r="L78" s="22">
        <f>I78*0.3048/1000</f>
        <v/>
      </c>
    </row>
    <row r="79">
      <c r="A79" s="12" t="inlineStr">
        <is>
          <t>SHD|3/C|2</t>
        </is>
      </c>
      <c r="B79" s="12" t="inlineStr">
        <is>
          <t>Portable MV</t>
        </is>
      </c>
      <c r="C79" s="12" t="inlineStr">
        <is>
          <t>Type SHD-GC 15 kV 3/C Cu, 2 grounds + GC, yellow CPE (portable)</t>
        </is>
      </c>
      <c r="D79" s="12" t="inlineStr">
        <is>
          <t>3/C</t>
        </is>
      </c>
      <c r="E79" s="12" t="inlineStr">
        <is>
          <t>2</t>
        </is>
      </c>
      <c r="F79" s="18">
        <f>SUMIFS('Cable Schedule'!$AA$2:$AA$5800,'Cable Schedule'!$K$2:$K$5800,A79)</f>
        <v/>
      </c>
      <c r="G79" s="19">
        <f>SUMIFS('Cable Schedule'!$W$2:$W$5800,'Cable Schedule'!$K$2:$K$5800,A79)</f>
        <v/>
      </c>
      <c r="H79" s="20">
        <f>'Read Me'!$B$14</f>
        <v/>
      </c>
      <c r="I79" s="17">
        <f>ROUNDUP(G79*(1+H79),-2)</f>
        <v/>
      </c>
      <c r="J79" s="21" t="n">
        <v>1000</v>
      </c>
      <c r="K79" s="12">
        <f>IF(J79&gt;0,ROUNDUP(I79/J79,0),0)</f>
        <v/>
      </c>
      <c r="L79" s="22">
        <f>I79*0.3048/1000</f>
        <v/>
      </c>
    </row>
    <row r="80">
      <c r="A80" s="12" t="inlineStr">
        <is>
          <t>W|1/C|4/0</t>
        </is>
      </c>
      <c r="B80" s="12" t="inlineStr">
        <is>
          <t>Portable LV</t>
        </is>
      </c>
      <c r="C80" s="12" t="inlineStr">
        <is>
          <t>Type W 2 kV 1/C Cu, EPDM / CPE (portable, cam-lock)</t>
        </is>
      </c>
      <c r="D80" s="12" t="inlineStr">
        <is>
          <t>1/C</t>
        </is>
      </c>
      <c r="E80" s="12" t="inlineStr">
        <is>
          <t>4/0</t>
        </is>
      </c>
      <c r="F80" s="18">
        <f>SUMIFS('Cable Schedule'!$AA$2:$AA$5800,'Cable Schedule'!$K$2:$K$5800,A80)</f>
        <v/>
      </c>
      <c r="G80" s="19">
        <f>SUMIFS('Cable Schedule'!$W$2:$W$5800,'Cable Schedule'!$K$2:$K$5800,A80)</f>
        <v/>
      </c>
      <c r="H80" s="20">
        <f>'Read Me'!$B$14</f>
        <v/>
      </c>
      <c r="I80" s="17">
        <f>ROUNDUP(G80*(1+H80),-2)</f>
        <v/>
      </c>
      <c r="J80" s="21" t="n">
        <v>1000</v>
      </c>
      <c r="K80" s="12">
        <f>IF(J80&gt;0,ROUNDUP(I80/J80,0),0)</f>
        <v/>
      </c>
      <c r="L80" s="22">
        <f>I80*0.3048/1000</f>
        <v/>
      </c>
    </row>
    <row r="81">
      <c r="A81" s="12" t="inlineStr">
        <is>
          <t>MC|2/C+G|12</t>
        </is>
      </c>
      <c r="B81" s="12" t="inlineStr">
        <is>
          <t>Building wire</t>
        </is>
      </c>
      <c r="C81" s="12" t="inlineStr">
        <is>
          <t>Southwire MC 600 V, Cu THHN, Al interlocked armour (branch circuits)</t>
        </is>
      </c>
      <c r="D81" s="12" t="inlineStr">
        <is>
          <t>2/C+G</t>
        </is>
      </c>
      <c r="E81" s="12" t="inlineStr">
        <is>
          <t>12</t>
        </is>
      </c>
      <c r="F81" s="18">
        <f>SUMIFS('Cable Schedule'!$AA$2:$AA$5800,'Cable Schedule'!$K$2:$K$5800,A81)</f>
        <v/>
      </c>
      <c r="G81" s="19">
        <f>SUMIFS('Cable Schedule'!$W$2:$W$5800,'Cable Schedule'!$K$2:$K$5800,A81)</f>
        <v/>
      </c>
      <c r="H81" s="20">
        <f>'Read Me'!$B$14</f>
        <v/>
      </c>
      <c r="I81" s="17">
        <f>ROUNDUP(G81*(1+H81),-2)</f>
        <v/>
      </c>
      <c r="J81" s="21" t="n">
        <v>1000</v>
      </c>
      <c r="K81" s="12">
        <f>IF(J81&gt;0,ROUNDUP(I81/J81,0),0)</f>
        <v/>
      </c>
      <c r="L81" s="22">
        <f>I81*0.3048/1000</f>
        <v/>
      </c>
    </row>
    <row r="82">
      <c r="A82" s="12" t="inlineStr">
        <is>
          <t>MC|3/C+G|12</t>
        </is>
      </c>
      <c r="B82" s="12" t="inlineStr">
        <is>
          <t>Building wire</t>
        </is>
      </c>
      <c r="C82" s="12" t="inlineStr">
        <is>
          <t>Southwire MC 600 V, Cu THHN, Al interlocked armour (branch circuits)</t>
        </is>
      </c>
      <c r="D82" s="12" t="inlineStr">
        <is>
          <t>3/C+G</t>
        </is>
      </c>
      <c r="E82" s="12" t="inlineStr">
        <is>
          <t>12</t>
        </is>
      </c>
      <c r="F82" s="18">
        <f>SUMIFS('Cable Schedule'!$AA$2:$AA$5800,'Cable Schedule'!$K$2:$K$5800,A82)</f>
        <v/>
      </c>
      <c r="G82" s="19">
        <f>SUMIFS('Cable Schedule'!$W$2:$W$5800,'Cable Schedule'!$K$2:$K$5800,A82)</f>
        <v/>
      </c>
      <c r="H82" s="20">
        <f>'Read Me'!$B$14</f>
        <v/>
      </c>
      <c r="I82" s="17">
        <f>ROUNDUP(G82*(1+H82),-2)</f>
        <v/>
      </c>
      <c r="J82" s="21" t="n">
        <v>1000</v>
      </c>
      <c r="K82" s="12">
        <f>IF(J82&gt;0,ROUNDUP(I82/J82,0),0)</f>
        <v/>
      </c>
      <c r="L82" s="22">
        <f>I82*0.3048/1000</f>
        <v/>
      </c>
    </row>
    <row r="83">
      <c r="A83" s="12" t="inlineStr">
        <is>
          <t>THHN|1/C|12</t>
        </is>
      </c>
      <c r="B83" s="12" t="inlineStr">
        <is>
          <t>Building wire</t>
        </is>
      </c>
      <c r="C83" s="12" t="inlineStr">
        <is>
          <t>SIMpull THHN/THWN-2 600 V 1/C Cu (lighting, receptacles, small power)</t>
        </is>
      </c>
      <c r="D83" s="12" t="inlineStr">
        <is>
          <t>1/C</t>
        </is>
      </c>
      <c r="E83" s="12" t="inlineStr">
        <is>
          <t>12</t>
        </is>
      </c>
      <c r="F83" s="18">
        <f>SUMIFS('Cable Schedule'!$AA$2:$AA$5800,'Cable Schedule'!$K$2:$K$5800,A83)</f>
        <v/>
      </c>
      <c r="G83" s="19">
        <f>SUMIFS('Cable Schedule'!$W$2:$W$5800,'Cable Schedule'!$K$2:$K$5800,A83)</f>
        <v/>
      </c>
      <c r="H83" s="20">
        <f>'Read Me'!$B$14</f>
        <v/>
      </c>
      <c r="I83" s="17">
        <f>ROUNDUP(G83*(1+H83),-2)</f>
        <v/>
      </c>
      <c r="J83" s="21" t="n">
        <v>5000</v>
      </c>
      <c r="K83" s="12">
        <f>IF(J83&gt;0,ROUNDUP(I83/J83,0),0)</f>
        <v/>
      </c>
      <c r="L83" s="22">
        <f>I83*0.3048/1000</f>
        <v/>
      </c>
    </row>
    <row r="84">
      <c r="A84" s="12" t="inlineStr">
        <is>
          <t>THHN|1/C|4</t>
        </is>
      </c>
      <c r="B84" s="12" t="inlineStr">
        <is>
          <t>Building wire</t>
        </is>
      </c>
      <c r="C84" s="12" t="inlineStr">
        <is>
          <t>SIMpull THHN/THWN-2 600 V 1/C Cu (lighting, receptacles, small power)</t>
        </is>
      </c>
      <c r="D84" s="12" t="inlineStr">
        <is>
          <t>1/C</t>
        </is>
      </c>
      <c r="E84" s="12" t="inlineStr">
        <is>
          <t>4</t>
        </is>
      </c>
      <c r="F84" s="18">
        <f>SUMIFS('Cable Schedule'!$AA$2:$AA$5800,'Cable Schedule'!$K$2:$K$5800,A84)</f>
        <v/>
      </c>
      <c r="G84" s="19">
        <f>SUMIFS('Cable Schedule'!$W$2:$W$5800,'Cable Schedule'!$K$2:$K$5800,A84)</f>
        <v/>
      </c>
      <c r="H84" s="20">
        <f>'Read Me'!$B$14</f>
        <v/>
      </c>
      <c r="I84" s="17">
        <f>ROUNDUP(G84*(1+H84),-2)</f>
        <v/>
      </c>
      <c r="J84" s="21" t="n">
        <v>5000</v>
      </c>
      <c r="K84" s="12">
        <f>IF(J84&gt;0,ROUNDUP(I84/J84,0),0)</f>
        <v/>
      </c>
      <c r="L84" s="22">
        <f>I84*0.3048/1000</f>
        <v/>
      </c>
    </row>
    <row r="85">
      <c r="A85" s="12" t="inlineStr">
        <is>
          <t>THHN|1/C|2</t>
        </is>
      </c>
      <c r="B85" s="12" t="inlineStr">
        <is>
          <t>Building wire</t>
        </is>
      </c>
      <c r="C85" s="12" t="inlineStr">
        <is>
          <t>SIMpull THHN/THWN-2 600 V 1/C Cu (lighting, receptacles, small power)</t>
        </is>
      </c>
      <c r="D85" s="12" t="inlineStr">
        <is>
          <t>1/C</t>
        </is>
      </c>
      <c r="E85" s="12" t="inlineStr">
        <is>
          <t>2</t>
        </is>
      </c>
      <c r="F85" s="18">
        <f>SUMIFS('Cable Schedule'!$AA$2:$AA$5800,'Cable Schedule'!$K$2:$K$5800,A85)</f>
        <v/>
      </c>
      <c r="G85" s="19">
        <f>SUMIFS('Cable Schedule'!$W$2:$W$5800,'Cable Schedule'!$K$2:$K$5800,A85)</f>
        <v/>
      </c>
      <c r="H85" s="20">
        <f>'Read Me'!$B$14</f>
        <v/>
      </c>
      <c r="I85" s="17">
        <f>ROUNDUP(G85*(1+H85),-2)</f>
        <v/>
      </c>
      <c r="J85" s="21" t="n">
        <v>5000</v>
      </c>
      <c r="K85" s="12">
        <f>IF(J85&gt;0,ROUNDUP(I85/J85,0),0)</f>
        <v/>
      </c>
      <c r="L85" s="22">
        <f>I85*0.3048/1000</f>
        <v/>
      </c>
    </row>
    <row r="86">
      <c r="A86" s="12" t="inlineStr">
        <is>
          <t>THHN|1/C|1</t>
        </is>
      </c>
      <c r="B86" s="12" t="inlineStr">
        <is>
          <t>Building wire</t>
        </is>
      </c>
      <c r="C86" s="12" t="inlineStr">
        <is>
          <t>SIMpull THHN/THWN-2 600 V 1/C Cu (lighting, receptacles, small power)</t>
        </is>
      </c>
      <c r="D86" s="12" t="inlineStr">
        <is>
          <t>1/C</t>
        </is>
      </c>
      <c r="E86" s="12" t="inlineStr">
        <is>
          <t>1</t>
        </is>
      </c>
      <c r="F86" s="18">
        <f>SUMIFS('Cable Schedule'!$AA$2:$AA$5800,'Cable Schedule'!$K$2:$K$5800,A86)</f>
        <v/>
      </c>
      <c r="G86" s="19">
        <f>SUMIFS('Cable Schedule'!$W$2:$W$5800,'Cable Schedule'!$K$2:$K$5800,A86)</f>
        <v/>
      </c>
      <c r="H86" s="20">
        <f>'Read Me'!$B$14</f>
        <v/>
      </c>
      <c r="I86" s="17">
        <f>ROUNDUP(G86*(1+H86),-2)</f>
        <v/>
      </c>
      <c r="J86" s="21" t="n">
        <v>5000</v>
      </c>
      <c r="K86" s="12">
        <f>IF(J86&gt;0,ROUNDUP(I86/J86,0),0)</f>
        <v/>
      </c>
      <c r="L86" s="22">
        <f>I86*0.3048/1000</f>
        <v/>
      </c>
    </row>
    <row r="87">
      <c r="A87" s="12" t="inlineStr">
        <is>
          <t>THHN|1/C|4/0</t>
        </is>
      </c>
      <c r="B87" s="12" t="inlineStr">
        <is>
          <t>Building wire</t>
        </is>
      </c>
      <c r="C87" s="12" t="inlineStr">
        <is>
          <t>SIMpull THHN/THWN-2 600 V 1/C Cu (lighting, receptacles, small power)</t>
        </is>
      </c>
      <c r="D87" s="12" t="inlineStr">
        <is>
          <t>1/C</t>
        </is>
      </c>
      <c r="E87" s="12" t="inlineStr">
        <is>
          <t>4/0</t>
        </is>
      </c>
      <c r="F87" s="18">
        <f>SUMIFS('Cable Schedule'!$AA$2:$AA$5800,'Cable Schedule'!$K$2:$K$5800,A87)</f>
        <v/>
      </c>
      <c r="G87" s="19">
        <f>SUMIFS('Cable Schedule'!$W$2:$W$5800,'Cable Schedule'!$K$2:$K$5800,A87)</f>
        <v/>
      </c>
      <c r="H87" s="20">
        <f>'Read Me'!$B$14</f>
        <v/>
      </c>
      <c r="I87" s="17">
        <f>ROUNDUP(G87*(1+H87),-2)</f>
        <v/>
      </c>
      <c r="J87" s="21" t="n">
        <v>5000</v>
      </c>
      <c r="K87" s="12">
        <f>IF(J87&gt;0,ROUNDUP(I87/J87,0),0)</f>
        <v/>
      </c>
      <c r="L87" s="22">
        <f>I87*0.3048/1000</f>
        <v/>
      </c>
    </row>
    <row r="88">
      <c r="A88" s="12" t="inlineStr">
        <is>
          <t>THHN|1/C|3</t>
        </is>
      </c>
      <c r="B88" s="12" t="inlineStr">
        <is>
          <t>Building wire</t>
        </is>
      </c>
      <c r="C88" s="12" t="inlineStr">
        <is>
          <t>SIMpull THHN/THWN-2 600 V 1/C Cu (lighting, receptacles, small power)</t>
        </is>
      </c>
      <c r="D88" s="12" t="inlineStr">
        <is>
          <t>1/C</t>
        </is>
      </c>
      <c r="E88" s="12" t="inlineStr">
        <is>
          <t>3</t>
        </is>
      </c>
      <c r="F88" s="18">
        <f>SUMIFS('Cable Schedule'!$AA$2:$AA$5800,'Cable Schedule'!$K$2:$K$5800,A88)</f>
        <v/>
      </c>
      <c r="G88" s="19">
        <f>SUMIFS('Cable Schedule'!$W$2:$W$5800,'Cable Schedule'!$K$2:$K$5800,A88)</f>
        <v/>
      </c>
      <c r="H88" s="20">
        <f>'Read Me'!$B$14</f>
        <v/>
      </c>
      <c r="I88" s="17">
        <f>ROUNDUP(G88*(1+H88),-2)</f>
        <v/>
      </c>
      <c r="J88" s="21" t="n">
        <v>5000</v>
      </c>
      <c r="K88" s="12">
        <f>IF(J88&gt;0,ROUNDUP(I88/J88,0),0)</f>
        <v/>
      </c>
      <c r="L88" s="22">
        <f>I88*0.3048/1000</f>
        <v/>
      </c>
    </row>
    <row r="89">
      <c r="A89" s="12" t="inlineStr">
        <is>
          <t>BARE|1/C|4/0</t>
        </is>
      </c>
      <c r="B89" s="12" t="inlineStr">
        <is>
          <t>Grounding</t>
        </is>
      </c>
      <c r="C89" s="12" t="inlineStr">
        <is>
          <t>Bare Cu 4/0 AWG, 19 strand (ground grid and equipment grounds)</t>
        </is>
      </c>
      <c r="D89" s="12" t="inlineStr">
        <is>
          <t>1/C</t>
        </is>
      </c>
      <c r="E89" s="12" t="inlineStr">
        <is>
          <t>4/0</t>
        </is>
      </c>
      <c r="F89" s="18">
        <f>SUMIFS('Cable Schedule'!$AA$2:$AA$5800,'Cable Schedule'!$K$2:$K$5800,A89)</f>
        <v/>
      </c>
      <c r="G89" s="19">
        <f>SUMIFS('Cable Schedule'!$W$2:$W$5800,'Cable Schedule'!$K$2:$K$5800,A89)</f>
        <v/>
      </c>
      <c r="H89" s="20">
        <f>'Read Me'!$B$14</f>
        <v/>
      </c>
      <c r="I89" s="17">
        <f>ROUNDUP(G89*(1+H89),-2)</f>
        <v/>
      </c>
      <c r="J89" s="21" t="n">
        <v>5000</v>
      </c>
      <c r="K89" s="12">
        <f>IF(J89&gt;0,ROUNDUP(I89/J89,0),0)</f>
        <v/>
      </c>
      <c r="L89" s="22">
        <f>I89*0.3048/1000</f>
        <v/>
      </c>
    </row>
    <row r="90">
      <c r="A90" s="12" t="inlineStr">
        <is>
          <t>ACSR|1/C|1590</t>
        </is>
      </c>
      <c r="B90" s="12" t="inlineStr">
        <is>
          <t>Overhead</t>
        </is>
      </c>
      <c r="C90" s="12" t="inlineStr">
        <is>
          <t>Overhead conductor ACSR 1590 kcmil 'Falcon' (typ.)</t>
        </is>
      </c>
      <c r="D90" s="12" t="inlineStr">
        <is>
          <t>1/C</t>
        </is>
      </c>
      <c r="E90" s="12" t="inlineStr">
        <is>
          <t>1590 kcmil</t>
        </is>
      </c>
      <c r="F90" s="18">
        <f>SUMIFS('Cable Schedule'!$AA$2:$AA$5800,'Cable Schedule'!$K$2:$K$5800,A90)</f>
        <v/>
      </c>
      <c r="G90" s="19">
        <f>SUMIFS('Cable Schedule'!$W$2:$W$5800,'Cable Schedule'!$K$2:$K$5800,A90)</f>
        <v/>
      </c>
      <c r="H90" s="20">
        <f>'Read Me'!$B$14</f>
        <v/>
      </c>
      <c r="I90" s="17">
        <f>ROUNDUP(G90*(1+H90),-2)</f>
        <v/>
      </c>
      <c r="J90" s="21" t="n">
        <v>7000</v>
      </c>
      <c r="K90" s="12">
        <f>IF(J90&gt;0,ROUNDUP(I90/J90,0),0)</f>
        <v/>
      </c>
      <c r="L90" s="22">
        <f>I90*0.3048/1000</f>
        <v/>
      </c>
    </row>
    <row r="91">
      <c r="C91" s="23" t="inlineStr">
        <is>
          <t>Total</t>
        </is>
      </c>
      <c r="F91" s="24">
        <f>SUM(F2:F90)</f>
        <v/>
      </c>
      <c r="G91" s="24">
        <f>SUM(G2:G90)</f>
        <v/>
      </c>
      <c r="I91" s="24">
        <f>SUM(I2:I90)</f>
        <v/>
      </c>
      <c r="K91" s="24">
        <f>SUM(K2:K90)</f>
        <v/>
      </c>
      <c r="L91" s="25">
        <f>SUM(L2:L90)</f>
        <v/>
      </c>
    </row>
    <row r="93">
      <c r="A93"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Schedule'!X2:X5800)</f>
        <v/>
      </c>
    </row>
    <row r="3">
      <c r="A3" s="12" t="inlineStr">
        <is>
          <t>ARMOR-X / Type W connectors and glands</t>
        </is>
      </c>
      <c r="B3" s="19">
        <f>SUM('Cable Schedule'!Y2:Y5800)</f>
        <v/>
      </c>
    </row>
    <row r="4">
      <c r="A4" s="12" t="inlineStr">
        <is>
          <t>MV splice kits (allowance: 1 per 2,500 ft of MV 1/C)</t>
        </is>
      </c>
      <c r="B4" s="19">
        <f>ROUNDUP(SUMIFS('Cable Schedule'!W2:W5800,'Cable Schedule'!I2:I5800,"MV*",'Cable Schedule'!L2:L5800,"1/C")/2500,0)</f>
        <v/>
      </c>
    </row>
    <row r="5">
      <c r="A5" s="12" t="inlineStr">
        <is>
          <t>230 kV outdoor terminations</t>
        </is>
      </c>
      <c r="B5" s="19">
        <f>2*SUMIFS('Cable Schedule'!O2:O5800,'Cable Schedule'!I2:I5800,"HV 230 kV")</f>
        <v/>
      </c>
    </row>
    <row r="6">
      <c r="A6" s="12" t="inlineStr">
        <is>
          <t>600 V compression lugs (power, 4 per end)</t>
        </is>
      </c>
      <c r="B6" s="19">
        <f>2*4*SUMIFS('Cable Schedule'!N2:N5800,'Cable Schedule'!I2:I5800,"LV 600 V")</f>
        <v/>
      </c>
    </row>
    <row r="7">
      <c r="A7" s="12" t="inlineStr">
        <is>
          <t>Instrument / control cable glands (2 per run)</t>
        </is>
      </c>
      <c r="B7" s="19">
        <f>2*(COUNTIF('Cable Schedule'!I2:I5800,"Control")+COUNTIF('Cable Schedule'!I2:I5800,"Instrumentation"))</f>
        <v/>
      </c>
    </row>
    <row r="8">
      <c r="A8" s="12" t="inlineStr">
        <is>
          <t>Fibre patch / termination (2 per link)</t>
        </is>
      </c>
      <c r="B8" s="19">
        <f>2*COUNTIF('Cable Schedule'!I2:I5800,"Fibre / data")</f>
        <v/>
      </c>
    </row>
    <row r="9">
      <c r="A9" s="12" t="inlineStr">
        <is>
          <t>Ground connections: exothermic welds (allowance 1 per 25 ft of grid)</t>
        </is>
      </c>
      <c r="B9" s="19">
        <f>ROUNDUP(SUMIFS('Cable Schedule'!W2:W5800,'Cable Schedule'!I2:I5800,"Grounding")/25,0)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Schedule'!$W$2:$W$5800,'Cable Schedule'!$B$2:$B$5800,"A",'Cable Schedule'!$I$2:$I$5800,"MV 15 kV")</f>
        <v/>
      </c>
      <c r="C3" s="19">
        <f>SUMIFS('Cable Schedule'!$W$2:$W$5800,'Cable Schedule'!$B$2:$B$5800,"A",'Cable Schedule'!$I$2:$I$5800,"MV 5 kV")</f>
        <v/>
      </c>
      <c r="D3" s="19">
        <f>SUMIFS('Cable Schedule'!$W$2:$W$5800,'Cable Schedule'!$B$2:$B$5800,"A",'Cable Schedule'!$I$2:$I$5800,"MV 25 kV")</f>
        <v/>
      </c>
      <c r="E3" s="19">
        <f>SUMIFS('Cable Schedule'!$W$2:$W$5800,'Cable Schedule'!$B$2:$B$5800,"A",'Cable Schedule'!$I$2:$I$5800,"MV 35 kV")</f>
        <v/>
      </c>
      <c r="F3" s="19">
        <f>SUMIFS('Cable Schedule'!$W$2:$W$5800,'Cable Schedule'!$B$2:$B$5800,"A",'Cable Schedule'!$I$2:$I$5800,"HV 230 kV")</f>
        <v/>
      </c>
      <c r="G3" s="19">
        <f>SUMIFS('Cable Schedule'!$W$2:$W$5800,'Cable Schedule'!$B$2:$B$5800,"A",'Cable Schedule'!$I$2:$I$5800,"LV 600 V")</f>
        <v/>
      </c>
      <c r="H3" s="19">
        <f>SUMIFS('Cable Schedule'!$W$2:$W$5800,'Cable Schedule'!$B$2:$B$5800,"A",'Cable Schedule'!$I$2:$I$5800,"Control")</f>
        <v/>
      </c>
      <c r="I3" s="19">
        <f>SUMIFS('Cable Schedule'!$W$2:$W$5800,'Cable Schedule'!$B$2:$B$5800,"A",'Cable Schedule'!$I$2:$I$5800,"Instrumentation")</f>
        <v/>
      </c>
      <c r="J3" s="19">
        <f>SUMIFS('Cable Schedule'!$W$2:$W$5800,'Cable Schedule'!$B$2:$B$5800,"A",'Cable Schedule'!$I$2:$I$5800,"Fire alarm")</f>
        <v/>
      </c>
      <c r="K3" s="19">
        <f>SUMIFS('Cable Schedule'!$W$2:$W$5800,'Cable Schedule'!$B$2:$B$5800,"A",'Cable Schedule'!$I$2:$I$5800,"Fibre / data")</f>
        <v/>
      </c>
      <c r="L3" s="19">
        <f>SUMIFS('Cable Schedule'!$W$2:$W$5800,'Cable Schedule'!$B$2:$B$5800,"A",'Cable Schedule'!$I$2:$I$5800,"DC 2 kV")</f>
        <v/>
      </c>
      <c r="M3" s="19">
        <f>SUMIFS('Cable Schedule'!$W$2:$W$5800,'Cable Schedule'!$B$2:$B$5800,"A",'Cable Schedule'!$I$2:$I$5800,"Portable MV")</f>
        <v/>
      </c>
      <c r="N3" s="19">
        <f>SUMIFS('Cable Schedule'!$W$2:$W$5800,'Cable Schedule'!$B$2:$B$5800,"A",'Cable Schedule'!$I$2:$I$5800,"Portable LV")</f>
        <v/>
      </c>
      <c r="O3" s="19">
        <f>SUMIFS('Cable Schedule'!$W$2:$W$5800,'Cable Schedule'!$B$2:$B$5800,"A",'Cable Schedule'!$I$2:$I$5800,"Building wire")</f>
        <v/>
      </c>
      <c r="P3" s="19">
        <f>SUMIFS('Cable Schedule'!$W$2:$W$5800,'Cable Schedule'!$B$2:$B$5800,"A",'Cable Schedule'!$I$2:$I$5800,"Grounding")</f>
        <v/>
      </c>
      <c r="Q3" s="19">
        <f>SUMIFS('Cable Schedule'!$W$2:$W$5800,'Cable Schedule'!$B$2:$B$5800,"A",'Cable Schedule'!$I$2:$I$5800,"Overhead")</f>
        <v/>
      </c>
      <c r="R3" s="29">
        <f>SUM(B3:Q3)</f>
        <v/>
      </c>
    </row>
    <row r="4">
      <c r="A4" s="12" t="inlineStr">
        <is>
          <t>B  ACC</t>
        </is>
      </c>
      <c r="B4" s="19">
        <f>SUMIFS('Cable Schedule'!$W$2:$W$5800,'Cable Schedule'!$B$2:$B$5800,"B",'Cable Schedule'!$I$2:$I$5800,"MV 15 kV")</f>
        <v/>
      </c>
      <c r="C4" s="19">
        <f>SUMIFS('Cable Schedule'!$W$2:$W$5800,'Cable Schedule'!$B$2:$B$5800,"B",'Cable Schedule'!$I$2:$I$5800,"MV 5 kV")</f>
        <v/>
      </c>
      <c r="D4" s="19">
        <f>SUMIFS('Cable Schedule'!$W$2:$W$5800,'Cable Schedule'!$B$2:$B$5800,"B",'Cable Schedule'!$I$2:$I$5800,"MV 25 kV")</f>
        <v/>
      </c>
      <c r="E4" s="19">
        <f>SUMIFS('Cable Schedule'!$W$2:$W$5800,'Cable Schedule'!$B$2:$B$5800,"B",'Cable Schedule'!$I$2:$I$5800,"MV 35 kV")</f>
        <v/>
      </c>
      <c r="F4" s="19">
        <f>SUMIFS('Cable Schedule'!$W$2:$W$5800,'Cable Schedule'!$B$2:$B$5800,"B",'Cable Schedule'!$I$2:$I$5800,"HV 230 kV")</f>
        <v/>
      </c>
      <c r="G4" s="19">
        <f>SUMIFS('Cable Schedule'!$W$2:$W$5800,'Cable Schedule'!$B$2:$B$5800,"B",'Cable Schedule'!$I$2:$I$5800,"LV 600 V")</f>
        <v/>
      </c>
      <c r="H4" s="19">
        <f>SUMIFS('Cable Schedule'!$W$2:$W$5800,'Cable Schedule'!$B$2:$B$5800,"B",'Cable Schedule'!$I$2:$I$5800,"Control")</f>
        <v/>
      </c>
      <c r="I4" s="19">
        <f>SUMIFS('Cable Schedule'!$W$2:$W$5800,'Cable Schedule'!$B$2:$B$5800,"B",'Cable Schedule'!$I$2:$I$5800,"Instrumentation")</f>
        <v/>
      </c>
      <c r="J4" s="19">
        <f>SUMIFS('Cable Schedule'!$W$2:$W$5800,'Cable Schedule'!$B$2:$B$5800,"B",'Cable Schedule'!$I$2:$I$5800,"Fire alarm")</f>
        <v/>
      </c>
      <c r="K4" s="19">
        <f>SUMIFS('Cable Schedule'!$W$2:$W$5800,'Cable Schedule'!$B$2:$B$5800,"B",'Cable Schedule'!$I$2:$I$5800,"Fibre / data")</f>
        <v/>
      </c>
      <c r="L4" s="19">
        <f>SUMIFS('Cable Schedule'!$W$2:$W$5800,'Cable Schedule'!$B$2:$B$5800,"B",'Cable Schedule'!$I$2:$I$5800,"DC 2 kV")</f>
        <v/>
      </c>
      <c r="M4" s="19">
        <f>SUMIFS('Cable Schedule'!$W$2:$W$5800,'Cable Schedule'!$B$2:$B$5800,"B",'Cable Schedule'!$I$2:$I$5800,"Portable MV")</f>
        <v/>
      </c>
      <c r="N4" s="19">
        <f>SUMIFS('Cable Schedule'!$W$2:$W$5800,'Cable Schedule'!$B$2:$B$5800,"B",'Cable Schedule'!$I$2:$I$5800,"Portable LV")</f>
        <v/>
      </c>
      <c r="O4" s="19">
        <f>SUMIFS('Cable Schedule'!$W$2:$W$5800,'Cable Schedule'!$B$2:$B$5800,"B",'Cable Schedule'!$I$2:$I$5800,"Building wire")</f>
        <v/>
      </c>
      <c r="P4" s="19">
        <f>SUMIFS('Cable Schedule'!$W$2:$W$5800,'Cable Schedule'!$B$2:$B$5800,"B",'Cable Schedule'!$I$2:$I$5800,"Grounding")</f>
        <v/>
      </c>
      <c r="Q4" s="19">
        <f>SUMIFS('Cable Schedule'!$W$2:$W$5800,'Cable Schedule'!$B$2:$B$5800,"B",'Cable Schedule'!$I$2:$I$5800,"Overhead")</f>
        <v/>
      </c>
      <c r="R4" s="29">
        <f>SUM(B4:Q4)</f>
        <v/>
      </c>
    </row>
    <row r="5">
      <c r="A5" s="12" t="inlineStr">
        <is>
          <t>C  Grid interface</t>
        </is>
      </c>
      <c r="B5" s="19">
        <f>SUMIFS('Cable Schedule'!$W$2:$W$5800,'Cable Schedule'!$B$2:$B$5800,"C",'Cable Schedule'!$I$2:$I$5800,"MV 15 kV")</f>
        <v/>
      </c>
      <c r="C5" s="19">
        <f>SUMIFS('Cable Schedule'!$W$2:$W$5800,'Cable Schedule'!$B$2:$B$5800,"C",'Cable Schedule'!$I$2:$I$5800,"MV 5 kV")</f>
        <v/>
      </c>
      <c r="D5" s="19">
        <f>SUMIFS('Cable Schedule'!$W$2:$W$5800,'Cable Schedule'!$B$2:$B$5800,"C",'Cable Schedule'!$I$2:$I$5800,"MV 25 kV")</f>
        <v/>
      </c>
      <c r="E5" s="19">
        <f>SUMIFS('Cable Schedule'!$W$2:$W$5800,'Cable Schedule'!$B$2:$B$5800,"C",'Cable Schedule'!$I$2:$I$5800,"MV 35 kV")</f>
        <v/>
      </c>
      <c r="F5" s="19">
        <f>SUMIFS('Cable Schedule'!$W$2:$W$5800,'Cable Schedule'!$B$2:$B$5800,"C",'Cable Schedule'!$I$2:$I$5800,"HV 230 kV")</f>
        <v/>
      </c>
      <c r="G5" s="19">
        <f>SUMIFS('Cable Schedule'!$W$2:$W$5800,'Cable Schedule'!$B$2:$B$5800,"C",'Cable Schedule'!$I$2:$I$5800,"LV 600 V")</f>
        <v/>
      </c>
      <c r="H5" s="19">
        <f>SUMIFS('Cable Schedule'!$W$2:$W$5800,'Cable Schedule'!$B$2:$B$5800,"C",'Cable Schedule'!$I$2:$I$5800,"Control")</f>
        <v/>
      </c>
      <c r="I5" s="19">
        <f>SUMIFS('Cable Schedule'!$W$2:$W$5800,'Cable Schedule'!$B$2:$B$5800,"C",'Cable Schedule'!$I$2:$I$5800,"Instrumentation")</f>
        <v/>
      </c>
      <c r="J5" s="19">
        <f>SUMIFS('Cable Schedule'!$W$2:$W$5800,'Cable Schedule'!$B$2:$B$5800,"C",'Cable Schedule'!$I$2:$I$5800,"Fire alarm")</f>
        <v/>
      </c>
      <c r="K5" s="19">
        <f>SUMIFS('Cable Schedule'!$W$2:$W$5800,'Cable Schedule'!$B$2:$B$5800,"C",'Cable Schedule'!$I$2:$I$5800,"Fibre / data")</f>
        <v/>
      </c>
      <c r="L5" s="19">
        <f>SUMIFS('Cable Schedule'!$W$2:$W$5800,'Cable Schedule'!$B$2:$B$5800,"C",'Cable Schedule'!$I$2:$I$5800,"DC 2 kV")</f>
        <v/>
      </c>
      <c r="M5" s="19">
        <f>SUMIFS('Cable Schedule'!$W$2:$W$5800,'Cable Schedule'!$B$2:$B$5800,"C",'Cable Schedule'!$I$2:$I$5800,"Portable MV")</f>
        <v/>
      </c>
      <c r="N5" s="19">
        <f>SUMIFS('Cable Schedule'!$W$2:$W$5800,'Cable Schedule'!$B$2:$B$5800,"C",'Cable Schedule'!$I$2:$I$5800,"Portable LV")</f>
        <v/>
      </c>
      <c r="O5" s="19">
        <f>SUMIFS('Cable Schedule'!$W$2:$W$5800,'Cable Schedule'!$B$2:$B$5800,"C",'Cable Schedule'!$I$2:$I$5800,"Building wire")</f>
        <v/>
      </c>
      <c r="P5" s="19">
        <f>SUMIFS('Cable Schedule'!$W$2:$W$5800,'Cable Schedule'!$B$2:$B$5800,"C",'Cable Schedule'!$I$2:$I$5800,"Grounding")</f>
        <v/>
      </c>
      <c r="Q5" s="19">
        <f>SUMIFS('Cable Schedule'!$W$2:$W$5800,'Cable Schedule'!$B$2:$B$5800,"C",'Cable Schedule'!$I$2:$I$5800,"Overhead")</f>
        <v/>
      </c>
      <c r="R5" s="29">
        <f>SUM(B5:Q5)</f>
        <v/>
      </c>
    </row>
    <row r="6">
      <c r="A6" s="12" t="inlineStr">
        <is>
          <t>D  Fuel gas</t>
        </is>
      </c>
      <c r="B6" s="19">
        <f>SUMIFS('Cable Schedule'!$W$2:$W$5800,'Cable Schedule'!$B$2:$B$5800,"D",'Cable Schedule'!$I$2:$I$5800,"MV 15 kV")</f>
        <v/>
      </c>
      <c r="C6" s="19">
        <f>SUMIFS('Cable Schedule'!$W$2:$W$5800,'Cable Schedule'!$B$2:$B$5800,"D",'Cable Schedule'!$I$2:$I$5800,"MV 5 kV")</f>
        <v/>
      </c>
      <c r="D6" s="19">
        <f>SUMIFS('Cable Schedule'!$W$2:$W$5800,'Cable Schedule'!$B$2:$B$5800,"D",'Cable Schedule'!$I$2:$I$5800,"MV 25 kV")</f>
        <v/>
      </c>
      <c r="E6" s="19">
        <f>SUMIFS('Cable Schedule'!$W$2:$W$5800,'Cable Schedule'!$B$2:$B$5800,"D",'Cable Schedule'!$I$2:$I$5800,"MV 35 kV")</f>
        <v/>
      </c>
      <c r="F6" s="19">
        <f>SUMIFS('Cable Schedule'!$W$2:$W$5800,'Cable Schedule'!$B$2:$B$5800,"D",'Cable Schedule'!$I$2:$I$5800,"HV 230 kV")</f>
        <v/>
      </c>
      <c r="G6" s="19">
        <f>SUMIFS('Cable Schedule'!$W$2:$W$5800,'Cable Schedule'!$B$2:$B$5800,"D",'Cable Schedule'!$I$2:$I$5800,"LV 600 V")</f>
        <v/>
      </c>
      <c r="H6" s="19">
        <f>SUMIFS('Cable Schedule'!$W$2:$W$5800,'Cable Schedule'!$B$2:$B$5800,"D",'Cable Schedule'!$I$2:$I$5800,"Control")</f>
        <v/>
      </c>
      <c r="I6" s="19">
        <f>SUMIFS('Cable Schedule'!$W$2:$W$5800,'Cable Schedule'!$B$2:$B$5800,"D",'Cable Schedule'!$I$2:$I$5800,"Instrumentation")</f>
        <v/>
      </c>
      <c r="J6" s="19">
        <f>SUMIFS('Cable Schedule'!$W$2:$W$5800,'Cable Schedule'!$B$2:$B$5800,"D",'Cable Schedule'!$I$2:$I$5800,"Fire alarm")</f>
        <v/>
      </c>
      <c r="K6" s="19">
        <f>SUMIFS('Cable Schedule'!$W$2:$W$5800,'Cable Schedule'!$B$2:$B$5800,"D",'Cable Schedule'!$I$2:$I$5800,"Fibre / data")</f>
        <v/>
      </c>
      <c r="L6" s="19">
        <f>SUMIFS('Cable Schedule'!$W$2:$W$5800,'Cable Schedule'!$B$2:$B$5800,"D",'Cable Schedule'!$I$2:$I$5800,"DC 2 kV")</f>
        <v/>
      </c>
      <c r="M6" s="19">
        <f>SUMIFS('Cable Schedule'!$W$2:$W$5800,'Cable Schedule'!$B$2:$B$5800,"D",'Cable Schedule'!$I$2:$I$5800,"Portable MV")</f>
        <v/>
      </c>
      <c r="N6" s="19">
        <f>SUMIFS('Cable Schedule'!$W$2:$W$5800,'Cable Schedule'!$B$2:$B$5800,"D",'Cable Schedule'!$I$2:$I$5800,"Portable LV")</f>
        <v/>
      </c>
      <c r="O6" s="19">
        <f>SUMIFS('Cable Schedule'!$W$2:$W$5800,'Cable Schedule'!$B$2:$B$5800,"D",'Cable Schedule'!$I$2:$I$5800,"Building wire")</f>
        <v/>
      </c>
      <c r="P6" s="19">
        <f>SUMIFS('Cable Schedule'!$W$2:$W$5800,'Cable Schedule'!$B$2:$B$5800,"D",'Cable Schedule'!$I$2:$I$5800,"Grounding")</f>
        <v/>
      </c>
      <c r="Q6" s="19">
        <f>SUMIFS('Cable Schedule'!$W$2:$W$5800,'Cable Schedule'!$B$2:$B$5800,"D",'Cable Schedule'!$I$2:$I$5800,"Overhead")</f>
        <v/>
      </c>
      <c r="R6" s="29">
        <f>SUM(B6:Q6)</f>
        <v/>
      </c>
    </row>
    <row r="7">
      <c r="A7" s="12" t="inlineStr">
        <is>
          <t>E  Water / utilities</t>
        </is>
      </c>
      <c r="B7" s="19">
        <f>SUMIFS('Cable Schedule'!$W$2:$W$5800,'Cable Schedule'!$B$2:$B$5800,"E",'Cable Schedule'!$I$2:$I$5800,"MV 15 kV")</f>
        <v/>
      </c>
      <c r="C7" s="19">
        <f>SUMIFS('Cable Schedule'!$W$2:$W$5800,'Cable Schedule'!$B$2:$B$5800,"E",'Cable Schedule'!$I$2:$I$5800,"MV 5 kV")</f>
        <v/>
      </c>
      <c r="D7" s="19">
        <f>SUMIFS('Cable Schedule'!$W$2:$W$5800,'Cable Schedule'!$B$2:$B$5800,"E",'Cable Schedule'!$I$2:$I$5800,"MV 25 kV")</f>
        <v/>
      </c>
      <c r="E7" s="19">
        <f>SUMIFS('Cable Schedule'!$W$2:$W$5800,'Cable Schedule'!$B$2:$B$5800,"E",'Cable Schedule'!$I$2:$I$5800,"MV 35 kV")</f>
        <v/>
      </c>
      <c r="F7" s="19">
        <f>SUMIFS('Cable Schedule'!$W$2:$W$5800,'Cable Schedule'!$B$2:$B$5800,"E",'Cable Schedule'!$I$2:$I$5800,"HV 230 kV")</f>
        <v/>
      </c>
      <c r="G7" s="19">
        <f>SUMIFS('Cable Schedule'!$W$2:$W$5800,'Cable Schedule'!$B$2:$B$5800,"E",'Cable Schedule'!$I$2:$I$5800,"LV 600 V")</f>
        <v/>
      </c>
      <c r="H7" s="19">
        <f>SUMIFS('Cable Schedule'!$W$2:$W$5800,'Cable Schedule'!$B$2:$B$5800,"E",'Cable Schedule'!$I$2:$I$5800,"Control")</f>
        <v/>
      </c>
      <c r="I7" s="19">
        <f>SUMIFS('Cable Schedule'!$W$2:$W$5800,'Cable Schedule'!$B$2:$B$5800,"E",'Cable Schedule'!$I$2:$I$5800,"Instrumentation")</f>
        <v/>
      </c>
      <c r="J7" s="19">
        <f>SUMIFS('Cable Schedule'!$W$2:$W$5800,'Cable Schedule'!$B$2:$B$5800,"E",'Cable Schedule'!$I$2:$I$5800,"Fire alarm")</f>
        <v/>
      </c>
      <c r="K7" s="19">
        <f>SUMIFS('Cable Schedule'!$W$2:$W$5800,'Cable Schedule'!$B$2:$B$5800,"E",'Cable Schedule'!$I$2:$I$5800,"Fibre / data")</f>
        <v/>
      </c>
      <c r="L7" s="19">
        <f>SUMIFS('Cable Schedule'!$W$2:$W$5800,'Cable Schedule'!$B$2:$B$5800,"E",'Cable Schedule'!$I$2:$I$5800,"DC 2 kV")</f>
        <v/>
      </c>
      <c r="M7" s="19">
        <f>SUMIFS('Cable Schedule'!$W$2:$W$5800,'Cable Schedule'!$B$2:$B$5800,"E",'Cable Schedule'!$I$2:$I$5800,"Portable MV")</f>
        <v/>
      </c>
      <c r="N7" s="19">
        <f>SUMIFS('Cable Schedule'!$W$2:$W$5800,'Cable Schedule'!$B$2:$B$5800,"E",'Cable Schedule'!$I$2:$I$5800,"Portable LV")</f>
        <v/>
      </c>
      <c r="O7" s="19">
        <f>SUMIFS('Cable Schedule'!$W$2:$W$5800,'Cable Schedule'!$B$2:$B$5800,"E",'Cable Schedule'!$I$2:$I$5800,"Building wire")</f>
        <v/>
      </c>
      <c r="P7" s="19">
        <f>SUMIFS('Cable Schedule'!$W$2:$W$5800,'Cable Schedule'!$B$2:$B$5800,"E",'Cable Schedule'!$I$2:$I$5800,"Grounding")</f>
        <v/>
      </c>
      <c r="Q7" s="19">
        <f>SUMIFS('Cable Schedule'!$W$2:$W$5800,'Cable Schedule'!$B$2:$B$5800,"E",'Cable Schedule'!$I$2:$I$5800,"Overhead")</f>
        <v/>
      </c>
      <c r="R7" s="29">
        <f>SUM(B7:Q7)</f>
        <v/>
      </c>
    </row>
    <row r="8">
      <c r="A8" s="12" t="inlineStr">
        <is>
          <t>F  Controls / service</t>
        </is>
      </c>
      <c r="B8" s="19">
        <f>SUMIFS('Cable Schedule'!$W$2:$W$5800,'Cable Schedule'!$B$2:$B$5800,"F",'Cable Schedule'!$I$2:$I$5800,"MV 15 kV")</f>
        <v/>
      </c>
      <c r="C8" s="19">
        <f>SUMIFS('Cable Schedule'!$W$2:$W$5800,'Cable Schedule'!$B$2:$B$5800,"F",'Cable Schedule'!$I$2:$I$5800,"MV 5 kV")</f>
        <v/>
      </c>
      <c r="D8" s="19">
        <f>SUMIFS('Cable Schedule'!$W$2:$W$5800,'Cable Schedule'!$B$2:$B$5800,"F",'Cable Schedule'!$I$2:$I$5800,"MV 25 kV")</f>
        <v/>
      </c>
      <c r="E8" s="19">
        <f>SUMIFS('Cable Schedule'!$W$2:$W$5800,'Cable Schedule'!$B$2:$B$5800,"F",'Cable Schedule'!$I$2:$I$5800,"MV 35 kV")</f>
        <v/>
      </c>
      <c r="F8" s="19">
        <f>SUMIFS('Cable Schedule'!$W$2:$W$5800,'Cable Schedule'!$B$2:$B$5800,"F",'Cable Schedule'!$I$2:$I$5800,"HV 230 kV")</f>
        <v/>
      </c>
      <c r="G8" s="19">
        <f>SUMIFS('Cable Schedule'!$W$2:$W$5800,'Cable Schedule'!$B$2:$B$5800,"F",'Cable Schedule'!$I$2:$I$5800,"LV 600 V")</f>
        <v/>
      </c>
      <c r="H8" s="19">
        <f>SUMIFS('Cable Schedule'!$W$2:$W$5800,'Cable Schedule'!$B$2:$B$5800,"F",'Cable Schedule'!$I$2:$I$5800,"Control")</f>
        <v/>
      </c>
      <c r="I8" s="19">
        <f>SUMIFS('Cable Schedule'!$W$2:$W$5800,'Cable Schedule'!$B$2:$B$5800,"F",'Cable Schedule'!$I$2:$I$5800,"Instrumentation")</f>
        <v/>
      </c>
      <c r="J8" s="19">
        <f>SUMIFS('Cable Schedule'!$W$2:$W$5800,'Cable Schedule'!$B$2:$B$5800,"F",'Cable Schedule'!$I$2:$I$5800,"Fire alarm")</f>
        <v/>
      </c>
      <c r="K8" s="19">
        <f>SUMIFS('Cable Schedule'!$W$2:$W$5800,'Cable Schedule'!$B$2:$B$5800,"F",'Cable Schedule'!$I$2:$I$5800,"Fibre / data")</f>
        <v/>
      </c>
      <c r="L8" s="19">
        <f>SUMIFS('Cable Schedule'!$W$2:$W$5800,'Cable Schedule'!$B$2:$B$5800,"F",'Cable Schedule'!$I$2:$I$5800,"DC 2 kV")</f>
        <v/>
      </c>
      <c r="M8" s="19">
        <f>SUMIFS('Cable Schedule'!$W$2:$W$5800,'Cable Schedule'!$B$2:$B$5800,"F",'Cable Schedule'!$I$2:$I$5800,"Portable MV")</f>
        <v/>
      </c>
      <c r="N8" s="19">
        <f>SUMIFS('Cable Schedule'!$W$2:$W$5800,'Cable Schedule'!$B$2:$B$5800,"F",'Cable Schedule'!$I$2:$I$5800,"Portable LV")</f>
        <v/>
      </c>
      <c r="O8" s="19">
        <f>SUMIFS('Cable Schedule'!$W$2:$W$5800,'Cable Schedule'!$B$2:$B$5800,"F",'Cable Schedule'!$I$2:$I$5800,"Building wire")</f>
        <v/>
      </c>
      <c r="P8" s="19">
        <f>SUMIFS('Cable Schedule'!$W$2:$W$5800,'Cable Schedule'!$B$2:$B$5800,"F",'Cable Schedule'!$I$2:$I$5800,"Grounding")</f>
        <v/>
      </c>
      <c r="Q8" s="19">
        <f>SUMIFS('Cable Schedule'!$W$2:$W$5800,'Cable Schedule'!$B$2:$B$5800,"F",'Cable Schedule'!$I$2:$I$5800,"Overhead")</f>
        <v/>
      </c>
      <c r="R8" s="29">
        <f>SUM(B8:Q8)</f>
        <v/>
      </c>
    </row>
    <row r="9">
      <c r="A9" s="12" t="inlineStr">
        <is>
          <t>G  Carbon capture</t>
        </is>
      </c>
      <c r="B9" s="19">
        <f>SUMIFS('Cable Schedule'!$W$2:$W$5800,'Cable Schedule'!$B$2:$B$5800,"G",'Cable Schedule'!$I$2:$I$5800,"MV 15 kV")</f>
        <v/>
      </c>
      <c r="C9" s="19">
        <f>SUMIFS('Cable Schedule'!$W$2:$W$5800,'Cable Schedule'!$B$2:$B$5800,"G",'Cable Schedule'!$I$2:$I$5800,"MV 5 kV")</f>
        <v/>
      </c>
      <c r="D9" s="19">
        <f>SUMIFS('Cable Schedule'!$W$2:$W$5800,'Cable Schedule'!$B$2:$B$5800,"G",'Cable Schedule'!$I$2:$I$5800,"MV 25 kV")</f>
        <v/>
      </c>
      <c r="E9" s="19">
        <f>SUMIFS('Cable Schedule'!$W$2:$W$5800,'Cable Schedule'!$B$2:$B$5800,"G",'Cable Schedule'!$I$2:$I$5800,"MV 35 kV")</f>
        <v/>
      </c>
      <c r="F9" s="19">
        <f>SUMIFS('Cable Schedule'!$W$2:$W$5800,'Cable Schedule'!$B$2:$B$5800,"G",'Cable Schedule'!$I$2:$I$5800,"HV 230 kV")</f>
        <v/>
      </c>
      <c r="G9" s="19">
        <f>SUMIFS('Cable Schedule'!$W$2:$W$5800,'Cable Schedule'!$B$2:$B$5800,"G",'Cable Schedule'!$I$2:$I$5800,"LV 600 V")</f>
        <v/>
      </c>
      <c r="H9" s="19">
        <f>SUMIFS('Cable Schedule'!$W$2:$W$5800,'Cable Schedule'!$B$2:$B$5800,"G",'Cable Schedule'!$I$2:$I$5800,"Control")</f>
        <v/>
      </c>
      <c r="I9" s="19">
        <f>SUMIFS('Cable Schedule'!$W$2:$W$5800,'Cable Schedule'!$B$2:$B$5800,"G",'Cable Schedule'!$I$2:$I$5800,"Instrumentation")</f>
        <v/>
      </c>
      <c r="J9" s="19">
        <f>SUMIFS('Cable Schedule'!$W$2:$W$5800,'Cable Schedule'!$B$2:$B$5800,"G",'Cable Schedule'!$I$2:$I$5800,"Fire alarm")</f>
        <v/>
      </c>
      <c r="K9" s="19">
        <f>SUMIFS('Cable Schedule'!$W$2:$W$5800,'Cable Schedule'!$B$2:$B$5800,"G",'Cable Schedule'!$I$2:$I$5800,"Fibre / data")</f>
        <v/>
      </c>
      <c r="L9" s="19">
        <f>SUMIFS('Cable Schedule'!$W$2:$W$5800,'Cable Schedule'!$B$2:$B$5800,"G",'Cable Schedule'!$I$2:$I$5800,"DC 2 kV")</f>
        <v/>
      </c>
      <c r="M9" s="19">
        <f>SUMIFS('Cable Schedule'!$W$2:$W$5800,'Cable Schedule'!$B$2:$B$5800,"G",'Cable Schedule'!$I$2:$I$5800,"Portable MV")</f>
        <v/>
      </c>
      <c r="N9" s="19">
        <f>SUMIFS('Cable Schedule'!$W$2:$W$5800,'Cable Schedule'!$B$2:$B$5800,"G",'Cable Schedule'!$I$2:$I$5800,"Portable LV")</f>
        <v/>
      </c>
      <c r="O9" s="19">
        <f>SUMIFS('Cable Schedule'!$W$2:$W$5800,'Cable Schedule'!$B$2:$B$5800,"G",'Cable Schedule'!$I$2:$I$5800,"Building wire")</f>
        <v/>
      </c>
      <c r="P9" s="19">
        <f>SUMIFS('Cable Schedule'!$W$2:$W$5800,'Cable Schedule'!$B$2:$B$5800,"G",'Cable Schedule'!$I$2:$I$5800,"Grounding")</f>
        <v/>
      </c>
      <c r="Q9" s="19">
        <f>SUMIFS('Cable Schedule'!$W$2:$W$5800,'Cable Schedule'!$B$2:$B$5800,"G",'Cable Schedule'!$I$2:$I$5800,"Overhead")</f>
        <v/>
      </c>
      <c r="R9" s="29">
        <f>SUM(B9:Q9)</f>
        <v/>
      </c>
    </row>
    <row r="10">
      <c r="A10" s="12" t="inlineStr">
        <is>
          <t>H  BESS</t>
        </is>
      </c>
      <c r="B10" s="19">
        <f>SUMIFS('Cable Schedule'!$W$2:$W$5800,'Cable Schedule'!$B$2:$B$5800,"H",'Cable Schedule'!$I$2:$I$5800,"MV 15 kV")</f>
        <v/>
      </c>
      <c r="C10" s="19">
        <f>SUMIFS('Cable Schedule'!$W$2:$W$5800,'Cable Schedule'!$B$2:$B$5800,"H",'Cable Schedule'!$I$2:$I$5800,"MV 5 kV")</f>
        <v/>
      </c>
      <c r="D10" s="19">
        <f>SUMIFS('Cable Schedule'!$W$2:$W$5800,'Cable Schedule'!$B$2:$B$5800,"H",'Cable Schedule'!$I$2:$I$5800,"MV 25 kV")</f>
        <v/>
      </c>
      <c r="E10" s="19">
        <f>SUMIFS('Cable Schedule'!$W$2:$W$5800,'Cable Schedule'!$B$2:$B$5800,"H",'Cable Schedule'!$I$2:$I$5800,"MV 35 kV")</f>
        <v/>
      </c>
      <c r="F10" s="19">
        <f>SUMIFS('Cable Schedule'!$W$2:$W$5800,'Cable Schedule'!$B$2:$B$5800,"H",'Cable Schedule'!$I$2:$I$5800,"HV 230 kV")</f>
        <v/>
      </c>
      <c r="G10" s="19">
        <f>SUMIFS('Cable Schedule'!$W$2:$W$5800,'Cable Schedule'!$B$2:$B$5800,"H",'Cable Schedule'!$I$2:$I$5800,"LV 600 V")</f>
        <v/>
      </c>
      <c r="H10" s="19">
        <f>SUMIFS('Cable Schedule'!$W$2:$W$5800,'Cable Schedule'!$B$2:$B$5800,"H",'Cable Schedule'!$I$2:$I$5800,"Control")</f>
        <v/>
      </c>
      <c r="I10" s="19">
        <f>SUMIFS('Cable Schedule'!$W$2:$W$5800,'Cable Schedule'!$B$2:$B$5800,"H",'Cable Schedule'!$I$2:$I$5800,"Instrumentation")</f>
        <v/>
      </c>
      <c r="J10" s="19">
        <f>SUMIFS('Cable Schedule'!$W$2:$W$5800,'Cable Schedule'!$B$2:$B$5800,"H",'Cable Schedule'!$I$2:$I$5800,"Fire alarm")</f>
        <v/>
      </c>
      <c r="K10" s="19">
        <f>SUMIFS('Cable Schedule'!$W$2:$W$5800,'Cable Schedule'!$B$2:$B$5800,"H",'Cable Schedule'!$I$2:$I$5800,"Fibre / data")</f>
        <v/>
      </c>
      <c r="L10" s="19">
        <f>SUMIFS('Cable Schedule'!$W$2:$W$5800,'Cable Schedule'!$B$2:$B$5800,"H",'Cable Schedule'!$I$2:$I$5800,"DC 2 kV")</f>
        <v/>
      </c>
      <c r="M10" s="19">
        <f>SUMIFS('Cable Schedule'!$W$2:$W$5800,'Cable Schedule'!$B$2:$B$5800,"H",'Cable Schedule'!$I$2:$I$5800,"Portable MV")</f>
        <v/>
      </c>
      <c r="N10" s="19">
        <f>SUMIFS('Cable Schedule'!$W$2:$W$5800,'Cable Schedule'!$B$2:$B$5800,"H",'Cable Schedule'!$I$2:$I$5800,"Portable LV")</f>
        <v/>
      </c>
      <c r="O10" s="19">
        <f>SUMIFS('Cable Schedule'!$W$2:$W$5800,'Cable Schedule'!$B$2:$B$5800,"H",'Cable Schedule'!$I$2:$I$5800,"Building wire")</f>
        <v/>
      </c>
      <c r="P10" s="19">
        <f>SUMIFS('Cable Schedule'!$W$2:$W$5800,'Cable Schedule'!$B$2:$B$5800,"H",'Cable Schedule'!$I$2:$I$5800,"Grounding")</f>
        <v/>
      </c>
      <c r="Q10" s="19">
        <f>SUMIFS('Cable Schedule'!$W$2:$W$5800,'Cable Schedule'!$B$2:$B$5800,"H",'Cable Schedule'!$I$2:$I$5800,"Overhead")</f>
        <v/>
      </c>
      <c r="R10" s="29">
        <f>SUM(B10:Q10)</f>
        <v/>
      </c>
    </row>
    <row r="11">
      <c r="A11" s="12" t="inlineStr">
        <is>
          <t>I  Modular / portable power</t>
        </is>
      </c>
      <c r="B11" s="19">
        <f>SUMIFS('Cable Schedule'!$W$2:$W$5800,'Cable Schedule'!$B$2:$B$5800,"I",'Cable Schedule'!$I$2:$I$5800,"MV 15 kV")</f>
        <v/>
      </c>
      <c r="C11" s="19">
        <f>SUMIFS('Cable Schedule'!$W$2:$W$5800,'Cable Schedule'!$B$2:$B$5800,"I",'Cable Schedule'!$I$2:$I$5800,"MV 5 kV")</f>
        <v/>
      </c>
      <c r="D11" s="19">
        <f>SUMIFS('Cable Schedule'!$W$2:$W$5800,'Cable Schedule'!$B$2:$B$5800,"I",'Cable Schedule'!$I$2:$I$5800,"MV 25 kV")</f>
        <v/>
      </c>
      <c r="E11" s="19">
        <f>SUMIFS('Cable Schedule'!$W$2:$W$5800,'Cable Schedule'!$B$2:$B$5800,"I",'Cable Schedule'!$I$2:$I$5800,"MV 35 kV")</f>
        <v/>
      </c>
      <c r="F11" s="19">
        <f>SUMIFS('Cable Schedule'!$W$2:$W$5800,'Cable Schedule'!$B$2:$B$5800,"I",'Cable Schedule'!$I$2:$I$5800,"HV 230 kV")</f>
        <v/>
      </c>
      <c r="G11" s="19">
        <f>SUMIFS('Cable Schedule'!$W$2:$W$5800,'Cable Schedule'!$B$2:$B$5800,"I",'Cable Schedule'!$I$2:$I$5800,"LV 600 V")</f>
        <v/>
      </c>
      <c r="H11" s="19">
        <f>SUMIFS('Cable Schedule'!$W$2:$W$5800,'Cable Schedule'!$B$2:$B$5800,"I",'Cable Schedule'!$I$2:$I$5800,"Control")</f>
        <v/>
      </c>
      <c r="I11" s="19">
        <f>SUMIFS('Cable Schedule'!$W$2:$W$5800,'Cable Schedule'!$B$2:$B$5800,"I",'Cable Schedule'!$I$2:$I$5800,"Instrumentation")</f>
        <v/>
      </c>
      <c r="J11" s="19">
        <f>SUMIFS('Cable Schedule'!$W$2:$W$5800,'Cable Schedule'!$B$2:$B$5800,"I",'Cable Schedule'!$I$2:$I$5800,"Fire alarm")</f>
        <v/>
      </c>
      <c r="K11" s="19">
        <f>SUMIFS('Cable Schedule'!$W$2:$W$5800,'Cable Schedule'!$B$2:$B$5800,"I",'Cable Schedule'!$I$2:$I$5800,"Fibre / data")</f>
        <v/>
      </c>
      <c r="L11" s="19">
        <f>SUMIFS('Cable Schedule'!$W$2:$W$5800,'Cable Schedule'!$B$2:$B$5800,"I",'Cable Schedule'!$I$2:$I$5800,"DC 2 kV")</f>
        <v/>
      </c>
      <c r="M11" s="19">
        <f>SUMIFS('Cable Schedule'!$W$2:$W$5800,'Cable Schedule'!$B$2:$B$5800,"I",'Cable Schedule'!$I$2:$I$5800,"Portable MV")</f>
        <v/>
      </c>
      <c r="N11" s="19">
        <f>SUMIFS('Cable Schedule'!$W$2:$W$5800,'Cable Schedule'!$B$2:$B$5800,"I",'Cable Schedule'!$I$2:$I$5800,"Portable LV")</f>
        <v/>
      </c>
      <c r="O11" s="19">
        <f>SUMIFS('Cable Schedule'!$W$2:$W$5800,'Cable Schedule'!$B$2:$B$5800,"I",'Cable Schedule'!$I$2:$I$5800,"Building wire")</f>
        <v/>
      </c>
      <c r="P11" s="19">
        <f>SUMIFS('Cable Schedule'!$W$2:$W$5800,'Cable Schedule'!$B$2:$B$5800,"I",'Cable Schedule'!$I$2:$I$5800,"Grounding")</f>
        <v/>
      </c>
      <c r="Q11" s="19">
        <f>SUMIFS('Cable Schedule'!$W$2:$W$5800,'Cable Schedule'!$B$2:$B$5800,"I",'Cable Schedule'!$I$2:$I$5800,"Overhead")</f>
        <v/>
      </c>
      <c r="R11" s="29">
        <f>SUM(B11:Q11)</f>
        <v/>
      </c>
    </row>
    <row r="12">
      <c r="A12" s="12" t="inlineStr">
        <is>
          <t>J  GT inlet chilling</t>
        </is>
      </c>
      <c r="B12" s="19">
        <f>SUMIFS('Cable Schedule'!$W$2:$W$5800,'Cable Schedule'!$B$2:$B$5800,"J",'Cable Schedule'!$I$2:$I$5800,"MV 15 kV")</f>
        <v/>
      </c>
      <c r="C12" s="19">
        <f>SUMIFS('Cable Schedule'!$W$2:$W$5800,'Cable Schedule'!$B$2:$B$5800,"J",'Cable Schedule'!$I$2:$I$5800,"MV 5 kV")</f>
        <v/>
      </c>
      <c r="D12" s="19">
        <f>SUMIFS('Cable Schedule'!$W$2:$W$5800,'Cable Schedule'!$B$2:$B$5800,"J",'Cable Schedule'!$I$2:$I$5800,"MV 25 kV")</f>
        <v/>
      </c>
      <c r="E12" s="19">
        <f>SUMIFS('Cable Schedule'!$W$2:$W$5800,'Cable Schedule'!$B$2:$B$5800,"J",'Cable Schedule'!$I$2:$I$5800,"MV 35 kV")</f>
        <v/>
      </c>
      <c r="F12" s="19">
        <f>SUMIFS('Cable Schedule'!$W$2:$W$5800,'Cable Schedule'!$B$2:$B$5800,"J",'Cable Schedule'!$I$2:$I$5800,"HV 230 kV")</f>
        <v/>
      </c>
      <c r="G12" s="19">
        <f>SUMIFS('Cable Schedule'!$W$2:$W$5800,'Cable Schedule'!$B$2:$B$5800,"J",'Cable Schedule'!$I$2:$I$5800,"LV 600 V")</f>
        <v/>
      </c>
      <c r="H12" s="19">
        <f>SUMIFS('Cable Schedule'!$W$2:$W$5800,'Cable Schedule'!$B$2:$B$5800,"J",'Cable Schedule'!$I$2:$I$5800,"Control")</f>
        <v/>
      </c>
      <c r="I12" s="19">
        <f>SUMIFS('Cable Schedule'!$W$2:$W$5800,'Cable Schedule'!$B$2:$B$5800,"J",'Cable Schedule'!$I$2:$I$5800,"Instrumentation")</f>
        <v/>
      </c>
      <c r="J12" s="19">
        <f>SUMIFS('Cable Schedule'!$W$2:$W$5800,'Cable Schedule'!$B$2:$B$5800,"J",'Cable Schedule'!$I$2:$I$5800,"Fire alarm")</f>
        <v/>
      </c>
      <c r="K12" s="19">
        <f>SUMIFS('Cable Schedule'!$W$2:$W$5800,'Cable Schedule'!$B$2:$B$5800,"J",'Cable Schedule'!$I$2:$I$5800,"Fibre / data")</f>
        <v/>
      </c>
      <c r="L12" s="19">
        <f>SUMIFS('Cable Schedule'!$W$2:$W$5800,'Cable Schedule'!$B$2:$B$5800,"J",'Cable Schedule'!$I$2:$I$5800,"DC 2 kV")</f>
        <v/>
      </c>
      <c r="M12" s="19">
        <f>SUMIFS('Cable Schedule'!$W$2:$W$5800,'Cable Schedule'!$B$2:$B$5800,"J",'Cable Schedule'!$I$2:$I$5800,"Portable MV")</f>
        <v/>
      </c>
      <c r="N12" s="19">
        <f>SUMIFS('Cable Schedule'!$W$2:$W$5800,'Cable Schedule'!$B$2:$B$5800,"J",'Cable Schedule'!$I$2:$I$5800,"Portable LV")</f>
        <v/>
      </c>
      <c r="O12" s="19">
        <f>SUMIFS('Cable Schedule'!$W$2:$W$5800,'Cable Schedule'!$B$2:$B$5800,"J",'Cable Schedule'!$I$2:$I$5800,"Building wire")</f>
        <v/>
      </c>
      <c r="P12" s="19">
        <f>SUMIFS('Cable Schedule'!$W$2:$W$5800,'Cable Schedule'!$B$2:$B$5800,"J",'Cable Schedule'!$I$2:$I$5800,"Grounding")</f>
        <v/>
      </c>
      <c r="Q12" s="19">
        <f>SUMIFS('Cable Schedule'!$W$2:$W$5800,'Cable Schedule'!$B$2:$B$5800,"J",'Cable Schedule'!$I$2:$I$5800,"Overhead")</f>
        <v/>
      </c>
      <c r="R12" s="29">
        <f>SUM(B12:Q12)</f>
        <v/>
      </c>
    </row>
    <row r="13">
      <c r="A13" s="12" t="inlineStr">
        <is>
          <t>K  Fuel supply (adjacent market)</t>
        </is>
      </c>
      <c r="B13" s="19">
        <f>SUMIFS('Cable Schedule'!$W$2:$W$5800,'Cable Schedule'!$B$2:$B$5800,"K",'Cable Schedule'!$I$2:$I$5800,"MV 15 kV")</f>
        <v/>
      </c>
      <c r="C13" s="19">
        <f>SUMIFS('Cable Schedule'!$W$2:$W$5800,'Cable Schedule'!$B$2:$B$5800,"K",'Cable Schedule'!$I$2:$I$5800,"MV 5 kV")</f>
        <v/>
      </c>
      <c r="D13" s="19">
        <f>SUMIFS('Cable Schedule'!$W$2:$W$5800,'Cable Schedule'!$B$2:$B$5800,"K",'Cable Schedule'!$I$2:$I$5800,"MV 25 kV")</f>
        <v/>
      </c>
      <c r="E13" s="19">
        <f>SUMIFS('Cable Schedule'!$W$2:$W$5800,'Cable Schedule'!$B$2:$B$5800,"K",'Cable Schedule'!$I$2:$I$5800,"MV 35 kV")</f>
        <v/>
      </c>
      <c r="F13" s="19">
        <f>SUMIFS('Cable Schedule'!$W$2:$W$5800,'Cable Schedule'!$B$2:$B$5800,"K",'Cable Schedule'!$I$2:$I$5800,"HV 230 kV")</f>
        <v/>
      </c>
      <c r="G13" s="19">
        <f>SUMIFS('Cable Schedule'!$W$2:$W$5800,'Cable Schedule'!$B$2:$B$5800,"K",'Cable Schedule'!$I$2:$I$5800,"LV 600 V")</f>
        <v/>
      </c>
      <c r="H13" s="19">
        <f>SUMIFS('Cable Schedule'!$W$2:$W$5800,'Cable Schedule'!$B$2:$B$5800,"K",'Cable Schedule'!$I$2:$I$5800,"Control")</f>
        <v/>
      </c>
      <c r="I13" s="19">
        <f>SUMIFS('Cable Schedule'!$W$2:$W$5800,'Cable Schedule'!$B$2:$B$5800,"K",'Cable Schedule'!$I$2:$I$5800,"Instrumentation")</f>
        <v/>
      </c>
      <c r="J13" s="19">
        <f>SUMIFS('Cable Schedule'!$W$2:$W$5800,'Cable Schedule'!$B$2:$B$5800,"K",'Cable Schedule'!$I$2:$I$5800,"Fire alarm")</f>
        <v/>
      </c>
      <c r="K13" s="19">
        <f>SUMIFS('Cable Schedule'!$W$2:$W$5800,'Cable Schedule'!$B$2:$B$5800,"K",'Cable Schedule'!$I$2:$I$5800,"Fibre / data")</f>
        <v/>
      </c>
      <c r="L13" s="19">
        <f>SUMIFS('Cable Schedule'!$W$2:$W$5800,'Cable Schedule'!$B$2:$B$5800,"K",'Cable Schedule'!$I$2:$I$5800,"DC 2 kV")</f>
        <v/>
      </c>
      <c r="M13" s="19">
        <f>SUMIFS('Cable Schedule'!$W$2:$W$5800,'Cable Schedule'!$B$2:$B$5800,"K",'Cable Schedule'!$I$2:$I$5800,"Portable MV")</f>
        <v/>
      </c>
      <c r="N13" s="19">
        <f>SUMIFS('Cable Schedule'!$W$2:$W$5800,'Cable Schedule'!$B$2:$B$5800,"K",'Cable Schedule'!$I$2:$I$5800,"Portable LV")</f>
        <v/>
      </c>
      <c r="O13" s="19">
        <f>SUMIFS('Cable Schedule'!$W$2:$W$5800,'Cable Schedule'!$B$2:$B$5800,"K",'Cable Schedule'!$I$2:$I$5800,"Building wire")</f>
        <v/>
      </c>
      <c r="P13" s="19">
        <f>SUMIFS('Cable Schedule'!$W$2:$W$5800,'Cable Schedule'!$B$2:$B$5800,"K",'Cable Schedule'!$I$2:$I$5800,"Grounding")</f>
        <v/>
      </c>
      <c r="Q13" s="19">
        <f>SUMIFS('Cable Schedule'!$W$2:$W$5800,'Cable Schedule'!$B$2:$B$5800,"K",'Cable Schedule'!$I$2:$I$5800,"Overhead")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Schedule'!B2:B5800,"?")</f>
        <v/>
      </c>
    </row>
    <row r="18">
      <c r="A18" s="23" t="inlineStr">
        <is>
          <t>Cables (count)</t>
        </is>
      </c>
      <c r="B18" s="19">
        <f>SUM('Cable Schedule'!AA2:AA5800)</f>
        <v/>
      </c>
    </row>
    <row r="20">
      <c r="A20" s="23" t="inlineStr">
        <is>
          <t>Device count behind the schedule (typical for each equipment class)</t>
        </is>
      </c>
    </row>
    <row r="21">
      <c r="A21" s="12" t="inlineStr">
        <is>
          <t>Analog instruments</t>
        </is>
      </c>
      <c r="B21" s="31" t="n">
        <v>6153</v>
      </c>
    </row>
    <row r="22">
      <c r="A22" s="12" t="inlineStr">
        <is>
          <t>Discrete devices</t>
        </is>
      </c>
      <c r="B22" s="31" t="n">
        <v>6437</v>
      </c>
    </row>
    <row r="23">
      <c r="A23" s="12" t="inlineStr">
        <is>
          <t>Thermocouples</t>
        </is>
      </c>
      <c r="B23" s="31" t="n">
        <v>832</v>
      </c>
    </row>
    <row r="24">
      <c r="A24" s="12" t="inlineStr">
        <is>
          <t>RTDs</t>
        </is>
      </c>
      <c r="B24" s="31" t="n">
        <v>486</v>
      </c>
    </row>
    <row r="25">
      <c r="A25" s="12" t="inlineStr">
        <is>
          <t>Solenoids</t>
        </is>
      </c>
      <c r="B25" s="31" t="n">
        <v>544</v>
      </c>
    </row>
    <row r="26">
      <c r="A26" s="12" t="inlineStr">
        <is>
          <t>LV motors</t>
        </is>
      </c>
      <c r="B26" s="31" t="n">
        <v>760</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9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Control / admin building: MDP 480 V</t>
        </is>
      </c>
      <c r="B875" s="12" t="inlineStr">
        <is>
          <t>MDP 480 V</t>
        </is>
      </c>
      <c r="C875" s="12" t="inlineStr">
        <is>
          <t>F</t>
        </is>
      </c>
      <c r="D875" s="12" t="inlineStr">
        <is>
          <t>Building service 480 V, 800 A: 2 sets in 4 in PVC</t>
        </is>
      </c>
      <c r="E875" s="12" t="n">
        <v>480</v>
      </c>
      <c r="F875" s="12" t="n">
        <v>480</v>
      </c>
      <c r="G875" s="12" t="n">
        <v>800</v>
      </c>
      <c r="H875" s="12" t="inlineStr">
        <is>
          <t>Control / admin building: service duct bank, north wall x 26</t>
        </is>
      </c>
      <c r="I875" s="12" t="inlineStr">
        <is>
          <t>LV 600 V</t>
        </is>
      </c>
      <c r="J875" s="12" t="inlineStr">
        <is>
          <t>500 kcmil</t>
        </is>
      </c>
      <c r="K875" s="12" t="n">
        <v>2</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LV power feeder</t>
        </is>
      </c>
      <c r="E1284" s="12" t="n">
        <v>480</v>
      </c>
      <c r="F1284" s="12" t="n">
        <v>10</v>
      </c>
      <c r="G1284" s="12" t="n">
        <v>14.2</v>
      </c>
      <c r="H1284" s="12" t="inlineStr">
        <is>
          <t>MOD-LV 480 V board + 480 V : 13.8 kV step-up</t>
        </is>
      </c>
      <c r="I1284" s="12" t="inlineStr">
        <is>
          <t>LV 600 V</t>
        </is>
      </c>
      <c r="J1284" s="12" t="inlineStr">
        <is>
          <t>1/0</t>
        </is>
      </c>
      <c r="K1284" s="12" t="n">
        <v>1</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BESS black-start alternative</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SC-1 inlet chiller / evaporative cooler</t>
        </is>
      </c>
      <c r="B1289" s="12" t="inlineStr"/>
      <c r="C1289" s="12" t="inlineStr">
        <is>
          <t>I</t>
        </is>
      </c>
      <c r="D1289" s="12" t="inlineStr">
        <is>
          <t>LV power feeder</t>
        </is>
      </c>
      <c r="E1289" s="12" t="n">
        <v>480</v>
      </c>
      <c r="F1289" s="12" t="n">
        <v>500</v>
      </c>
      <c r="G1289" s="12" t="n">
        <v>707.6</v>
      </c>
      <c r="H1289" s="12" t="inlineStr">
        <is>
          <t>PCM: power control module</t>
        </is>
      </c>
      <c r="I1289" s="12" t="inlineStr">
        <is>
          <t>LV 600 V</t>
        </is>
      </c>
      <c r="J1289" s="12" t="inlineStr">
        <is>
          <t>350 kcmil</t>
        </is>
      </c>
      <c r="K1289" s="12" t="n">
        <v>3</v>
      </c>
    </row>
    <row r="1290">
      <c r="A1290" s="12" t="inlineStr">
        <is>
          <t>CONDITIONAL: SC-2 inlet chiller / evaporative cooler</t>
        </is>
      </c>
      <c r="B1290" s="12" t="inlineStr"/>
      <c r="C1290" s="12" t="inlineStr">
        <is>
          <t>I</t>
        </is>
      </c>
      <c r="D1290" s="12" t="inlineStr">
        <is>
          <t>LV power feeder</t>
        </is>
      </c>
      <c r="E1290" s="12" t="n">
        <v>480</v>
      </c>
      <c r="F1290" s="12" t="n">
        <v>500</v>
      </c>
      <c r="G1290" s="12" t="n">
        <v>707.6</v>
      </c>
      <c r="H1290" s="12" t="inlineStr">
        <is>
          <t>MOD-LV 480 V board + 480 V : 13.8 kV step-up</t>
        </is>
      </c>
      <c r="I1290" s="12" t="inlineStr">
        <is>
          <t>LV 600 V</t>
        </is>
      </c>
      <c r="J1290" s="12" t="inlineStr">
        <is>
          <t>500 kcmil</t>
        </is>
      </c>
      <c r="K1290" s="12" t="n">
        <v>12</v>
      </c>
    </row>
    <row r="1291">
      <c r="A1291" s="12" t="inlineStr">
        <is>
          <t>FC-5..12 inverter / AC cabinet / desulfurizer</t>
        </is>
      </c>
      <c r="B1291" s="12" t="inlineStr"/>
      <c r="C1291" s="12" t="inlineStr">
        <is>
          <t>I</t>
        </is>
      </c>
      <c r="D1291" s="12" t="inlineStr">
        <is>
          <t>FC-5 SOFC output to inverter / AC cabinet</t>
        </is>
      </c>
      <c r="E1291" s="12" t="n">
        <v>480</v>
      </c>
      <c r="F1291" s="12" t="n">
        <v>250</v>
      </c>
      <c r="G1291" s="12" t="n">
        <v>316.5</v>
      </c>
      <c r="H1291" s="12" t="inlineStr">
        <is>
          <t>FC-5: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FC-6 SOFC output to inverter / AC cabinet</t>
        </is>
      </c>
      <c r="E1292" s="12" t="n">
        <v>480</v>
      </c>
      <c r="F1292" s="12" t="n">
        <v>250</v>
      </c>
      <c r="G1292" s="12" t="n">
        <v>316.5</v>
      </c>
      <c r="H1292" s="12" t="inlineStr">
        <is>
          <t>FC-6: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FC-7 SOFC output to inverter / AC cabinet</t>
        </is>
      </c>
      <c r="E1293" s="12" t="n">
        <v>480</v>
      </c>
      <c r="F1293" s="12" t="n">
        <v>250</v>
      </c>
      <c r="G1293" s="12" t="n">
        <v>316.5</v>
      </c>
      <c r="H1293" s="12" t="inlineStr">
        <is>
          <t>FC-7: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FC-8 SOFC output to inverter / AC cabinet</t>
        </is>
      </c>
      <c r="E1294" s="12" t="n">
        <v>480</v>
      </c>
      <c r="F1294" s="12" t="n">
        <v>250</v>
      </c>
      <c r="G1294" s="12" t="n">
        <v>316.5</v>
      </c>
      <c r="H1294" s="12" t="inlineStr">
        <is>
          <t>FC-8: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FC-9 SOFC output to inverter / AC cabinet</t>
        </is>
      </c>
      <c r="E1295" s="12" t="n">
        <v>480</v>
      </c>
      <c r="F1295" s="12" t="n">
        <v>250</v>
      </c>
      <c r="G1295" s="12" t="n">
        <v>316.5</v>
      </c>
      <c r="H1295" s="12" t="inlineStr">
        <is>
          <t>FC-9: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FC-10 SOFC output to inverter / AC cabinet</t>
        </is>
      </c>
      <c r="E1296" s="12" t="n">
        <v>480</v>
      </c>
      <c r="F1296" s="12" t="n">
        <v>250</v>
      </c>
      <c r="G1296" s="12" t="n">
        <v>316.5</v>
      </c>
      <c r="H1296" s="12" t="inlineStr">
        <is>
          <t>FC-10: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FC-11 SOFC output to inverter / AC cabinet</t>
        </is>
      </c>
      <c r="E1297" s="12" t="n">
        <v>480</v>
      </c>
      <c r="F1297" s="12" t="n">
        <v>250</v>
      </c>
      <c r="G1297" s="12" t="n">
        <v>316.5</v>
      </c>
      <c r="H1297" s="12" t="inlineStr">
        <is>
          <t>FC-11: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FC-12 SOFC output to inverter / AC cabinet</t>
        </is>
      </c>
      <c r="E1298" s="12" t="n">
        <v>480</v>
      </c>
      <c r="F1298" s="12" t="n">
        <v>250</v>
      </c>
      <c r="G1298" s="12" t="n">
        <v>316.5</v>
      </c>
      <c r="H1298" s="12" t="inlineStr">
        <is>
          <t>FC-12: SOFC module (Bloom ES5 class, 200-300 kW)</t>
        </is>
      </c>
      <c r="I1298" s="12" t="inlineStr">
        <is>
          <t>LV 600 V</t>
        </is>
      </c>
      <c r="J1298" s="12" t="inlineStr">
        <is>
          <t>3/0</t>
        </is>
      </c>
      <c r="K1298" s="12" t="n">
        <v>2</v>
      </c>
    </row>
    <row r="1299">
      <c r="A1299" s="12" t="inlineStr">
        <is>
          <t>Fuel-gas compressors 3 x 100% electric</t>
        </is>
      </c>
      <c r="B1299" s="12" t="inlineStr"/>
      <c r="C1299" s="12" t="inlineStr">
        <is>
          <t>I</t>
        </is>
      </c>
      <c r="D1299" s="12" t="inlineStr">
        <is>
          <t>Motor 1 of 6, 15 kW</t>
        </is>
      </c>
      <c r="E1299" s="12" t="n">
        <v>480</v>
      </c>
      <c r="F1299" s="12" t="n">
        <v>15</v>
      </c>
      <c r="G1299" s="12" t="n">
        <v>21.2</v>
      </c>
      <c r="H1299" s="12" t="inlineStr">
        <is>
          <t>MOD-LV 480 V board + 480 V : 13.8 kV step-up</t>
        </is>
      </c>
      <c r="I1299" s="12" t="inlineStr">
        <is>
          <t>LV 600 V</t>
        </is>
      </c>
      <c r="J1299" s="12" t="inlineStr">
        <is>
          <t>3/0</t>
        </is>
      </c>
      <c r="K1299" s="12" t="n">
        <v>1</v>
      </c>
    </row>
    <row r="1300">
      <c r="A1300" s="12" t="inlineStr">
        <is>
          <t>Fuel-gas compressors 3 x 100% electric</t>
        </is>
      </c>
      <c r="B1300" s="12" t="inlineStr"/>
      <c r="C1300" s="12" t="inlineStr">
        <is>
          <t>I</t>
        </is>
      </c>
      <c r="D1300" s="12" t="inlineStr">
        <is>
          <t>Motor 2 of 6, 15 kW</t>
        </is>
      </c>
      <c r="E1300" s="12" t="n">
        <v>480</v>
      </c>
      <c r="F1300" s="12" t="n">
        <v>15</v>
      </c>
      <c r="G1300" s="12" t="n">
        <v>21.2</v>
      </c>
      <c r="H1300" s="12" t="inlineStr">
        <is>
          <t>MOD-LV 480 V board + 480 V : 13.8 kV step-up</t>
        </is>
      </c>
      <c r="I1300" s="12" t="inlineStr">
        <is>
          <t>LV 600 V</t>
        </is>
      </c>
      <c r="J1300" s="12" t="inlineStr">
        <is>
          <t>3/0</t>
        </is>
      </c>
      <c r="K1300" s="12" t="n">
        <v>1</v>
      </c>
    </row>
    <row r="1301">
      <c r="A1301" s="12" t="inlineStr">
        <is>
          <t>Fuel-gas compressors 3 x 100% electric</t>
        </is>
      </c>
      <c r="B1301" s="12" t="inlineStr"/>
      <c r="C1301" s="12" t="inlineStr">
        <is>
          <t>I</t>
        </is>
      </c>
      <c r="D1301" s="12" t="inlineStr">
        <is>
          <t>Motor 3 of 6, 15 kW</t>
        </is>
      </c>
      <c r="E1301" s="12" t="n">
        <v>480</v>
      </c>
      <c r="F1301" s="12" t="n">
        <v>15</v>
      </c>
      <c r="G1301" s="12" t="n">
        <v>21.2</v>
      </c>
      <c r="H1301" s="12" t="inlineStr">
        <is>
          <t>MOD-LV 480 V board + 480 V : 13.8 kV step-up</t>
        </is>
      </c>
      <c r="I1301" s="12" t="inlineStr">
        <is>
          <t>LV 600 V</t>
        </is>
      </c>
      <c r="J1301" s="12" t="inlineStr">
        <is>
          <t>3/0</t>
        </is>
      </c>
      <c r="K1301" s="12" t="n">
        <v>1</v>
      </c>
    </row>
    <row r="1302">
      <c r="A1302" s="12" t="inlineStr">
        <is>
          <t>Fuel-gas compressors 3 x 100% electric</t>
        </is>
      </c>
      <c r="B1302" s="12" t="inlineStr"/>
      <c r="C1302" s="12" t="inlineStr">
        <is>
          <t>I</t>
        </is>
      </c>
      <c r="D1302" s="12" t="inlineStr">
        <is>
          <t>Motor 4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5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6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Gas conditioning skid</t>
        </is>
      </c>
      <c r="B1305" s="12" t="inlineStr"/>
      <c r="C1305" s="12" t="inlineStr">
        <is>
          <t>I</t>
        </is>
      </c>
      <c r="D1305" s="12" t="inlineStr">
        <is>
          <t>LV power feeder</t>
        </is>
      </c>
      <c r="E1305" s="12" t="n">
        <v>480</v>
      </c>
      <c r="F1305" s="12" t="n">
        <v>30</v>
      </c>
      <c r="G1305" s="12" t="n">
        <v>42.5</v>
      </c>
      <c r="H1305" s="12" t="inlineStr">
        <is>
          <t>PCM: power control module</t>
        </is>
      </c>
      <c r="I1305" s="12" t="inlineStr">
        <is>
          <t>LV 600 V</t>
        </is>
      </c>
      <c r="J1305" s="12" t="inlineStr">
        <is>
          <t>6</t>
        </is>
      </c>
      <c r="K1305" s="12" t="n">
        <v>1</v>
      </c>
    </row>
    <row r="1306">
      <c r="A1306" s="12" t="inlineStr">
        <is>
          <t>Lube oil / starting air / oily water building</t>
        </is>
      </c>
      <c r="B1306" s="12" t="inlineStr"/>
      <c r="C1306" s="12" t="inlineStr">
        <is>
          <t>I</t>
        </is>
      </c>
      <c r="D1306" s="12" t="inlineStr">
        <is>
          <t>LV panel / distribution feeder</t>
        </is>
      </c>
      <c r="E1306" s="12" t="n">
        <v>480</v>
      </c>
      <c r="F1306" s="12" t="n">
        <v>79</v>
      </c>
      <c r="G1306" s="12" t="n">
        <v>111.8</v>
      </c>
      <c r="H1306" s="12" t="inlineStr">
        <is>
          <t>PCM: power control module</t>
        </is>
      </c>
      <c r="I1306" s="12" t="inlineStr">
        <is>
          <t>LV 600 V</t>
        </is>
      </c>
      <c r="J1306" s="12" t="inlineStr">
        <is>
          <t>1/0</t>
        </is>
      </c>
      <c r="K1306" s="12" t="n">
        <v>1</v>
      </c>
    </row>
    <row r="1307">
      <c r="A1307" s="12" t="inlineStr">
        <is>
          <t>MOD-EH: 13.8 kV modular collector e-house</t>
        </is>
      </c>
      <c r="B1307" s="12" t="inlineStr">
        <is>
          <t>MOD-EH</t>
        </is>
      </c>
      <c r="C1307" s="12" t="inlineStr">
        <is>
          <t>I</t>
        </is>
      </c>
      <c r="D1307" s="12" t="inlineStr">
        <is>
          <t>LV panel / distribution feeder</t>
        </is>
      </c>
      <c r="E1307" s="12" t="n">
        <v>480</v>
      </c>
      <c r="F1307" s="12" t="n">
        <v>30</v>
      </c>
      <c r="G1307" s="12" t="n">
        <v>42.5</v>
      </c>
      <c r="H1307" s="12" t="inlineStr">
        <is>
          <t>MOD-LV 480 V board + 480 V : 13.8 kV step-up</t>
        </is>
      </c>
      <c r="I1307" s="12" t="inlineStr">
        <is>
          <t>LV 600 V</t>
        </is>
      </c>
      <c r="J1307" s="12" t="inlineStr">
        <is>
          <t>4</t>
        </is>
      </c>
      <c r="K1307" s="12" t="n">
        <v>1</v>
      </c>
    </row>
    <row r="1308">
      <c r="A1308" s="12" t="inlineStr">
        <is>
          <t>MOD-LV 480 V board + 480 V : 13.8 kV step-up</t>
        </is>
      </c>
      <c r="B1308" s="12" t="inlineStr"/>
      <c r="C1308" s="12" t="inlineStr">
        <is>
          <t>I</t>
        </is>
      </c>
      <c r="D1308" s="12" t="inlineStr">
        <is>
          <t>Fuel-cell AC cabinet to MOD-LV</t>
        </is>
      </c>
      <c r="E1308" s="12" t="n">
        <v>480</v>
      </c>
      <c r="F1308" s="12" t="n">
        <v>2000</v>
      </c>
      <c r="G1308" s="12" t="n">
        <v>2532.3</v>
      </c>
      <c r="H1308" s="12" t="inlineStr">
        <is>
          <t>FC-5..12 inverter / AC cabinet / desulfurizer</t>
        </is>
      </c>
      <c r="I1308" s="12" t="inlineStr">
        <is>
          <t>LV 600 V</t>
        </is>
      </c>
      <c r="J1308" s="12" t="inlineStr">
        <is>
          <t>500 kcmil</t>
        </is>
      </c>
      <c r="K1308" s="12" t="n">
        <v>12</v>
      </c>
    </row>
    <row r="1309">
      <c r="A1309" s="12" t="inlineStr">
        <is>
          <t>MOD-LV 480 V board + 480 V : 13.8 kV step-up</t>
        </is>
      </c>
      <c r="B1309" s="12" t="inlineStr"/>
      <c r="C1309" s="12" t="inlineStr">
        <is>
          <t>I</t>
        </is>
      </c>
      <c r="D1309" s="12" t="inlineStr">
        <is>
          <t>MT-4 microturbine output</t>
        </is>
      </c>
      <c r="E1309" s="12" t="n">
        <v>480</v>
      </c>
      <c r="F1309" s="12" t="n">
        <v>1000</v>
      </c>
      <c r="G1309" s="12" t="n">
        <v>1266.2</v>
      </c>
      <c r="H1309" s="12" t="inlineStr">
        <is>
          <t>MT-4: microturbine 1 MW (Capstone C1000 class)</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MT-5 microturbine output</t>
        </is>
      </c>
      <c r="E1310" s="12" t="n">
        <v>480</v>
      </c>
      <c r="F1310" s="12" t="n">
        <v>1000</v>
      </c>
      <c r="G1310" s="12" t="n">
        <v>1266.2</v>
      </c>
      <c r="H1310" s="12" t="inlineStr">
        <is>
          <t>MT-5: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MT-6 microturbine output</t>
        </is>
      </c>
      <c r="E1311" s="12" t="n">
        <v>480</v>
      </c>
      <c r="F1311" s="12" t="n">
        <v>1000</v>
      </c>
      <c r="G1311" s="12" t="n">
        <v>1266.2</v>
      </c>
      <c r="H1311" s="12" t="inlineStr">
        <is>
          <t>MT-6: microturbine 1 MW (Capstone C1000 class)</t>
        </is>
      </c>
      <c r="I1311" s="12" t="inlineStr">
        <is>
          <t>LV 600 V</t>
        </is>
      </c>
      <c r="J1311" s="12" t="inlineStr">
        <is>
          <t>500 kcmil</t>
        </is>
      </c>
      <c r="K1311" s="12" t="n">
        <v>12</v>
      </c>
    </row>
    <row r="1312">
      <c r="A1312" s="12" t="inlineStr">
        <is>
          <t>PAD-TX 480 V : 13.8 kV</t>
        </is>
      </c>
      <c r="B1312" s="12" t="inlineStr">
        <is>
          <t>PAD-TX</t>
        </is>
      </c>
      <c r="C1312" s="12" t="inlineStr">
        <is>
          <t>I</t>
        </is>
      </c>
      <c r="D1312" s="12" t="inlineStr">
        <is>
          <t>PAD-LV to PAD-TX</t>
        </is>
      </c>
      <c r="E1312" s="12" t="n">
        <v>480</v>
      </c>
      <c r="F1312" s="12" t="n">
        <v>3000</v>
      </c>
      <c r="G1312" s="12" t="n">
        <v>3600</v>
      </c>
      <c r="H1312" s="12" t="inlineStr">
        <is>
          <t>PAD-LV 480 V paralleling switchboard</t>
        </is>
      </c>
      <c r="I1312" s="12" t="inlineStr">
        <is>
          <t>LV 600 V</t>
        </is>
      </c>
      <c r="J1312" s="12" t="inlineStr">
        <is>
          <t>500 kcmil</t>
        </is>
      </c>
      <c r="K1312" s="12" t="n">
        <v>12</v>
      </c>
    </row>
    <row r="1313">
      <c r="A1313" s="12" t="inlineStr">
        <is>
          <t>PCM: power control module</t>
        </is>
      </c>
      <c r="B1313" s="12" t="inlineStr"/>
      <c r="C1313" s="12" t="inlineStr">
        <is>
          <t>I</t>
        </is>
      </c>
      <c r="D1313" s="12" t="inlineStr">
        <is>
          <t>LV panel / distribution feeder</t>
        </is>
      </c>
      <c r="E1313" s="12" t="n">
        <v>480</v>
      </c>
      <c r="F1313" s="12" t="n">
        <v>38</v>
      </c>
      <c r="G1313" s="12" t="n">
        <v>53.8</v>
      </c>
      <c r="H1313" s="12" t="inlineStr">
        <is>
          <t>PCM: power control module</t>
        </is>
      </c>
      <c r="I1313" s="12" t="inlineStr">
        <is>
          <t>LV 600 V</t>
        </is>
      </c>
      <c r="J1313" s="12" t="inlineStr">
        <is>
          <t>4</t>
        </is>
      </c>
      <c r="K1313" s="12" t="n">
        <v>1</v>
      </c>
    </row>
    <row r="1314">
      <c r="A1314" s="12" t="inlineStr">
        <is>
          <t>RICE 1 SCR + oxidation catalyst and stack</t>
        </is>
      </c>
      <c r="B1314" s="12" t="inlineStr"/>
      <c r="C1314" s="12" t="inlineStr">
        <is>
          <t>I</t>
        </is>
      </c>
      <c r="D1314" s="12" t="inlineStr">
        <is>
          <t>Motor 1 of 1, 15 kW</t>
        </is>
      </c>
      <c r="E1314" s="12" t="n">
        <v>480</v>
      </c>
      <c r="F1314" s="12" t="n">
        <v>15</v>
      </c>
      <c r="G1314" s="12" t="n">
        <v>21.2</v>
      </c>
      <c r="H1314" s="12" t="inlineStr">
        <is>
          <t>PCM: power control module</t>
        </is>
      </c>
      <c r="I1314" s="12" t="inlineStr">
        <is>
          <t>LV 600 V</t>
        </is>
      </c>
      <c r="J1314" s="12" t="inlineStr">
        <is>
          <t>6</t>
        </is>
      </c>
      <c r="K1314" s="12" t="n">
        <v>1</v>
      </c>
    </row>
    <row r="1315">
      <c r="A1315" s="12" t="inlineStr">
        <is>
          <t>RICE 1 SCR + oxidation catalyst and stack</t>
        </is>
      </c>
      <c r="B1315" s="12" t="inlineStr"/>
      <c r="C1315" s="12" t="inlineStr">
        <is>
          <t>I</t>
        </is>
      </c>
      <c r="D1315" s="12" t="inlineStr">
        <is>
          <t>Area / platform lighting circuit 1 (6 fixtures)</t>
        </is>
      </c>
      <c r="E1315" s="12" t="n">
        <v>480</v>
      </c>
      <c r="F1315" s="12" t="n">
        <v>3</v>
      </c>
      <c r="G1315" s="12" t="n">
        <v>5</v>
      </c>
      <c r="H1315" s="12" t="inlineStr">
        <is>
          <t>PCM: power control module</t>
        </is>
      </c>
      <c r="I1315" s="12" t="inlineStr">
        <is>
          <t>LV 600 V</t>
        </is>
      </c>
      <c r="J1315" s="12" t="inlineStr">
        <is>
          <t>10</t>
        </is>
      </c>
      <c r="K1315" s="12" t="n">
        <v>1</v>
      </c>
    </row>
    <row r="1316">
      <c r="A1316" s="12" t="inlineStr">
        <is>
          <t>RICE 1 radiators (5)</t>
        </is>
      </c>
      <c r="B1316" s="12" t="inlineStr"/>
      <c r="C1316" s="12" t="inlineStr">
        <is>
          <t>I</t>
        </is>
      </c>
      <c r="D1316" s="12" t="inlineStr">
        <is>
          <t>Motor 1 of 5, 30 kW (VFD output)</t>
        </is>
      </c>
      <c r="E1316" s="12" t="n">
        <v>480</v>
      </c>
      <c r="F1316" s="12" t="n">
        <v>30</v>
      </c>
      <c r="G1316" s="12" t="n">
        <v>42</v>
      </c>
      <c r="H1316" s="12" t="inlineStr">
        <is>
          <t>PCM: power control module</t>
        </is>
      </c>
      <c r="I1316" s="12" t="inlineStr">
        <is>
          <t>LV 600 V</t>
        </is>
      </c>
      <c r="J1316" s="12" t="inlineStr">
        <is>
          <t>1</t>
        </is>
      </c>
      <c r="K1316" s="12" t="n">
        <v>1</v>
      </c>
    </row>
    <row r="1317">
      <c r="A1317" s="12" t="inlineStr">
        <is>
          <t>RICE 1 radiators (5)</t>
        </is>
      </c>
      <c r="B1317" s="12" t="inlineStr"/>
      <c r="C1317" s="12" t="inlineStr">
        <is>
          <t>I</t>
        </is>
      </c>
      <c r="D1317" s="12" t="inlineStr">
        <is>
          <t>Motor 2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3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4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5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2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2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2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2</t>
        </is>
      </c>
      <c r="K1323" s="12" t="n">
        <v>1</v>
      </c>
    </row>
    <row r="1324">
      <c r="A1324" s="12" t="inlineStr">
        <is>
          <t>RICE 2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3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3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3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6</t>
        </is>
      </c>
      <c r="K1330" s="12" t="n">
        <v>1</v>
      </c>
    </row>
    <row r="1331">
      <c r="A1331" s="12" t="inlineStr">
        <is>
          <t>RICE 3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4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4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4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5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5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5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6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6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6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7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8</t>
        </is>
      </c>
      <c r="K1356" s="12" t="n">
        <v>1</v>
      </c>
    </row>
    <row r="1357">
      <c r="A1357" s="12" t="inlineStr">
        <is>
          <t>RICE 7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7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7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8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8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8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8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CEMS</t>
        </is>
      </c>
      <c r="B1370" s="12" t="inlineStr"/>
      <c r="C1370" s="12" t="inlineStr">
        <is>
          <t>I</t>
        </is>
      </c>
      <c r="D1370" s="12" t="inlineStr">
        <is>
          <t>LV panel / distribution feeder</t>
        </is>
      </c>
      <c r="E1370" s="12" t="n">
        <v>480</v>
      </c>
      <c r="F1370" s="12" t="n">
        <v>30</v>
      </c>
      <c r="G1370" s="12" t="n">
        <v>42.5</v>
      </c>
      <c r="H1370" s="12" t="inlineStr">
        <is>
          <t>PCM: power control module</t>
        </is>
      </c>
      <c r="I1370" s="12" t="inlineStr">
        <is>
          <t>LV 600 V</t>
        </is>
      </c>
      <c r="J1370" s="12" t="inlineStr">
        <is>
          <t>4</t>
        </is>
      </c>
      <c r="K1370" s="12" t="n">
        <v>1</v>
      </c>
    </row>
    <row r="1371">
      <c r="A1371" s="12" t="inlineStr">
        <is>
          <t>RICE engine hall (8 engines)</t>
        </is>
      </c>
      <c r="B1371" s="12" t="inlineStr">
        <is>
          <t>RICE</t>
        </is>
      </c>
      <c r="C1371" s="12" t="inlineStr">
        <is>
          <t>I</t>
        </is>
      </c>
      <c r="D1371" s="12" t="inlineStr">
        <is>
          <t>LV power feeder</t>
        </is>
      </c>
      <c r="E1371" s="12" t="n">
        <v>480</v>
      </c>
      <c r="F1371" s="12" t="n">
        <v>15</v>
      </c>
      <c r="G1371" s="12" t="n">
        <v>21.2</v>
      </c>
      <c r="H1371" s="12" t="inlineStr">
        <is>
          <t>PCM: power control module</t>
        </is>
      </c>
      <c r="I1371" s="12" t="inlineStr">
        <is>
          <t>LV 600 V</t>
        </is>
      </c>
      <c r="J1371" s="12" t="inlineStr">
        <is>
          <t>8</t>
        </is>
      </c>
      <c r="K1371" s="12" t="n">
        <v>1</v>
      </c>
    </row>
    <row r="1372">
      <c r="A1372" s="12" t="inlineStr">
        <is>
          <t>RICE engine-generator 1</t>
        </is>
      </c>
      <c r="B1372" s="12" t="inlineStr">
        <is>
          <t>RICE-1</t>
        </is>
      </c>
      <c r="C1372" s="12" t="inlineStr">
        <is>
          <t>I</t>
        </is>
      </c>
      <c r="D1372" s="12" t="inlineStr">
        <is>
          <t>Motor 1 of 6, 22 kW</t>
        </is>
      </c>
      <c r="E1372" s="12" t="n">
        <v>480</v>
      </c>
      <c r="F1372" s="12" t="n">
        <v>22</v>
      </c>
      <c r="G1372" s="12" t="n">
        <v>31.1</v>
      </c>
      <c r="H1372" s="12" t="inlineStr">
        <is>
          <t>PCM: power control module</t>
        </is>
      </c>
      <c r="I1372" s="12" t="inlineStr">
        <is>
          <t>LV 600 V</t>
        </is>
      </c>
      <c r="J1372" s="12" t="inlineStr">
        <is>
          <t>4</t>
        </is>
      </c>
      <c r="K1372" s="12" t="n">
        <v>1</v>
      </c>
    </row>
    <row r="1373">
      <c r="A1373" s="12" t="inlineStr">
        <is>
          <t>RICE engine-generator 1</t>
        </is>
      </c>
      <c r="B1373" s="12" t="inlineStr">
        <is>
          <t>RICE-1</t>
        </is>
      </c>
      <c r="C1373" s="12" t="inlineStr">
        <is>
          <t>I</t>
        </is>
      </c>
      <c r="D1373" s="12" t="inlineStr">
        <is>
          <t>Motor 2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3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4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5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6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480 V welding receptacle 1</t>
        </is>
      </c>
      <c r="E1378" s="12" t="n">
        <v>480</v>
      </c>
      <c r="F1378" s="12" t="n">
        <v>60</v>
      </c>
      <c r="G1378" s="12" t="n">
        <v>76</v>
      </c>
      <c r="H1378" s="12" t="inlineStr">
        <is>
          <t>PCM: power control module</t>
        </is>
      </c>
      <c r="I1378" s="12" t="inlineStr">
        <is>
          <t>LV 600 V</t>
        </is>
      </c>
      <c r="J1378" s="12" t="inlineStr">
        <is>
          <t>1/0</t>
        </is>
      </c>
      <c r="K1378" s="12" t="n">
        <v>1</v>
      </c>
    </row>
    <row r="1379">
      <c r="A1379" s="12" t="inlineStr">
        <is>
          <t>RICE engine-generator 1</t>
        </is>
      </c>
      <c r="B1379" s="12" t="inlineStr">
        <is>
          <t>RICE-1</t>
        </is>
      </c>
      <c r="C1379" s="12" t="inlineStr">
        <is>
          <t>I</t>
        </is>
      </c>
      <c r="D1379" s="12" t="inlineStr">
        <is>
          <t>480 V welding receptacle 2</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3</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4</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2</t>
        </is>
      </c>
      <c r="B1382" s="12" t="inlineStr">
        <is>
          <t>RICE-2</t>
        </is>
      </c>
      <c r="C1382" s="12" t="inlineStr">
        <is>
          <t>I</t>
        </is>
      </c>
      <c r="D1382" s="12" t="inlineStr">
        <is>
          <t>Motor 1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2</t>
        </is>
      </c>
      <c r="B1383" s="12" t="inlineStr">
        <is>
          <t>RICE-2</t>
        </is>
      </c>
      <c r="C1383" s="12" t="inlineStr">
        <is>
          <t>I</t>
        </is>
      </c>
      <c r="D1383" s="12" t="inlineStr">
        <is>
          <t>Motor 2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3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4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5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6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480 V welding receptacle 1</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480 V welding receptacle 2</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3</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4</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3</t>
        </is>
      </c>
      <c r="B1392" s="12" t="inlineStr">
        <is>
          <t>RICE-3</t>
        </is>
      </c>
      <c r="C1392" s="12" t="inlineStr">
        <is>
          <t>I</t>
        </is>
      </c>
      <c r="D1392" s="12" t="inlineStr">
        <is>
          <t>Motor 1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3</t>
        </is>
      </c>
      <c r="B1393" s="12" t="inlineStr">
        <is>
          <t>RICE-3</t>
        </is>
      </c>
      <c r="C1393" s="12" t="inlineStr">
        <is>
          <t>I</t>
        </is>
      </c>
      <c r="D1393" s="12" t="inlineStr">
        <is>
          <t>Motor 2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3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4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5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6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480 V welding receptacle 1</t>
        </is>
      </c>
      <c r="E1398" s="12" t="n">
        <v>480</v>
      </c>
      <c r="F1398" s="12" t="n">
        <v>60</v>
      </c>
      <c r="G1398" s="12" t="n">
        <v>76</v>
      </c>
      <c r="H1398" s="12" t="inlineStr">
        <is>
          <t>PCM: power control module</t>
        </is>
      </c>
      <c r="I1398" s="12" t="inlineStr">
        <is>
          <t>LV 600 V</t>
        </is>
      </c>
      <c r="J1398" s="12" t="inlineStr">
        <is>
          <t>1</t>
        </is>
      </c>
      <c r="K1398" s="12" t="n">
        <v>1</v>
      </c>
    </row>
    <row r="1399">
      <c r="A1399" s="12" t="inlineStr">
        <is>
          <t>RICE engine-generator 3</t>
        </is>
      </c>
      <c r="B1399" s="12" t="inlineStr">
        <is>
          <t>RICE-3</t>
        </is>
      </c>
      <c r="C1399" s="12" t="inlineStr">
        <is>
          <t>I</t>
        </is>
      </c>
      <c r="D1399" s="12" t="inlineStr">
        <is>
          <t>480 V welding receptacle 2</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3</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4</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4</t>
        </is>
      </c>
      <c r="B1402" s="12" t="inlineStr">
        <is>
          <t>RICE-4</t>
        </is>
      </c>
      <c r="C1402" s="12" t="inlineStr">
        <is>
          <t>I</t>
        </is>
      </c>
      <c r="D1402" s="12" t="inlineStr">
        <is>
          <t>Motor 1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4</t>
        </is>
      </c>
      <c r="B1403" s="12" t="inlineStr">
        <is>
          <t>RICE-4</t>
        </is>
      </c>
      <c r="C1403" s="12" t="inlineStr">
        <is>
          <t>I</t>
        </is>
      </c>
      <c r="D1403" s="12" t="inlineStr">
        <is>
          <t>Motor 2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3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4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5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6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480 V welding receptacle 1</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480 V welding receptacle 2</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3</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4</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5</t>
        </is>
      </c>
      <c r="B1412" s="12" t="inlineStr">
        <is>
          <t>RICE-5</t>
        </is>
      </c>
      <c r="C1412" s="12" t="inlineStr">
        <is>
          <t>I</t>
        </is>
      </c>
      <c r="D1412" s="12" t="inlineStr">
        <is>
          <t>Motor 1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5</t>
        </is>
      </c>
      <c r="B1413" s="12" t="inlineStr">
        <is>
          <t>RICE-5</t>
        </is>
      </c>
      <c r="C1413" s="12" t="inlineStr">
        <is>
          <t>I</t>
        </is>
      </c>
      <c r="D1413" s="12" t="inlineStr">
        <is>
          <t>Motor 2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3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4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5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6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480 V welding receptacle 1</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480 V welding receptacle 2</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3</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4</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6</t>
        </is>
      </c>
      <c r="B1422" s="12" t="inlineStr">
        <is>
          <t>RICE-6</t>
        </is>
      </c>
      <c r="C1422" s="12" t="inlineStr">
        <is>
          <t>I</t>
        </is>
      </c>
      <c r="D1422" s="12" t="inlineStr">
        <is>
          <t>Motor 1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6</t>
        </is>
      </c>
      <c r="B1423" s="12" t="inlineStr">
        <is>
          <t>RICE-6</t>
        </is>
      </c>
      <c r="C1423" s="12" t="inlineStr">
        <is>
          <t>I</t>
        </is>
      </c>
      <c r="D1423" s="12" t="inlineStr">
        <is>
          <t>Motor 2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3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4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5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6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480 V welding receptacle 1</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480 V welding receptacle 2</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3</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4</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7</t>
        </is>
      </c>
      <c r="B1432" s="12" t="inlineStr">
        <is>
          <t>RICE-7</t>
        </is>
      </c>
      <c r="C1432" s="12" t="inlineStr">
        <is>
          <t>I</t>
        </is>
      </c>
      <c r="D1432" s="12" t="inlineStr">
        <is>
          <t>Motor 1 of 6, 22 kW</t>
        </is>
      </c>
      <c r="E1432" s="12" t="n">
        <v>480</v>
      </c>
      <c r="F1432" s="12" t="n">
        <v>22</v>
      </c>
      <c r="G1432" s="12" t="n">
        <v>31.1</v>
      </c>
      <c r="H1432" s="12" t="inlineStr">
        <is>
          <t>PCM: power control module</t>
        </is>
      </c>
      <c r="I1432" s="12" t="inlineStr">
        <is>
          <t>LV 600 V</t>
        </is>
      </c>
      <c r="J1432" s="12" t="inlineStr">
        <is>
          <t>8</t>
        </is>
      </c>
      <c r="K1432" s="12" t="n">
        <v>1</v>
      </c>
    </row>
    <row r="1433">
      <c r="A1433" s="12" t="inlineStr">
        <is>
          <t>RICE engine-generator 7</t>
        </is>
      </c>
      <c r="B1433" s="12" t="inlineStr">
        <is>
          <t>RICE-7</t>
        </is>
      </c>
      <c r="C1433" s="12" t="inlineStr">
        <is>
          <t>I</t>
        </is>
      </c>
      <c r="D1433" s="12" t="inlineStr">
        <is>
          <t>Motor 2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3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4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5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6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480 V welding receptacle 1</t>
        </is>
      </c>
      <c r="E1438" s="12" t="n">
        <v>480</v>
      </c>
      <c r="F1438" s="12" t="n">
        <v>60</v>
      </c>
      <c r="G1438" s="12" t="n">
        <v>76</v>
      </c>
      <c r="H1438" s="12" t="inlineStr">
        <is>
          <t>PCM: power control module</t>
        </is>
      </c>
      <c r="I1438" s="12" t="inlineStr">
        <is>
          <t>LV 600 V</t>
        </is>
      </c>
      <c r="J1438" s="12" t="inlineStr">
        <is>
          <t>2</t>
        </is>
      </c>
      <c r="K1438" s="12" t="n">
        <v>1</v>
      </c>
    </row>
    <row r="1439">
      <c r="A1439" s="12" t="inlineStr">
        <is>
          <t>RICE engine-generator 7</t>
        </is>
      </c>
      <c r="B1439" s="12" t="inlineStr">
        <is>
          <t>RICE-7</t>
        </is>
      </c>
      <c r="C1439" s="12" t="inlineStr">
        <is>
          <t>I</t>
        </is>
      </c>
      <c r="D1439" s="12" t="inlineStr">
        <is>
          <t>480 V welding receptacle 2</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3</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4</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8</t>
        </is>
      </c>
      <c r="B1442" s="12" t="inlineStr">
        <is>
          <t>RICE-8</t>
        </is>
      </c>
      <c r="C1442" s="12" t="inlineStr">
        <is>
          <t>I</t>
        </is>
      </c>
      <c r="D1442" s="12" t="inlineStr">
        <is>
          <t>Motor 1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8</t>
        </is>
      </c>
      <c r="B1443" s="12" t="inlineStr">
        <is>
          <t>RICE-8</t>
        </is>
      </c>
      <c r="C1443" s="12" t="inlineStr">
        <is>
          <t>I</t>
        </is>
      </c>
      <c r="D1443" s="12" t="inlineStr">
        <is>
          <t>Motor 2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3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4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5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6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480 V welding receptacle 1</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480 V welding receptacle 2</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3</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4</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Reagent storage</t>
        </is>
      </c>
      <c r="B1452" s="12" t="inlineStr"/>
      <c r="C1452" s="12" t="inlineStr">
        <is>
          <t>I</t>
        </is>
      </c>
      <c r="D1452" s="12" t="inlineStr">
        <is>
          <t>LV power feeder</t>
        </is>
      </c>
      <c r="E1452" s="12" t="n">
        <v>480</v>
      </c>
      <c r="F1452" s="12" t="n">
        <v>15</v>
      </c>
      <c r="G1452" s="12" t="n">
        <v>21.2</v>
      </c>
      <c r="H1452" s="12" t="inlineStr">
        <is>
          <t>PCM: power control module</t>
        </is>
      </c>
      <c r="I1452" s="12" t="inlineStr">
        <is>
          <t>LV 600 V</t>
        </is>
      </c>
      <c r="J1452" s="12" t="inlineStr">
        <is>
          <t>10</t>
        </is>
      </c>
      <c r="K1452" s="12" t="n">
        <v>1</v>
      </c>
    </row>
    <row r="1453">
      <c r="A1453" s="12" t="inlineStr">
        <is>
          <t>SC-1 SCR / CO catalyst</t>
        </is>
      </c>
      <c r="B1453" s="12" t="inlineStr"/>
      <c r="C1453" s="12" t="inlineStr">
        <is>
          <t>I</t>
        </is>
      </c>
      <c r="D1453" s="12" t="inlineStr">
        <is>
          <t>Motor 1 of 2, 30 kW</t>
        </is>
      </c>
      <c r="E1453" s="12" t="n">
        <v>480</v>
      </c>
      <c r="F1453" s="12" t="n">
        <v>30</v>
      </c>
      <c r="G1453" s="12" t="n">
        <v>42.5</v>
      </c>
      <c r="H1453" s="12" t="inlineStr">
        <is>
          <t>PCM: power control module</t>
        </is>
      </c>
      <c r="I1453" s="12" t="inlineStr">
        <is>
          <t>LV 600 V</t>
        </is>
      </c>
      <c r="J1453" s="12" t="inlineStr">
        <is>
          <t>6</t>
        </is>
      </c>
      <c r="K1453" s="12" t="n">
        <v>1</v>
      </c>
    </row>
    <row r="1454">
      <c r="A1454" s="12" t="inlineStr">
        <is>
          <t>SC-1 SCR / CO catalyst</t>
        </is>
      </c>
      <c r="B1454" s="12" t="inlineStr"/>
      <c r="C1454" s="12" t="inlineStr">
        <is>
          <t>I</t>
        </is>
      </c>
      <c r="D1454" s="12" t="inlineStr">
        <is>
          <t>Motor 2 of 2, 30 kW</t>
        </is>
      </c>
      <c r="E1454" s="12" t="n">
        <v>480</v>
      </c>
      <c r="F1454" s="12" t="n">
        <v>30</v>
      </c>
      <c r="G1454" s="12" t="n">
        <v>42.5</v>
      </c>
      <c r="H1454" s="12" t="inlineStr">
        <is>
          <t>PCM: power control module</t>
        </is>
      </c>
      <c r="I1454" s="12" t="inlineStr">
        <is>
          <t>LV 600 V</t>
        </is>
      </c>
      <c r="J1454" s="12" t="inlineStr">
        <is>
          <t>6</t>
        </is>
      </c>
      <c r="K1454" s="12" t="n">
        <v>1</v>
      </c>
    </row>
    <row r="1455">
      <c r="A1455" s="12" t="inlineStr">
        <is>
          <t>SC-1 lube-oil fin-fan cooler</t>
        </is>
      </c>
      <c r="B1455" s="12" t="inlineStr"/>
      <c r="C1455" s="12" t="inlineStr">
        <is>
          <t>I</t>
        </is>
      </c>
      <c r="D1455" s="12" t="inlineStr">
        <is>
          <t>Motor 1 of 4, 15 kW</t>
        </is>
      </c>
      <c r="E1455" s="12" t="n">
        <v>480</v>
      </c>
      <c r="F1455" s="12" t="n">
        <v>15</v>
      </c>
      <c r="G1455" s="12" t="n">
        <v>21.2</v>
      </c>
      <c r="H1455" s="12" t="inlineStr">
        <is>
          <t>PCM: power control module</t>
        </is>
      </c>
      <c r="I1455" s="12" t="inlineStr">
        <is>
          <t>LV 600 V</t>
        </is>
      </c>
      <c r="J1455" s="12" t="inlineStr">
        <is>
          <t>10</t>
        </is>
      </c>
      <c r="K1455" s="12" t="n">
        <v>1</v>
      </c>
    </row>
    <row r="1456">
      <c r="A1456" s="12" t="inlineStr">
        <is>
          <t>SC-1 lube-oil fin-fan cooler</t>
        </is>
      </c>
      <c r="B1456" s="12" t="inlineStr"/>
      <c r="C1456" s="12" t="inlineStr">
        <is>
          <t>I</t>
        </is>
      </c>
      <c r="D1456" s="12" t="inlineStr">
        <is>
          <t>Motor 2 of 4, 15 kW</t>
        </is>
      </c>
      <c r="E1456" s="12" t="n">
        <v>480</v>
      </c>
      <c r="F1456" s="12" t="n">
        <v>15</v>
      </c>
      <c r="G1456" s="12" t="n">
        <v>21.2</v>
      </c>
      <c r="H1456" s="12" t="inlineStr">
        <is>
          <t>PCM: power control module</t>
        </is>
      </c>
      <c r="I1456" s="12" t="inlineStr">
        <is>
          <t>LV 600 V</t>
        </is>
      </c>
      <c r="J1456" s="12" t="inlineStr">
        <is>
          <t>10</t>
        </is>
      </c>
      <c r="K1456" s="12" t="n">
        <v>1</v>
      </c>
    </row>
    <row r="1457">
      <c r="A1457" s="12" t="inlineStr">
        <is>
          <t>SC-1 lube-oil fin-fan cooler</t>
        </is>
      </c>
      <c r="B1457" s="12" t="inlineStr"/>
      <c r="C1457" s="12" t="inlineStr">
        <is>
          <t>I</t>
        </is>
      </c>
      <c r="D1457" s="12" t="inlineStr">
        <is>
          <t>Motor 3 of 4, 15 kW</t>
        </is>
      </c>
      <c r="E1457" s="12" t="n">
        <v>480</v>
      </c>
      <c r="F1457" s="12" t="n">
        <v>15</v>
      </c>
      <c r="G1457" s="12" t="n">
        <v>21.2</v>
      </c>
      <c r="H1457" s="12" t="inlineStr">
        <is>
          <t>PCM: power control module</t>
        </is>
      </c>
      <c r="I1457" s="12" t="inlineStr">
        <is>
          <t>LV 600 V</t>
        </is>
      </c>
      <c r="J1457" s="12" t="inlineStr">
        <is>
          <t>10</t>
        </is>
      </c>
      <c r="K1457" s="12" t="n">
        <v>1</v>
      </c>
    </row>
    <row r="1458">
      <c r="A1458" s="12" t="inlineStr">
        <is>
          <t>SC-1 lube-oil fin-fan cooler</t>
        </is>
      </c>
      <c r="B1458" s="12" t="inlineStr"/>
      <c r="C1458" s="12" t="inlineStr">
        <is>
          <t>I</t>
        </is>
      </c>
      <c r="D1458" s="12" t="inlineStr">
        <is>
          <t>Motor 4 of 4, 15 kW</t>
        </is>
      </c>
      <c r="E1458" s="12" t="n">
        <v>480</v>
      </c>
      <c r="F1458" s="12" t="n">
        <v>15</v>
      </c>
      <c r="G1458" s="12" t="n">
        <v>21.2</v>
      </c>
      <c r="H1458" s="12" t="inlineStr">
        <is>
          <t>PCM: power control module</t>
        </is>
      </c>
      <c r="I1458" s="12" t="inlineStr">
        <is>
          <t>LV 600 V</t>
        </is>
      </c>
      <c r="J1458" s="12" t="inlineStr">
        <is>
          <t>10</t>
        </is>
      </c>
      <c r="K1458" s="12" t="n">
        <v>1</v>
      </c>
    </row>
    <row r="1459">
      <c r="A1459" s="12" t="inlineStr">
        <is>
          <t>SC-1 stack (80 ft)</t>
        </is>
      </c>
      <c r="B1459" s="12" t="inlineStr"/>
      <c r="C1459" s="12" t="inlineStr">
        <is>
          <t>I</t>
        </is>
      </c>
      <c r="D1459" s="12" t="inlineStr">
        <is>
          <t>Area / platform lighting circuit 1 (4 fixtures)</t>
        </is>
      </c>
      <c r="E1459" s="12" t="n">
        <v>480</v>
      </c>
      <c r="F1459" s="12" t="n">
        <v>3</v>
      </c>
      <c r="G1459" s="12" t="n">
        <v>5</v>
      </c>
      <c r="H1459" s="12" t="inlineStr">
        <is>
          <t>PCM: power control module</t>
        </is>
      </c>
      <c r="I1459" s="12" t="inlineStr">
        <is>
          <t>LV 600 V</t>
        </is>
      </c>
      <c r="J1459" s="12" t="inlineStr">
        <is>
          <t>10</t>
        </is>
      </c>
      <c r="K1459" s="12" t="n">
        <v>1</v>
      </c>
    </row>
    <row r="1460">
      <c r="A1460" s="12" t="inlineStr">
        <is>
          <t>SC-1: aeroderivative simple-cycle unit (LM6000 class)</t>
        </is>
      </c>
      <c r="B1460" s="12" t="inlineStr">
        <is>
          <t>SC-1</t>
        </is>
      </c>
      <c r="C1460" s="12" t="inlineStr">
        <is>
          <t>I</t>
        </is>
      </c>
      <c r="D1460" s="12" t="inlineStr">
        <is>
          <t>Motor 1 of 10,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aeroderivative simple-cycle unit (LM6000 class)</t>
        </is>
      </c>
      <c r="B1461" s="12" t="inlineStr">
        <is>
          <t>SC-1</t>
        </is>
      </c>
      <c r="C1461" s="12" t="inlineStr">
        <is>
          <t>I</t>
        </is>
      </c>
      <c r="D1461" s="12" t="inlineStr">
        <is>
          <t>Motor 2 of 10,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aeroderivative simple-cycle unit (LM6000 class)</t>
        </is>
      </c>
      <c r="B1462" s="12" t="inlineStr">
        <is>
          <t>SC-1</t>
        </is>
      </c>
      <c r="C1462" s="12" t="inlineStr">
        <is>
          <t>I</t>
        </is>
      </c>
      <c r="D1462" s="12" t="inlineStr">
        <is>
          <t>Motor 3 of 10, 30 kW</t>
        </is>
      </c>
      <c r="E1462" s="12" t="n">
        <v>480</v>
      </c>
      <c r="F1462" s="12" t="n">
        <v>30</v>
      </c>
      <c r="G1462" s="12" t="n">
        <v>42.5</v>
      </c>
      <c r="H1462" s="12" t="inlineStr">
        <is>
          <t>PCM: power control module</t>
        </is>
      </c>
      <c r="I1462" s="12" t="inlineStr">
        <is>
          <t>LV 600 V</t>
        </is>
      </c>
      <c r="J1462" s="12" t="inlineStr">
        <is>
          <t>6</t>
        </is>
      </c>
      <c r="K1462" s="12" t="n">
        <v>1</v>
      </c>
    </row>
    <row r="1463">
      <c r="A1463" s="12" t="inlineStr">
        <is>
          <t>SC-1: aeroderivative simple-cycle unit (LM6000 class)</t>
        </is>
      </c>
      <c r="B1463" s="12" t="inlineStr">
        <is>
          <t>SC-1</t>
        </is>
      </c>
      <c r="C1463" s="12" t="inlineStr">
        <is>
          <t>I</t>
        </is>
      </c>
      <c r="D1463" s="12" t="inlineStr">
        <is>
          <t>Motor 4 of 10, 30 kW</t>
        </is>
      </c>
      <c r="E1463" s="12" t="n">
        <v>480</v>
      </c>
      <c r="F1463" s="12" t="n">
        <v>30</v>
      </c>
      <c r="G1463" s="12" t="n">
        <v>42.5</v>
      </c>
      <c r="H1463" s="12" t="inlineStr">
        <is>
          <t>PCM: power control module</t>
        </is>
      </c>
      <c r="I1463" s="12" t="inlineStr">
        <is>
          <t>LV 600 V</t>
        </is>
      </c>
      <c r="J1463" s="12" t="inlineStr">
        <is>
          <t>6</t>
        </is>
      </c>
      <c r="K1463" s="12" t="n">
        <v>1</v>
      </c>
    </row>
    <row r="1464">
      <c r="A1464" s="12" t="inlineStr">
        <is>
          <t>SC-1: aeroderivative simple-cycle unit (LM6000 class)</t>
        </is>
      </c>
      <c r="B1464" s="12" t="inlineStr">
        <is>
          <t>SC-1</t>
        </is>
      </c>
      <c r="C1464" s="12" t="inlineStr">
        <is>
          <t>I</t>
        </is>
      </c>
      <c r="D1464" s="12" t="inlineStr">
        <is>
          <t>Motor 5 of 10, 30 kW</t>
        </is>
      </c>
      <c r="E1464" s="12" t="n">
        <v>480</v>
      </c>
      <c r="F1464" s="12" t="n">
        <v>30</v>
      </c>
      <c r="G1464" s="12" t="n">
        <v>42.5</v>
      </c>
      <c r="H1464" s="12" t="inlineStr">
        <is>
          <t>PCM: power control module</t>
        </is>
      </c>
      <c r="I1464" s="12" t="inlineStr">
        <is>
          <t>LV 600 V</t>
        </is>
      </c>
      <c r="J1464" s="12" t="inlineStr">
        <is>
          <t>6</t>
        </is>
      </c>
      <c r="K1464" s="12" t="n">
        <v>1</v>
      </c>
    </row>
    <row r="1465">
      <c r="A1465" s="12" t="inlineStr">
        <is>
          <t>SC-1: aeroderivative simple-cycle unit (LM6000 class)</t>
        </is>
      </c>
      <c r="B1465" s="12" t="inlineStr">
        <is>
          <t>SC-1</t>
        </is>
      </c>
      <c r="C1465" s="12" t="inlineStr">
        <is>
          <t>I</t>
        </is>
      </c>
      <c r="D1465" s="12" t="inlineStr">
        <is>
          <t>Motor 6 of 10, 30 kW</t>
        </is>
      </c>
      <c r="E1465" s="12" t="n">
        <v>480</v>
      </c>
      <c r="F1465" s="12" t="n">
        <v>30</v>
      </c>
      <c r="G1465" s="12" t="n">
        <v>42.5</v>
      </c>
      <c r="H1465" s="12" t="inlineStr">
        <is>
          <t>PCM: power control module</t>
        </is>
      </c>
      <c r="I1465" s="12" t="inlineStr">
        <is>
          <t>LV 600 V</t>
        </is>
      </c>
      <c r="J1465" s="12" t="inlineStr">
        <is>
          <t>6</t>
        </is>
      </c>
      <c r="K1465" s="12" t="n">
        <v>1</v>
      </c>
    </row>
    <row r="1466">
      <c r="A1466" s="12" t="inlineStr">
        <is>
          <t>SC-1: aeroderivative simple-cycle unit (LM6000 class)</t>
        </is>
      </c>
      <c r="B1466" s="12" t="inlineStr">
        <is>
          <t>SC-1</t>
        </is>
      </c>
      <c r="C1466" s="12" t="inlineStr">
        <is>
          <t>I</t>
        </is>
      </c>
      <c r="D1466" s="12" t="inlineStr">
        <is>
          <t>Motor 7 of 10, 30 kW</t>
        </is>
      </c>
      <c r="E1466" s="12" t="n">
        <v>480</v>
      </c>
      <c r="F1466" s="12" t="n">
        <v>30</v>
      </c>
      <c r="G1466" s="12" t="n">
        <v>42.5</v>
      </c>
      <c r="H1466" s="12" t="inlineStr">
        <is>
          <t>PCM: power control module</t>
        </is>
      </c>
      <c r="I1466" s="12" t="inlineStr">
        <is>
          <t>LV 600 V</t>
        </is>
      </c>
      <c r="J1466" s="12" t="inlineStr">
        <is>
          <t>6</t>
        </is>
      </c>
      <c r="K1466" s="12" t="n">
        <v>1</v>
      </c>
    </row>
    <row r="1467">
      <c r="A1467" s="12" t="inlineStr">
        <is>
          <t>SC-1: aeroderivative simple-cycle unit (LM6000 class)</t>
        </is>
      </c>
      <c r="B1467" s="12" t="inlineStr">
        <is>
          <t>SC-1</t>
        </is>
      </c>
      <c r="C1467" s="12" t="inlineStr">
        <is>
          <t>I</t>
        </is>
      </c>
      <c r="D1467" s="12" t="inlineStr">
        <is>
          <t>Motor 8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9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10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SC-2 SCR / CO catalyst</t>
        </is>
      </c>
      <c r="B1470" s="12" t="inlineStr"/>
      <c r="C1470" s="12" t="inlineStr">
        <is>
          <t>I</t>
        </is>
      </c>
      <c r="D1470" s="12" t="inlineStr">
        <is>
          <t>Motor 1 of 2, 30 kW</t>
        </is>
      </c>
      <c r="E1470" s="12" t="n">
        <v>480</v>
      </c>
      <c r="F1470" s="12" t="n">
        <v>30</v>
      </c>
      <c r="G1470" s="12" t="n">
        <v>42.5</v>
      </c>
      <c r="H1470" s="12" t="inlineStr">
        <is>
          <t>MOD-LV 480 V board + 480 V : 13.8 kV step-up</t>
        </is>
      </c>
      <c r="I1470" s="12" t="inlineStr">
        <is>
          <t>LV 600 V</t>
        </is>
      </c>
      <c r="J1470" s="12" t="inlineStr">
        <is>
          <t>350 kcmil</t>
        </is>
      </c>
      <c r="K1470" s="12" t="n">
        <v>1</v>
      </c>
    </row>
    <row r="1471">
      <c r="A1471" s="12" t="inlineStr">
        <is>
          <t>SC-2 SCR / CO catalyst</t>
        </is>
      </c>
      <c r="B1471" s="12" t="inlineStr"/>
      <c r="C1471" s="12" t="inlineStr">
        <is>
          <t>I</t>
        </is>
      </c>
      <c r="D1471" s="12" t="inlineStr">
        <is>
          <t>Motor 2 of 2, 30 kW</t>
        </is>
      </c>
      <c r="E1471" s="12" t="n">
        <v>480</v>
      </c>
      <c r="F1471" s="12" t="n">
        <v>30</v>
      </c>
      <c r="G1471" s="12" t="n">
        <v>42.5</v>
      </c>
      <c r="H1471" s="12" t="inlineStr">
        <is>
          <t>MOD-LV 480 V board + 480 V : 13.8 kV step-up</t>
        </is>
      </c>
      <c r="I1471" s="12" t="inlineStr">
        <is>
          <t>LV 600 V</t>
        </is>
      </c>
      <c r="J1471" s="12" t="inlineStr">
        <is>
          <t>350 kcmil</t>
        </is>
      </c>
      <c r="K1471" s="12" t="n">
        <v>1</v>
      </c>
    </row>
    <row r="1472">
      <c r="A1472" s="12" t="inlineStr">
        <is>
          <t>SC-2 lube-oil fin-fan cooler</t>
        </is>
      </c>
      <c r="B1472" s="12" t="inlineStr"/>
      <c r="C1472" s="12" t="inlineStr">
        <is>
          <t>I</t>
        </is>
      </c>
      <c r="D1472" s="12" t="inlineStr">
        <is>
          <t>Motor 1 of 4, 15 kW</t>
        </is>
      </c>
      <c r="E1472" s="12" t="n">
        <v>480</v>
      </c>
      <c r="F1472" s="12" t="n">
        <v>15</v>
      </c>
      <c r="G1472" s="12" t="n">
        <v>21.2</v>
      </c>
      <c r="H1472" s="12" t="inlineStr">
        <is>
          <t>MOD-LV 480 V board + 480 V : 13.8 kV step-up</t>
        </is>
      </c>
      <c r="I1472" s="12" t="inlineStr">
        <is>
          <t>LV 600 V</t>
        </is>
      </c>
      <c r="J1472" s="12" t="inlineStr">
        <is>
          <t>3/0</t>
        </is>
      </c>
      <c r="K1472" s="12" t="n">
        <v>1</v>
      </c>
    </row>
    <row r="1473">
      <c r="A1473" s="12" t="inlineStr">
        <is>
          <t>SC-2 lube-oil fin-fan cooler</t>
        </is>
      </c>
      <c r="B1473" s="12" t="inlineStr"/>
      <c r="C1473" s="12" t="inlineStr">
        <is>
          <t>I</t>
        </is>
      </c>
      <c r="D1473" s="12" t="inlineStr">
        <is>
          <t>Motor 2 of 4, 15 kW</t>
        </is>
      </c>
      <c r="E1473" s="12" t="n">
        <v>480</v>
      </c>
      <c r="F1473" s="12" t="n">
        <v>15</v>
      </c>
      <c r="G1473" s="12" t="n">
        <v>21.2</v>
      </c>
      <c r="H1473" s="12" t="inlineStr">
        <is>
          <t>MOD-LV 480 V board + 480 V : 13.8 kV step-up</t>
        </is>
      </c>
      <c r="I1473" s="12" t="inlineStr">
        <is>
          <t>LV 600 V</t>
        </is>
      </c>
      <c r="J1473" s="12" t="inlineStr">
        <is>
          <t>3/0</t>
        </is>
      </c>
      <c r="K1473" s="12" t="n">
        <v>1</v>
      </c>
    </row>
    <row r="1474">
      <c r="A1474" s="12" t="inlineStr">
        <is>
          <t>SC-2 lube-oil fin-fan cooler</t>
        </is>
      </c>
      <c r="B1474" s="12" t="inlineStr"/>
      <c r="C1474" s="12" t="inlineStr">
        <is>
          <t>I</t>
        </is>
      </c>
      <c r="D1474" s="12" t="inlineStr">
        <is>
          <t>Motor 3 of 4, 15 kW</t>
        </is>
      </c>
      <c r="E1474" s="12" t="n">
        <v>480</v>
      </c>
      <c r="F1474" s="12" t="n">
        <v>15</v>
      </c>
      <c r="G1474" s="12" t="n">
        <v>21.2</v>
      </c>
      <c r="H1474" s="12" t="inlineStr">
        <is>
          <t>MOD-LV 480 V board + 480 V : 13.8 kV step-up</t>
        </is>
      </c>
      <c r="I1474" s="12" t="inlineStr">
        <is>
          <t>LV 600 V</t>
        </is>
      </c>
      <c r="J1474" s="12" t="inlineStr">
        <is>
          <t>3/0</t>
        </is>
      </c>
      <c r="K1474" s="12" t="n">
        <v>1</v>
      </c>
    </row>
    <row r="1475">
      <c r="A1475" s="12" t="inlineStr">
        <is>
          <t>SC-2 lube-oil fin-fan cooler</t>
        </is>
      </c>
      <c r="B1475" s="12" t="inlineStr"/>
      <c r="C1475" s="12" t="inlineStr">
        <is>
          <t>I</t>
        </is>
      </c>
      <c r="D1475" s="12" t="inlineStr">
        <is>
          <t>Motor 4 of 4, 15 kW</t>
        </is>
      </c>
      <c r="E1475" s="12" t="n">
        <v>480</v>
      </c>
      <c r="F1475" s="12" t="n">
        <v>15</v>
      </c>
      <c r="G1475" s="12" t="n">
        <v>21.2</v>
      </c>
      <c r="H1475" s="12" t="inlineStr">
        <is>
          <t>MOD-LV 480 V board + 480 V : 13.8 kV step-up</t>
        </is>
      </c>
      <c r="I1475" s="12" t="inlineStr">
        <is>
          <t>LV 600 V</t>
        </is>
      </c>
      <c r="J1475" s="12" t="inlineStr">
        <is>
          <t>3/0</t>
        </is>
      </c>
      <c r="K1475" s="12" t="n">
        <v>1</v>
      </c>
    </row>
    <row r="1476">
      <c r="A1476" s="12" t="inlineStr">
        <is>
          <t>SC-2 stack (80 ft)</t>
        </is>
      </c>
      <c r="B1476" s="12" t="inlineStr"/>
      <c r="C1476" s="12" t="inlineStr">
        <is>
          <t>I</t>
        </is>
      </c>
      <c r="D1476" s="12" t="inlineStr">
        <is>
          <t>Area / platform lighting circuit 1 (4 fixtures)</t>
        </is>
      </c>
      <c r="E1476" s="12" t="n">
        <v>480</v>
      </c>
      <c r="F1476" s="12" t="n">
        <v>3</v>
      </c>
      <c r="G1476" s="12" t="n">
        <v>5</v>
      </c>
      <c r="H1476" s="12" t="inlineStr">
        <is>
          <t>MOD-LV 480 V board + 480 V : 13.8 kV step-up</t>
        </is>
      </c>
      <c r="I1476" s="12" t="inlineStr">
        <is>
          <t>LV 600 V</t>
        </is>
      </c>
      <c r="J1476" s="12" t="inlineStr">
        <is>
          <t>4</t>
        </is>
      </c>
      <c r="K1476" s="12" t="n">
        <v>1</v>
      </c>
    </row>
    <row r="1477">
      <c r="A1477" s="12" t="inlineStr">
        <is>
          <t>SC-2: aeroderivative simple-cycle unit (LM6000 class)</t>
        </is>
      </c>
      <c r="B1477" s="12" t="inlineStr">
        <is>
          <t>SC-2</t>
        </is>
      </c>
      <c r="C1477" s="12" t="inlineStr">
        <is>
          <t>I</t>
        </is>
      </c>
      <c r="D1477" s="12" t="inlineStr">
        <is>
          <t>Motor 1 of 10,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aeroderivative simple-cycle unit (LM6000 class)</t>
        </is>
      </c>
      <c r="B1478" s="12" t="inlineStr">
        <is>
          <t>SC-2</t>
        </is>
      </c>
      <c r="C1478" s="12" t="inlineStr">
        <is>
          <t>I</t>
        </is>
      </c>
      <c r="D1478" s="12" t="inlineStr">
        <is>
          <t>Motor 2 of 10,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aeroderivative simple-cycle unit (LM6000 class)</t>
        </is>
      </c>
      <c r="B1479" s="12" t="inlineStr">
        <is>
          <t>SC-2</t>
        </is>
      </c>
      <c r="C1479" s="12" t="inlineStr">
        <is>
          <t>I</t>
        </is>
      </c>
      <c r="D1479" s="12" t="inlineStr">
        <is>
          <t>Motor 3 of 10, 30 kW</t>
        </is>
      </c>
      <c r="E1479" s="12" t="n">
        <v>480</v>
      </c>
      <c r="F1479" s="12" t="n">
        <v>30</v>
      </c>
      <c r="G1479" s="12" t="n">
        <v>42.5</v>
      </c>
      <c r="H1479" s="12" t="inlineStr">
        <is>
          <t>MOD-LV 480 V board + 480 V : 13.8 kV step-up</t>
        </is>
      </c>
      <c r="I1479" s="12" t="inlineStr">
        <is>
          <t>LV 600 V</t>
        </is>
      </c>
      <c r="J1479" s="12" t="inlineStr">
        <is>
          <t>350 kcmil</t>
        </is>
      </c>
      <c r="K1479" s="12" t="n">
        <v>1</v>
      </c>
    </row>
    <row r="1480">
      <c r="A1480" s="12" t="inlineStr">
        <is>
          <t>SC-2: aeroderivative simple-cycle unit (LM6000 class)</t>
        </is>
      </c>
      <c r="B1480" s="12" t="inlineStr">
        <is>
          <t>SC-2</t>
        </is>
      </c>
      <c r="C1480" s="12" t="inlineStr">
        <is>
          <t>I</t>
        </is>
      </c>
      <c r="D1480" s="12" t="inlineStr">
        <is>
          <t>Motor 4 of 10, 30 kW</t>
        </is>
      </c>
      <c r="E1480" s="12" t="n">
        <v>480</v>
      </c>
      <c r="F1480" s="12" t="n">
        <v>30</v>
      </c>
      <c r="G1480" s="12" t="n">
        <v>42.5</v>
      </c>
      <c r="H1480" s="12" t="inlineStr">
        <is>
          <t>MOD-LV 480 V board + 480 V : 13.8 kV step-up</t>
        </is>
      </c>
      <c r="I1480" s="12" t="inlineStr">
        <is>
          <t>LV 600 V</t>
        </is>
      </c>
      <c r="J1480" s="12" t="inlineStr">
        <is>
          <t>350 kcmil</t>
        </is>
      </c>
      <c r="K1480" s="12" t="n">
        <v>1</v>
      </c>
    </row>
    <row r="1481">
      <c r="A1481" s="12" t="inlineStr">
        <is>
          <t>SC-2: aeroderivative simple-cycle unit (LM6000 class)</t>
        </is>
      </c>
      <c r="B1481" s="12" t="inlineStr">
        <is>
          <t>SC-2</t>
        </is>
      </c>
      <c r="C1481" s="12" t="inlineStr">
        <is>
          <t>I</t>
        </is>
      </c>
      <c r="D1481" s="12" t="inlineStr">
        <is>
          <t>Motor 5 of 10, 30 kW</t>
        </is>
      </c>
      <c r="E1481" s="12" t="n">
        <v>480</v>
      </c>
      <c r="F1481" s="12" t="n">
        <v>30</v>
      </c>
      <c r="G1481" s="12" t="n">
        <v>42.5</v>
      </c>
      <c r="H1481" s="12" t="inlineStr">
        <is>
          <t>MOD-LV 480 V board + 480 V : 13.8 kV step-up</t>
        </is>
      </c>
      <c r="I1481" s="12" t="inlineStr">
        <is>
          <t>LV 600 V</t>
        </is>
      </c>
      <c r="J1481" s="12" t="inlineStr">
        <is>
          <t>350 kcmil</t>
        </is>
      </c>
      <c r="K1481" s="12" t="n">
        <v>1</v>
      </c>
    </row>
    <row r="1482">
      <c r="A1482" s="12" t="inlineStr">
        <is>
          <t>SC-2: aeroderivative simple-cycle unit (LM6000 class)</t>
        </is>
      </c>
      <c r="B1482" s="12" t="inlineStr">
        <is>
          <t>SC-2</t>
        </is>
      </c>
      <c r="C1482" s="12" t="inlineStr">
        <is>
          <t>I</t>
        </is>
      </c>
      <c r="D1482" s="12" t="inlineStr">
        <is>
          <t>Motor 6 of 10, 30 kW</t>
        </is>
      </c>
      <c r="E1482" s="12" t="n">
        <v>480</v>
      </c>
      <c r="F1482" s="12" t="n">
        <v>30</v>
      </c>
      <c r="G1482" s="12" t="n">
        <v>42.5</v>
      </c>
      <c r="H1482" s="12" t="inlineStr">
        <is>
          <t>MOD-LV 480 V board + 480 V : 13.8 kV step-up</t>
        </is>
      </c>
      <c r="I1482" s="12" t="inlineStr">
        <is>
          <t>LV 600 V</t>
        </is>
      </c>
      <c r="J1482" s="12" t="inlineStr">
        <is>
          <t>350 kcmil</t>
        </is>
      </c>
      <c r="K1482" s="12" t="n">
        <v>1</v>
      </c>
    </row>
    <row r="1483">
      <c r="A1483" s="12" t="inlineStr">
        <is>
          <t>SC-2: aeroderivative simple-cycle unit (LM6000 class)</t>
        </is>
      </c>
      <c r="B1483" s="12" t="inlineStr">
        <is>
          <t>SC-2</t>
        </is>
      </c>
      <c r="C1483" s="12" t="inlineStr">
        <is>
          <t>I</t>
        </is>
      </c>
      <c r="D1483" s="12" t="inlineStr">
        <is>
          <t>Motor 7 of 10, 30 kW</t>
        </is>
      </c>
      <c r="E1483" s="12" t="n">
        <v>480</v>
      </c>
      <c r="F1483" s="12" t="n">
        <v>30</v>
      </c>
      <c r="G1483" s="12" t="n">
        <v>42.5</v>
      </c>
      <c r="H1483" s="12" t="inlineStr">
        <is>
          <t>MOD-LV 480 V board + 480 V : 13.8 kV step-up</t>
        </is>
      </c>
      <c r="I1483" s="12" t="inlineStr">
        <is>
          <t>LV 600 V</t>
        </is>
      </c>
      <c r="J1483" s="12" t="inlineStr">
        <is>
          <t>350 kcmil</t>
        </is>
      </c>
      <c r="K1483" s="12" t="n">
        <v>1</v>
      </c>
    </row>
    <row r="1484">
      <c r="A1484" s="12" t="inlineStr">
        <is>
          <t>SC-2: aeroderivative simple-cycle unit (LM6000 class)</t>
        </is>
      </c>
      <c r="B1484" s="12" t="inlineStr">
        <is>
          <t>SC-2</t>
        </is>
      </c>
      <c r="C1484" s="12" t="inlineStr">
        <is>
          <t>I</t>
        </is>
      </c>
      <c r="D1484" s="12" t="inlineStr">
        <is>
          <t>Motor 8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9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10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T-MOD 230 kV take-off gantry with arresters</t>
        </is>
      </c>
      <c r="B1487" s="12" t="inlineStr"/>
      <c r="C1487" s="12" t="inlineStr">
        <is>
          <t>I</t>
        </is>
      </c>
      <c r="D1487" s="12" t="inlineStr">
        <is>
          <t>Motor 1 of 6, 2 kW</t>
        </is>
      </c>
      <c r="E1487" s="12" t="n">
        <v>480</v>
      </c>
      <c r="F1487" s="12" t="n">
        <v>2</v>
      </c>
      <c r="G1487" s="12" t="n">
        <v>2.8</v>
      </c>
      <c r="H1487" s="12" t="inlineStr">
        <is>
          <t>MOD-LV 480 V board + 480 V : 13.8 kV step-up</t>
        </is>
      </c>
      <c r="I1487" s="12" t="inlineStr">
        <is>
          <t>LV 600 V</t>
        </is>
      </c>
      <c r="J1487" s="12" t="inlineStr">
        <is>
          <t>10</t>
        </is>
      </c>
      <c r="K1487" s="12" t="n">
        <v>1</v>
      </c>
    </row>
    <row r="1488">
      <c r="A1488" s="12" t="inlineStr">
        <is>
          <t>T-MOD 230 kV take-off gantry with arresters</t>
        </is>
      </c>
      <c r="B1488" s="12" t="inlineStr"/>
      <c r="C1488" s="12" t="inlineStr">
        <is>
          <t>I</t>
        </is>
      </c>
      <c r="D1488" s="12" t="inlineStr">
        <is>
          <t>Motor 2 of 6, 2 kW</t>
        </is>
      </c>
      <c r="E1488" s="12" t="n">
        <v>480</v>
      </c>
      <c r="F1488" s="12" t="n">
        <v>2</v>
      </c>
      <c r="G1488" s="12" t="n">
        <v>2.8</v>
      </c>
      <c r="H1488" s="12" t="inlineStr">
        <is>
          <t>MOD-LV 480 V board + 480 V : 13.8 kV step-up</t>
        </is>
      </c>
      <c r="I1488" s="12" t="inlineStr">
        <is>
          <t>LV 600 V</t>
        </is>
      </c>
      <c r="J1488" s="12" t="inlineStr">
        <is>
          <t>10</t>
        </is>
      </c>
      <c r="K1488" s="12" t="n">
        <v>1</v>
      </c>
    </row>
    <row r="1489">
      <c r="A1489" s="12" t="inlineStr">
        <is>
          <t>T-MOD 230 kV take-off gantry with arresters</t>
        </is>
      </c>
      <c r="B1489" s="12" t="inlineStr"/>
      <c r="C1489" s="12" t="inlineStr">
        <is>
          <t>I</t>
        </is>
      </c>
      <c r="D1489" s="12" t="inlineStr">
        <is>
          <t>Motor 3 of 6, 2 kW</t>
        </is>
      </c>
      <c r="E1489" s="12" t="n">
        <v>480</v>
      </c>
      <c r="F1489" s="12" t="n">
        <v>2</v>
      </c>
      <c r="G1489" s="12" t="n">
        <v>2.8</v>
      </c>
      <c r="H1489" s="12" t="inlineStr">
        <is>
          <t>MOD-LV 480 V board + 480 V : 13.8 kV step-up</t>
        </is>
      </c>
      <c r="I1489" s="12" t="inlineStr">
        <is>
          <t>LV 600 V</t>
        </is>
      </c>
      <c r="J1489" s="12" t="inlineStr">
        <is>
          <t>10</t>
        </is>
      </c>
      <c r="K1489" s="12" t="n">
        <v>1</v>
      </c>
    </row>
    <row r="1490">
      <c r="A1490" s="12" t="inlineStr">
        <is>
          <t>T-MOD 230 kV take-off gantry with arresters</t>
        </is>
      </c>
      <c r="B1490" s="12" t="inlineStr"/>
      <c r="C1490" s="12" t="inlineStr">
        <is>
          <t>I</t>
        </is>
      </c>
      <c r="D1490" s="12" t="inlineStr">
        <is>
          <t>Motor 4 of 6, 2 kW</t>
        </is>
      </c>
      <c r="E1490" s="12" t="n">
        <v>480</v>
      </c>
      <c r="F1490" s="12" t="n">
        <v>2</v>
      </c>
      <c r="G1490" s="12" t="n">
        <v>2.8</v>
      </c>
      <c r="H1490" s="12" t="inlineStr">
        <is>
          <t>MOD-LV 480 V board + 480 V : 13.8 kV step-up</t>
        </is>
      </c>
      <c r="I1490" s="12" t="inlineStr">
        <is>
          <t>LV 600 V</t>
        </is>
      </c>
      <c r="J1490" s="12" t="inlineStr">
        <is>
          <t>10</t>
        </is>
      </c>
      <c r="K1490" s="12" t="n">
        <v>1</v>
      </c>
    </row>
    <row r="1491">
      <c r="A1491" s="12" t="inlineStr">
        <is>
          <t>T-MOD 230 kV take-off gantry with arresters</t>
        </is>
      </c>
      <c r="B1491" s="12" t="inlineStr"/>
      <c r="C1491" s="12" t="inlineStr">
        <is>
          <t>I</t>
        </is>
      </c>
      <c r="D1491" s="12" t="inlineStr">
        <is>
          <t>Motor 5 of 6, 2 kW</t>
        </is>
      </c>
      <c r="E1491" s="12" t="n">
        <v>480</v>
      </c>
      <c r="F1491" s="12" t="n">
        <v>2</v>
      </c>
      <c r="G1491" s="12" t="n">
        <v>2.8</v>
      </c>
      <c r="H1491" s="12" t="inlineStr">
        <is>
          <t>MOD-LV 480 V board + 480 V : 13.8 kV step-up</t>
        </is>
      </c>
      <c r="I1491" s="12" t="inlineStr">
        <is>
          <t>LV 600 V</t>
        </is>
      </c>
      <c r="J1491" s="12" t="inlineStr">
        <is>
          <t>10</t>
        </is>
      </c>
      <c r="K1491" s="12" t="n">
        <v>1</v>
      </c>
    </row>
    <row r="1492">
      <c r="A1492" s="12" t="inlineStr">
        <is>
          <t>T-MOD 230 kV take-off gantry with arresters</t>
        </is>
      </c>
      <c r="B1492" s="12" t="inlineStr"/>
      <c r="C1492" s="12" t="inlineStr">
        <is>
          <t>I</t>
        </is>
      </c>
      <c r="D1492" s="12" t="inlineStr">
        <is>
          <t>Motor 6 of 6, 2 kW</t>
        </is>
      </c>
      <c r="E1492" s="12" t="n">
        <v>480</v>
      </c>
      <c r="F1492" s="12" t="n">
        <v>2</v>
      </c>
      <c r="G1492" s="12" t="n">
        <v>2.8</v>
      </c>
      <c r="H1492" s="12" t="inlineStr">
        <is>
          <t>MOD-LV 480 V board + 480 V : 13.8 kV step-up</t>
        </is>
      </c>
      <c r="I1492" s="12" t="inlineStr">
        <is>
          <t>LV 600 V</t>
        </is>
      </c>
      <c r="J1492" s="12" t="inlineStr">
        <is>
          <t>10</t>
        </is>
      </c>
      <c r="K1492" s="12" t="n">
        <v>1</v>
      </c>
    </row>
    <row r="1493">
      <c r="A1493" s="12" t="inlineStr">
        <is>
          <t>T-MOD-1 / T-MOD-2 firewall</t>
        </is>
      </c>
      <c r="B1493" s="12" t="inlineStr"/>
      <c r="C1493" s="12" t="inlineStr">
        <is>
          <t>I</t>
        </is>
      </c>
      <c r="D1493" s="12" t="inlineStr">
        <is>
          <t>Motor 1 of 6, 2 kW</t>
        </is>
      </c>
      <c r="E1493" s="12" t="n">
        <v>480</v>
      </c>
      <c r="F1493" s="12" t="n">
        <v>2</v>
      </c>
      <c r="G1493" s="12" t="n">
        <v>2.8</v>
      </c>
      <c r="H1493" s="12" t="inlineStr">
        <is>
          <t>MOD-LV 480 V board + 480 V : 13.8 kV step-up</t>
        </is>
      </c>
      <c r="I1493" s="12" t="inlineStr">
        <is>
          <t>LV 600 V</t>
        </is>
      </c>
      <c r="J1493" s="12" t="inlineStr">
        <is>
          <t>10</t>
        </is>
      </c>
      <c r="K1493" s="12" t="n">
        <v>1</v>
      </c>
    </row>
    <row r="1494">
      <c r="A1494" s="12" t="inlineStr">
        <is>
          <t>T-MOD-1 / T-MOD-2 firewall</t>
        </is>
      </c>
      <c r="B1494" s="12" t="inlineStr"/>
      <c r="C1494" s="12" t="inlineStr">
        <is>
          <t>I</t>
        </is>
      </c>
      <c r="D1494" s="12" t="inlineStr">
        <is>
          <t>Motor 2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T-MOD-1 / T-MOD-2 firewall</t>
        </is>
      </c>
      <c r="B1495" s="12" t="inlineStr"/>
      <c r="C1495" s="12" t="inlineStr">
        <is>
          <t>I</t>
        </is>
      </c>
      <c r="D1495" s="12" t="inlineStr">
        <is>
          <t>Motor 3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T-MOD-1 / T-MOD-2 firewall</t>
        </is>
      </c>
      <c r="B1496" s="12" t="inlineStr"/>
      <c r="C1496" s="12" t="inlineStr">
        <is>
          <t>I</t>
        </is>
      </c>
      <c r="D1496" s="12" t="inlineStr">
        <is>
          <t>Motor 4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T-MOD-1 / T-MOD-2 firewall</t>
        </is>
      </c>
      <c r="B1497" s="12" t="inlineStr"/>
      <c r="C1497" s="12" t="inlineStr">
        <is>
          <t>I</t>
        </is>
      </c>
      <c r="D1497" s="12" t="inlineStr">
        <is>
          <t>Motor 5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T-MOD-1 / T-MOD-2 firewall</t>
        </is>
      </c>
      <c r="B1498" s="12" t="inlineStr"/>
      <c r="C1498" s="12" t="inlineStr">
        <is>
          <t>I</t>
        </is>
      </c>
      <c r="D1498" s="12" t="inlineStr">
        <is>
          <t>Motor 6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T-MOD-1: 13.8/230 kV</t>
        </is>
      </c>
      <c r="B1499" s="12" t="inlineStr">
        <is>
          <t>T-MOD-1</t>
        </is>
      </c>
      <c r="C1499" s="12" t="inlineStr">
        <is>
          <t>I</t>
        </is>
      </c>
      <c r="D1499" s="12" t="inlineStr">
        <is>
          <t>Motor 1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13.8/230 kV</t>
        </is>
      </c>
      <c r="B1500" s="12" t="inlineStr">
        <is>
          <t>T-MOD-1</t>
        </is>
      </c>
      <c r="C1500" s="12" t="inlineStr">
        <is>
          <t>I</t>
        </is>
      </c>
      <c r="D1500" s="12" t="inlineStr">
        <is>
          <t>Motor 2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13.8/230 kV</t>
        </is>
      </c>
      <c r="B1501" s="12" t="inlineStr">
        <is>
          <t>T-MOD-1</t>
        </is>
      </c>
      <c r="C1501" s="12" t="inlineStr">
        <is>
          <t>I</t>
        </is>
      </c>
      <c r="D1501" s="12" t="inlineStr">
        <is>
          <t>Motor 3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13.8/230 kV</t>
        </is>
      </c>
      <c r="B1502" s="12" t="inlineStr">
        <is>
          <t>T-MOD-1</t>
        </is>
      </c>
      <c r="C1502" s="12" t="inlineStr">
        <is>
          <t>I</t>
        </is>
      </c>
      <c r="D1502" s="12" t="inlineStr">
        <is>
          <t>Motor 4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13.8/230 kV</t>
        </is>
      </c>
      <c r="B1503" s="12" t="inlineStr">
        <is>
          <t>T-MOD-1</t>
        </is>
      </c>
      <c r="C1503" s="12" t="inlineStr">
        <is>
          <t>I</t>
        </is>
      </c>
      <c r="D1503" s="12" t="inlineStr">
        <is>
          <t>Motor 5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13.8/230 kV</t>
        </is>
      </c>
      <c r="B1504" s="12" t="inlineStr">
        <is>
          <t>T-MOD-1</t>
        </is>
      </c>
      <c r="C1504" s="12" t="inlineStr">
        <is>
          <t>I</t>
        </is>
      </c>
      <c r="D1504" s="12" t="inlineStr">
        <is>
          <t>Motor 6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T-MOD-2: 13.8/230 kV</t>
        </is>
      </c>
      <c r="B1505" s="12" t="inlineStr">
        <is>
          <t>T-MOD-2</t>
        </is>
      </c>
      <c r="C1505" s="12" t="inlineStr">
        <is>
          <t>I</t>
        </is>
      </c>
      <c r="D1505" s="12" t="inlineStr">
        <is>
          <t>Motor 1 of 6, 2 kW</t>
        </is>
      </c>
      <c r="E1505" s="12" t="n">
        <v>480</v>
      </c>
      <c r="F1505" s="12" t="n">
        <v>2</v>
      </c>
      <c r="G1505" s="12" t="n">
        <v>2.8</v>
      </c>
      <c r="H1505" s="12" t="inlineStr">
        <is>
          <t>MOD-LV 480 V board + 480 V : 13.8 kV step-up</t>
        </is>
      </c>
      <c r="I1505" s="12" t="inlineStr">
        <is>
          <t>LV 600 V</t>
        </is>
      </c>
      <c r="J1505" s="12" t="inlineStr">
        <is>
          <t>8</t>
        </is>
      </c>
      <c r="K1505" s="12" t="n">
        <v>1</v>
      </c>
    </row>
    <row r="1506">
      <c r="A1506" s="12" t="inlineStr">
        <is>
          <t>T-MOD-2: 13.8/230 kV</t>
        </is>
      </c>
      <c r="B1506" s="12" t="inlineStr">
        <is>
          <t>T-MOD-2</t>
        </is>
      </c>
      <c r="C1506" s="12" t="inlineStr">
        <is>
          <t>I</t>
        </is>
      </c>
      <c r="D1506" s="12" t="inlineStr">
        <is>
          <t>Motor 2 of 6, 2 kW</t>
        </is>
      </c>
      <c r="E1506" s="12" t="n">
        <v>480</v>
      </c>
      <c r="F1506" s="12" t="n">
        <v>2</v>
      </c>
      <c r="G1506" s="12" t="n">
        <v>2.8</v>
      </c>
      <c r="H1506" s="12" t="inlineStr">
        <is>
          <t>MOD-LV 480 V board + 480 V : 13.8 kV step-up</t>
        </is>
      </c>
      <c r="I1506" s="12" t="inlineStr">
        <is>
          <t>LV 600 V</t>
        </is>
      </c>
      <c r="J1506" s="12" t="inlineStr">
        <is>
          <t>8</t>
        </is>
      </c>
      <c r="K1506" s="12" t="n">
        <v>1</v>
      </c>
    </row>
    <row r="1507">
      <c r="A1507" s="12" t="inlineStr">
        <is>
          <t>T-MOD-2: 13.8/230 kV</t>
        </is>
      </c>
      <c r="B1507" s="12" t="inlineStr">
        <is>
          <t>T-MOD-2</t>
        </is>
      </c>
      <c r="C1507" s="12" t="inlineStr">
        <is>
          <t>I</t>
        </is>
      </c>
      <c r="D1507" s="12" t="inlineStr">
        <is>
          <t>Motor 3 of 6, 2 kW</t>
        </is>
      </c>
      <c r="E1507" s="12" t="n">
        <v>480</v>
      </c>
      <c r="F1507" s="12" t="n">
        <v>2</v>
      </c>
      <c r="G1507" s="12" t="n">
        <v>2.8</v>
      </c>
      <c r="H1507" s="12" t="inlineStr">
        <is>
          <t>MOD-LV 480 V board + 480 V : 13.8 kV step-up</t>
        </is>
      </c>
      <c r="I1507" s="12" t="inlineStr">
        <is>
          <t>LV 600 V</t>
        </is>
      </c>
      <c r="J1507" s="12" t="inlineStr">
        <is>
          <t>8</t>
        </is>
      </c>
      <c r="K1507" s="12" t="n">
        <v>1</v>
      </c>
    </row>
    <row r="1508">
      <c r="A1508" s="12" t="inlineStr">
        <is>
          <t>T-MOD-2: 13.8/230 kV</t>
        </is>
      </c>
      <c r="B1508" s="12" t="inlineStr">
        <is>
          <t>T-MOD-2</t>
        </is>
      </c>
      <c r="C1508" s="12" t="inlineStr">
        <is>
          <t>I</t>
        </is>
      </c>
      <c r="D1508" s="12" t="inlineStr">
        <is>
          <t>Motor 4 of 6, 2 kW</t>
        </is>
      </c>
      <c r="E1508" s="12" t="n">
        <v>480</v>
      </c>
      <c r="F1508" s="12" t="n">
        <v>2</v>
      </c>
      <c r="G1508" s="12" t="n">
        <v>2.8</v>
      </c>
      <c r="H1508" s="12" t="inlineStr">
        <is>
          <t>MOD-LV 480 V board + 480 V : 13.8 kV step-up</t>
        </is>
      </c>
      <c r="I1508" s="12" t="inlineStr">
        <is>
          <t>LV 600 V</t>
        </is>
      </c>
      <c r="J1508" s="12" t="inlineStr">
        <is>
          <t>8</t>
        </is>
      </c>
      <c r="K1508" s="12" t="n">
        <v>1</v>
      </c>
    </row>
    <row r="1509">
      <c r="A1509" s="12" t="inlineStr">
        <is>
          <t>T-MOD-2: 13.8/230 kV</t>
        </is>
      </c>
      <c r="B1509" s="12" t="inlineStr">
        <is>
          <t>T-MOD-2</t>
        </is>
      </c>
      <c r="C1509" s="12" t="inlineStr">
        <is>
          <t>I</t>
        </is>
      </c>
      <c r="D1509" s="12" t="inlineStr">
        <is>
          <t>Motor 5 of 6, 2 kW</t>
        </is>
      </c>
      <c r="E1509" s="12" t="n">
        <v>480</v>
      </c>
      <c r="F1509" s="12" t="n">
        <v>2</v>
      </c>
      <c r="G1509" s="12" t="n">
        <v>2.8</v>
      </c>
      <c r="H1509" s="12" t="inlineStr">
        <is>
          <t>MOD-LV 480 V board + 480 V : 13.8 kV step-up</t>
        </is>
      </c>
      <c r="I1509" s="12" t="inlineStr">
        <is>
          <t>LV 600 V</t>
        </is>
      </c>
      <c r="J1509" s="12" t="inlineStr">
        <is>
          <t>8</t>
        </is>
      </c>
      <c r="K1509" s="12" t="n">
        <v>1</v>
      </c>
    </row>
    <row r="1510">
      <c r="A1510" s="12" t="inlineStr">
        <is>
          <t>T-MOD-2: 13.8/230 kV</t>
        </is>
      </c>
      <c r="B1510" s="12" t="inlineStr">
        <is>
          <t>T-MOD-2</t>
        </is>
      </c>
      <c r="C1510" s="12" t="inlineStr">
        <is>
          <t>I</t>
        </is>
      </c>
      <c r="D1510" s="12" t="inlineStr">
        <is>
          <t>Motor 6 of 6, 2 kW</t>
        </is>
      </c>
      <c r="E1510" s="12" t="n">
        <v>480</v>
      </c>
      <c r="F1510" s="12" t="n">
        <v>2</v>
      </c>
      <c r="G1510" s="12" t="n">
        <v>2.8</v>
      </c>
      <c r="H1510" s="12" t="inlineStr">
        <is>
          <t>MOD-LV 480 V board + 480 V : 13.8 kV step-up</t>
        </is>
      </c>
      <c r="I1510" s="12" t="inlineStr">
        <is>
          <t>LV 600 V</t>
        </is>
      </c>
      <c r="J1510" s="12" t="inlineStr">
        <is>
          <t>8</t>
        </is>
      </c>
      <c r="K1510" s="12" t="n">
        <v>1</v>
      </c>
    </row>
    <row r="1511">
      <c r="A1511" s="12" t="inlineStr">
        <is>
          <t>TM-1: trailer-mounted aeroderivative GT (TM2500 class, ~35 MW)</t>
        </is>
      </c>
      <c r="B1511" s="12" t="inlineStr">
        <is>
          <t>TM-1</t>
        </is>
      </c>
      <c r="C1511" s="12" t="inlineStr">
        <is>
          <t>I</t>
        </is>
      </c>
      <c r="D1511" s="12" t="inlineStr">
        <is>
          <t>Motor 1 of 6, 22 kW</t>
        </is>
      </c>
      <c r="E1511" s="12" t="n">
        <v>480</v>
      </c>
      <c r="F1511" s="12" t="n">
        <v>22</v>
      </c>
      <c r="G1511" s="12" t="n">
        <v>31.1</v>
      </c>
      <c r="H1511" s="12" t="inlineStr">
        <is>
          <t>MOD-LV 480 V board + 480 V : 13.8 kV step-up</t>
        </is>
      </c>
      <c r="I1511" s="12" t="inlineStr">
        <is>
          <t>LV 600 V</t>
        </is>
      </c>
      <c r="J1511" s="12" t="inlineStr">
        <is>
          <t>4/0</t>
        </is>
      </c>
      <c r="K1511" s="12" t="n">
        <v>1</v>
      </c>
    </row>
    <row r="1512">
      <c r="A1512" s="12" t="inlineStr">
        <is>
          <t>TM-1: trailer-mounted aeroderivative GT (TM2500 class, ~35 MW)</t>
        </is>
      </c>
      <c r="B1512" s="12" t="inlineStr">
        <is>
          <t>TM-1</t>
        </is>
      </c>
      <c r="C1512" s="12" t="inlineStr">
        <is>
          <t>I</t>
        </is>
      </c>
      <c r="D1512" s="12" t="inlineStr">
        <is>
          <t>Motor 2 of 6, 22 kW</t>
        </is>
      </c>
      <c r="E1512" s="12" t="n">
        <v>480</v>
      </c>
      <c r="F1512" s="12" t="n">
        <v>22</v>
      </c>
      <c r="G1512" s="12" t="n">
        <v>31.1</v>
      </c>
      <c r="H1512" s="12" t="inlineStr">
        <is>
          <t>MOD-LV 480 V board + 480 V : 13.8 kV step-up</t>
        </is>
      </c>
      <c r="I1512" s="12" t="inlineStr">
        <is>
          <t>LV 600 V</t>
        </is>
      </c>
      <c r="J1512" s="12" t="inlineStr">
        <is>
          <t>4/0</t>
        </is>
      </c>
      <c r="K1512" s="12" t="n">
        <v>1</v>
      </c>
    </row>
    <row r="1513">
      <c r="A1513" s="12" t="inlineStr">
        <is>
          <t>TM-1: trailer-mounted aeroderivative GT (TM2500 class, ~35 MW)</t>
        </is>
      </c>
      <c r="B1513" s="12" t="inlineStr">
        <is>
          <t>TM-1</t>
        </is>
      </c>
      <c r="C1513" s="12" t="inlineStr">
        <is>
          <t>I</t>
        </is>
      </c>
      <c r="D1513" s="12" t="inlineStr">
        <is>
          <t>Motor 3 of 6, 22 kW</t>
        </is>
      </c>
      <c r="E1513" s="12" t="n">
        <v>480</v>
      </c>
      <c r="F1513" s="12" t="n">
        <v>22</v>
      </c>
      <c r="G1513" s="12" t="n">
        <v>31.1</v>
      </c>
      <c r="H1513" s="12" t="inlineStr">
        <is>
          <t>MOD-LV 480 V board + 480 V : 13.8 kV step-up</t>
        </is>
      </c>
      <c r="I1513" s="12" t="inlineStr">
        <is>
          <t>LV 600 V</t>
        </is>
      </c>
      <c r="J1513" s="12" t="inlineStr">
        <is>
          <t>4/0</t>
        </is>
      </c>
      <c r="K1513" s="12" t="n">
        <v>1</v>
      </c>
    </row>
    <row r="1514">
      <c r="A1514" s="12" t="inlineStr">
        <is>
          <t>TM-1: trailer-mounted aeroderivative GT (TM2500 class, ~35 MW)</t>
        </is>
      </c>
      <c r="B1514" s="12" t="inlineStr">
        <is>
          <t>TM-1</t>
        </is>
      </c>
      <c r="C1514" s="12" t="inlineStr">
        <is>
          <t>I</t>
        </is>
      </c>
      <c r="D1514" s="12" t="inlineStr">
        <is>
          <t>Motor 4 of 6, 22 kW</t>
        </is>
      </c>
      <c r="E1514" s="12" t="n">
        <v>480</v>
      </c>
      <c r="F1514" s="12" t="n">
        <v>22</v>
      </c>
      <c r="G1514" s="12" t="n">
        <v>31.1</v>
      </c>
      <c r="H1514" s="12" t="inlineStr">
        <is>
          <t>MOD-LV 480 V board + 480 V : 13.8 kV step-up</t>
        </is>
      </c>
      <c r="I1514" s="12" t="inlineStr">
        <is>
          <t>LV 600 V</t>
        </is>
      </c>
      <c r="J1514" s="12" t="inlineStr">
        <is>
          <t>4/0</t>
        </is>
      </c>
      <c r="K1514" s="12" t="n">
        <v>1</v>
      </c>
    </row>
    <row r="1515">
      <c r="A1515" s="12" t="inlineStr">
        <is>
          <t>TM-1: trailer-mounted aeroderivative GT (TM2500 class, ~35 MW)</t>
        </is>
      </c>
      <c r="B1515" s="12" t="inlineStr">
        <is>
          <t>TM-1</t>
        </is>
      </c>
      <c r="C1515" s="12" t="inlineStr">
        <is>
          <t>I</t>
        </is>
      </c>
      <c r="D1515" s="12" t="inlineStr">
        <is>
          <t>Motor 5 of 6, 22 kW</t>
        </is>
      </c>
      <c r="E1515" s="12" t="n">
        <v>480</v>
      </c>
      <c r="F1515" s="12" t="n">
        <v>22</v>
      </c>
      <c r="G1515" s="12" t="n">
        <v>31.1</v>
      </c>
      <c r="H1515" s="12" t="inlineStr">
        <is>
          <t>MOD-LV 480 V board + 480 V : 13.8 kV step-up</t>
        </is>
      </c>
      <c r="I1515" s="12" t="inlineStr">
        <is>
          <t>LV 600 V</t>
        </is>
      </c>
      <c r="J1515" s="12" t="inlineStr">
        <is>
          <t>4/0</t>
        </is>
      </c>
      <c r="K1515" s="12" t="n">
        <v>1</v>
      </c>
    </row>
    <row r="1516">
      <c r="A1516" s="12" t="inlineStr">
        <is>
          <t>TM-1: trailer-mounted aeroderivative GT (TM2500 class, ~35 MW)</t>
        </is>
      </c>
      <c r="B1516" s="12" t="inlineStr">
        <is>
          <t>TM-1</t>
        </is>
      </c>
      <c r="C1516" s="12" t="inlineStr">
        <is>
          <t>I</t>
        </is>
      </c>
      <c r="D1516" s="12" t="inlineStr">
        <is>
          <t>Motor 6 of 6, 22 kW</t>
        </is>
      </c>
      <c r="E1516" s="12" t="n">
        <v>480</v>
      </c>
      <c r="F1516" s="12" t="n">
        <v>22</v>
      </c>
      <c r="G1516" s="12" t="n">
        <v>31.1</v>
      </c>
      <c r="H1516" s="12" t="inlineStr">
        <is>
          <t>MOD-LV 480 V board + 480 V : 13.8 kV step-up</t>
        </is>
      </c>
      <c r="I1516" s="12" t="inlineStr">
        <is>
          <t>LV 600 V</t>
        </is>
      </c>
      <c r="J1516" s="12" t="inlineStr">
        <is>
          <t>4/0</t>
        </is>
      </c>
      <c r="K1516" s="12" t="n">
        <v>1</v>
      </c>
    </row>
    <row r="1517">
      <c r="A1517" s="12" t="inlineStr">
        <is>
          <t>TM-2: trailer-mounted aeroderivative GT (TM2500 class, ~35 MW)</t>
        </is>
      </c>
      <c r="B1517" s="12" t="inlineStr">
        <is>
          <t>TM-2</t>
        </is>
      </c>
      <c r="C1517" s="12" t="inlineStr">
        <is>
          <t>I</t>
        </is>
      </c>
      <c r="D1517" s="12" t="inlineStr">
        <is>
          <t>Motor 1 of 6, 22 kW</t>
        </is>
      </c>
      <c r="E1517" s="12" t="n">
        <v>480</v>
      </c>
      <c r="F1517" s="12" t="n">
        <v>22</v>
      </c>
      <c r="G1517" s="12" t="n">
        <v>31.1</v>
      </c>
      <c r="H1517" s="12" t="inlineStr">
        <is>
          <t>MOD-LV 480 V board + 480 V : 13.8 kV step-up</t>
        </is>
      </c>
      <c r="I1517" s="12" t="inlineStr">
        <is>
          <t>LV 600 V</t>
        </is>
      </c>
      <c r="J1517" s="12" t="inlineStr">
        <is>
          <t>4/0</t>
        </is>
      </c>
      <c r="K1517" s="12" t="n">
        <v>1</v>
      </c>
    </row>
    <row r="1518">
      <c r="A1518" s="12" t="inlineStr">
        <is>
          <t>TM-2: trailer-mounted aeroderivative GT (TM2500 class, ~35 MW)</t>
        </is>
      </c>
      <c r="B1518" s="12" t="inlineStr">
        <is>
          <t>TM-2</t>
        </is>
      </c>
      <c r="C1518" s="12" t="inlineStr">
        <is>
          <t>I</t>
        </is>
      </c>
      <c r="D1518" s="12" t="inlineStr">
        <is>
          <t>Motor 2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TM-2: trailer-mounted aeroderivative GT (TM2500 class, ~35 MW)</t>
        </is>
      </c>
      <c r="B1519" s="12" t="inlineStr">
        <is>
          <t>TM-2</t>
        </is>
      </c>
      <c r="C1519" s="12" t="inlineStr">
        <is>
          <t>I</t>
        </is>
      </c>
      <c r="D1519" s="12" t="inlineStr">
        <is>
          <t>Motor 3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TM-2: trailer-mounted aeroderivative GT (TM2500 class, ~35 MW)</t>
        </is>
      </c>
      <c r="B1520" s="12" t="inlineStr">
        <is>
          <t>TM-2</t>
        </is>
      </c>
      <c r="C1520" s="12" t="inlineStr">
        <is>
          <t>I</t>
        </is>
      </c>
      <c r="D1520" s="12" t="inlineStr">
        <is>
          <t>Motor 4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TM-2: trailer-mounted aeroderivative GT (TM2500 class, ~35 MW)</t>
        </is>
      </c>
      <c r="B1521" s="12" t="inlineStr">
        <is>
          <t>TM-2</t>
        </is>
      </c>
      <c r="C1521" s="12" t="inlineStr">
        <is>
          <t>I</t>
        </is>
      </c>
      <c r="D1521" s="12" t="inlineStr">
        <is>
          <t>Motor 5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TM-2: trailer-mounted aeroderivative GT (TM2500 class, ~35 MW)</t>
        </is>
      </c>
      <c r="B1522" s="12" t="inlineStr">
        <is>
          <t>TM-2</t>
        </is>
      </c>
      <c r="C1522" s="12" t="inlineStr">
        <is>
          <t>I</t>
        </is>
      </c>
      <c r="D1522" s="12" t="inlineStr">
        <is>
          <t>Motor 6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Water-injection skid</t>
        </is>
      </c>
      <c r="B1523" s="12" t="inlineStr"/>
      <c r="C1523" s="12" t="inlineStr">
        <is>
          <t>I</t>
        </is>
      </c>
      <c r="D1523" s="12" t="inlineStr">
        <is>
          <t>LV power feeder</t>
        </is>
      </c>
      <c r="E1523" s="12" t="n">
        <v>480</v>
      </c>
      <c r="F1523" s="12" t="n">
        <v>15</v>
      </c>
      <c r="G1523" s="12" t="n">
        <v>21.2</v>
      </c>
      <c r="H1523" s="12" t="inlineStr">
        <is>
          <t>MOD-LV 480 V board + 480 V : 13.8 kV step-up</t>
        </is>
      </c>
      <c r="I1523" s="12" t="inlineStr">
        <is>
          <t>LV 600 V</t>
        </is>
      </c>
      <c r="J1523" s="12" t="inlineStr">
        <is>
          <t>3/0</t>
        </is>
      </c>
      <c r="K1523" s="12" t="n">
        <v>1</v>
      </c>
    </row>
    <row r="1524">
      <c r="A1524" s="12" t="inlineStr">
        <is>
          <t>Fuel-gas compressors 3 x 100% electric</t>
        </is>
      </c>
      <c r="B1524" s="12" t="inlineStr"/>
      <c r="C1524" s="12" t="inlineStr">
        <is>
          <t>I</t>
        </is>
      </c>
      <c r="D1524" s="12" t="inlineStr">
        <is>
          <t>Modular-yard fuel-gas compressor</t>
        </is>
      </c>
      <c r="E1524" s="12" t="n">
        <v>13800</v>
      </c>
      <c r="F1524" s="12" t="n">
        <v>1500</v>
      </c>
      <c r="G1524" s="12" t="n">
        <v>70</v>
      </c>
      <c r="H1524" s="12" t="inlineStr">
        <is>
          <t>MOD-EH: 13.8 kV modular collector e-house</t>
        </is>
      </c>
      <c r="I1524" s="12" t="inlineStr">
        <is>
          <t>MV 15 kV</t>
        </is>
      </c>
      <c r="J1524" s="12" t="inlineStr">
        <is>
          <t>2</t>
        </is>
      </c>
      <c r="K1524" s="12" t="n">
        <v>1</v>
      </c>
    </row>
    <row r="1525">
      <c r="A1525" s="12" t="inlineStr">
        <is>
          <t>Fuel-gas compressors 3 x 100% electric</t>
        </is>
      </c>
      <c r="B1525" s="12" t="inlineStr"/>
      <c r="C1525" s="12" t="inlineStr">
        <is>
          <t>I</t>
        </is>
      </c>
      <c r="D1525" s="12" t="inlineStr">
        <is>
          <t>Modular-yard fuel-gas compressor</t>
        </is>
      </c>
      <c r="E1525" s="12" t="n">
        <v>13800</v>
      </c>
      <c r="F1525" s="12" t="n">
        <v>1500</v>
      </c>
      <c r="G1525" s="12" t="n">
        <v>70</v>
      </c>
      <c r="H1525" s="12" t="inlineStr">
        <is>
          <t>MOD-EH: 13.8 kV modular collector e-house</t>
        </is>
      </c>
      <c r="I1525" s="12" t="inlineStr">
        <is>
          <t>MV 15 kV</t>
        </is>
      </c>
      <c r="J1525" s="12" t="inlineStr">
        <is>
          <t>2</t>
        </is>
      </c>
      <c r="K1525" s="12" t="n">
        <v>1</v>
      </c>
    </row>
    <row r="1526">
      <c r="A1526" s="12" t="inlineStr">
        <is>
          <t>Fuel-gas compressors 3 x 100% electric</t>
        </is>
      </c>
      <c r="B1526" s="12" t="inlineStr"/>
      <c r="C1526" s="12" t="inlineStr">
        <is>
          <t>I</t>
        </is>
      </c>
      <c r="D1526" s="12" t="inlineStr">
        <is>
          <t>Modular-yard fuel-gas compressor</t>
        </is>
      </c>
      <c r="E1526" s="12" t="n">
        <v>13800</v>
      </c>
      <c r="F1526" s="12" t="n">
        <v>1500</v>
      </c>
      <c r="G1526" s="12" t="n">
        <v>70</v>
      </c>
      <c r="H1526" s="12" t="inlineStr">
        <is>
          <t>MOD-EH: 13.8 kV modular collector e-house</t>
        </is>
      </c>
      <c r="I1526" s="12" t="inlineStr">
        <is>
          <t>MV 15 kV</t>
        </is>
      </c>
      <c r="J1526" s="12" t="inlineStr">
        <is>
          <t>2</t>
        </is>
      </c>
      <c r="K1526" s="12" t="n">
        <v>1</v>
      </c>
    </row>
    <row r="1527">
      <c r="A1527" s="12" t="inlineStr">
        <is>
          <t>MOD-EH: 13.8 kV modular collector e-house</t>
        </is>
      </c>
      <c r="B1527" s="12" t="inlineStr">
        <is>
          <t>MOD-EH</t>
        </is>
      </c>
      <c r="C1527" s="12" t="inlineStr">
        <is>
          <t>I</t>
        </is>
      </c>
      <c r="D1527" s="12" t="inlineStr">
        <is>
          <t>SC-1 PCM to MOD-EH</t>
        </is>
      </c>
      <c r="E1527" s="12" t="n">
        <v>13800</v>
      </c>
      <c r="F1527" s="12" t="n">
        <v>50000</v>
      </c>
      <c r="G1527" s="12" t="n">
        <v>2092</v>
      </c>
      <c r="H1527" s="12" t="inlineStr">
        <is>
          <t>SC-1 PCM + 15 kV GCB</t>
        </is>
      </c>
      <c r="I1527" s="12" t="inlineStr">
        <is>
          <t>MV 15 kV</t>
        </is>
      </c>
      <c r="J1527" s="12" t="inlineStr">
        <is>
          <t>750 kcmil</t>
        </is>
      </c>
      <c r="K1527" s="12" t="n">
        <v>5</v>
      </c>
    </row>
    <row r="1528">
      <c r="A1528" s="12" t="inlineStr">
        <is>
          <t>MOD-EH: 13.8 kV modular collector e-house</t>
        </is>
      </c>
      <c r="B1528" s="12" t="inlineStr">
        <is>
          <t>MOD-EH</t>
        </is>
      </c>
      <c r="C1528" s="12" t="inlineStr">
        <is>
          <t>I</t>
        </is>
      </c>
      <c r="D1528" s="12" t="inlineStr">
        <is>
          <t>SC-2 PCM to MOD-EH</t>
        </is>
      </c>
      <c r="E1528" s="12" t="n">
        <v>13800</v>
      </c>
      <c r="F1528" s="12" t="n">
        <v>50000</v>
      </c>
      <c r="G1528" s="12" t="n">
        <v>2092</v>
      </c>
      <c r="H1528" s="12" t="inlineStr">
        <is>
          <t>SC-2 PCM + 15 kV GCB</t>
        </is>
      </c>
      <c r="I1528" s="12" t="inlineStr">
        <is>
          <t>MV 15 kV</t>
        </is>
      </c>
      <c r="J1528" s="12" t="inlineStr">
        <is>
          <t>750 kcmil</t>
        </is>
      </c>
      <c r="K1528" s="12" t="n">
        <v>5</v>
      </c>
    </row>
    <row r="1529">
      <c r="A1529" s="12" t="inlineStr">
        <is>
          <t>MOD-EH: 13.8 kV modular collector e-house</t>
        </is>
      </c>
      <c r="B1529" s="12" t="inlineStr">
        <is>
          <t>MOD-EH</t>
        </is>
      </c>
      <c r="C1529" s="12" t="inlineStr">
        <is>
          <t>I</t>
        </is>
      </c>
      <c r="D1529" s="12" t="inlineStr">
        <is>
          <t>MOD-LV step-up to MOD-EH</t>
        </is>
      </c>
      <c r="E1529" s="12" t="n">
        <v>13800</v>
      </c>
      <c r="F1529" s="12" t="n">
        <v>7500</v>
      </c>
      <c r="G1529" s="12" t="n">
        <v>314</v>
      </c>
      <c r="H1529" s="12" t="inlineStr">
        <is>
          <t>MOD-LV 480 V board + 480 V : 13.8 kV step-up</t>
        </is>
      </c>
      <c r="I1529" s="12" t="inlineStr">
        <is>
          <t>MV 15 kV</t>
        </is>
      </c>
      <c r="J1529" s="12" t="inlineStr">
        <is>
          <t>500 kcmil</t>
        </is>
      </c>
      <c r="K1529" s="12" t="n">
        <v>1</v>
      </c>
    </row>
    <row r="1530">
      <c r="A1530" s="12" t="inlineStr">
        <is>
          <t>PAD-EH 13.8 kV switchgear e-house</t>
        </is>
      </c>
      <c r="B1530" s="12" t="inlineStr">
        <is>
          <t>PAD-EH</t>
        </is>
      </c>
      <c r="C1530" s="12" t="inlineStr">
        <is>
          <t>I</t>
        </is>
      </c>
      <c r="D1530" s="12" t="inlineStr">
        <is>
          <t>CONT-3 13.8 kV to PAD-EH (extension section, ground tray)</t>
        </is>
      </c>
      <c r="E1530" s="12" t="n">
        <v>13800</v>
      </c>
      <c r="F1530" s="12" t="n">
        <v>2000</v>
      </c>
      <c r="G1530" s="12" t="n">
        <v>93</v>
      </c>
      <c r="H1530" s="12" t="inlineStr">
        <is>
          <t>CONT-3: containerized gas genset 13.8 kV (40 ft)</t>
        </is>
      </c>
      <c r="I1530" s="12" t="inlineStr">
        <is>
          <t>MV 15 kV</t>
        </is>
      </c>
      <c r="J1530" s="12" t="inlineStr">
        <is>
          <t>2</t>
        </is>
      </c>
      <c r="K1530" s="12" t="n">
        <v>1</v>
      </c>
    </row>
    <row r="1531">
      <c r="A1531" s="12" t="inlineStr">
        <is>
          <t>PAD-EH 13.8 kV switchgear e-house</t>
        </is>
      </c>
      <c r="B1531" s="12" t="inlineStr">
        <is>
          <t>PAD-EH</t>
        </is>
      </c>
      <c r="C1531" s="12" t="inlineStr">
        <is>
          <t>I</t>
        </is>
      </c>
      <c r="D1531" s="12" t="inlineStr">
        <is>
          <t>CONT-4 13.8 kV to PAD-EH (extension section, ground tray)</t>
        </is>
      </c>
      <c r="E1531" s="12" t="n">
        <v>13800</v>
      </c>
      <c r="F1531" s="12" t="n">
        <v>2000</v>
      </c>
      <c r="G1531" s="12" t="n">
        <v>93</v>
      </c>
      <c r="H1531" s="12" t="inlineStr">
        <is>
          <t>CONT-4: containerized gas genset 13.8 kV (40 ft)</t>
        </is>
      </c>
      <c r="I1531" s="12" t="inlineStr">
        <is>
          <t>MV 15 kV</t>
        </is>
      </c>
      <c r="J1531" s="12" t="inlineStr">
        <is>
          <t>2</t>
        </is>
      </c>
      <c r="K1531" s="12" t="n">
        <v>1</v>
      </c>
    </row>
    <row r="1532">
      <c r="A1532" s="12" t="inlineStr">
        <is>
          <t>PAD-EH 13.8 kV switchgear e-house</t>
        </is>
      </c>
      <c r="B1532" s="12" t="inlineStr">
        <is>
          <t>PAD-EH</t>
        </is>
      </c>
      <c r="C1532" s="12" t="inlineStr">
        <is>
          <t>I</t>
        </is>
      </c>
      <c r="D1532" s="12" t="inlineStr">
        <is>
          <t>CONT-5 13.8 kV to PAD-EH (extension section, ground tray)</t>
        </is>
      </c>
      <c r="E1532" s="12" t="n">
        <v>13800</v>
      </c>
      <c r="F1532" s="12" t="n">
        <v>2000</v>
      </c>
      <c r="G1532" s="12" t="n">
        <v>93</v>
      </c>
      <c r="H1532" s="12" t="inlineStr">
        <is>
          <t>CONT-5: containerized gas genset 13.8 kV (40 ft)</t>
        </is>
      </c>
      <c r="I1532" s="12" t="inlineStr">
        <is>
          <t>MV 15 kV</t>
        </is>
      </c>
      <c r="J1532" s="12" t="inlineStr">
        <is>
          <t>2</t>
        </is>
      </c>
      <c r="K1532" s="12" t="n">
        <v>1</v>
      </c>
    </row>
    <row r="1533">
      <c r="A1533" s="12" t="inlineStr">
        <is>
          <t>PAD-EH 13.8 kV switchgear e-house</t>
        </is>
      </c>
      <c r="B1533" s="12" t="inlineStr">
        <is>
          <t>PAD-EH</t>
        </is>
      </c>
      <c r="C1533" s="12" t="inlineStr">
        <is>
          <t>I</t>
        </is>
      </c>
      <c r="D1533" s="12" t="inlineStr">
        <is>
          <t>CONT-6 13.8 kV to PAD-EH (extension section, ground tray)</t>
        </is>
      </c>
      <c r="E1533" s="12" t="n">
        <v>13800</v>
      </c>
      <c r="F1533" s="12" t="n">
        <v>2000</v>
      </c>
      <c r="G1533" s="12" t="n">
        <v>93</v>
      </c>
      <c r="H1533" s="12" t="inlineStr">
        <is>
          <t>CONT-6: containerized gas genset 13.8 kV (40 ft)</t>
        </is>
      </c>
      <c r="I1533" s="12" t="inlineStr">
        <is>
          <t>MV 15 kV</t>
        </is>
      </c>
      <c r="J1533" s="12" t="inlineStr">
        <is>
          <t>2</t>
        </is>
      </c>
      <c r="K1533" s="12" t="n">
        <v>1</v>
      </c>
    </row>
    <row r="1534">
      <c r="A1534" s="12" t="inlineStr">
        <is>
          <t>PAD-EH 13.8 kV switchgear e-house</t>
        </is>
      </c>
      <c r="B1534" s="12" t="inlineStr">
        <is>
          <t>PAD-EH</t>
        </is>
      </c>
      <c r="C1534" s="12" t="inlineStr">
        <is>
          <t>I</t>
        </is>
      </c>
      <c r="D1534" s="12" t="inlineStr">
        <is>
          <t>CONT-7 13.8 kV to PAD-EH (extension section, ground tray)</t>
        </is>
      </c>
      <c r="E1534" s="12" t="n">
        <v>13800</v>
      </c>
      <c r="F1534" s="12" t="n">
        <v>2000</v>
      </c>
      <c r="G1534" s="12" t="n">
        <v>93</v>
      </c>
      <c r="H1534" s="12" t="inlineStr">
        <is>
          <t>CONT-7: containerized gas genset 13.8 kV (40 ft)</t>
        </is>
      </c>
      <c r="I1534" s="12" t="inlineStr">
        <is>
          <t>MV 15 kV</t>
        </is>
      </c>
      <c r="J1534" s="12" t="inlineStr">
        <is>
          <t>2</t>
        </is>
      </c>
      <c r="K1534" s="12" t="n">
        <v>1</v>
      </c>
    </row>
    <row r="1535">
      <c r="A1535" s="12" t="inlineStr">
        <is>
          <t>PAD-EH 13.8 kV switchgear e-house</t>
        </is>
      </c>
      <c r="B1535" s="12" t="inlineStr">
        <is>
          <t>PAD-EH</t>
        </is>
      </c>
      <c r="C1535" s="12" t="inlineStr">
        <is>
          <t>I</t>
        </is>
      </c>
      <c r="D1535" s="12" t="inlineStr">
        <is>
          <t>CONT-8 13.8 kV to PAD-EH (extension section, ground tray)</t>
        </is>
      </c>
      <c r="E1535" s="12" t="n">
        <v>13800</v>
      </c>
      <c r="F1535" s="12" t="n">
        <v>2000</v>
      </c>
      <c r="G1535" s="12" t="n">
        <v>93</v>
      </c>
      <c r="H1535" s="12" t="inlineStr">
        <is>
          <t>CONT-8: containerized gas genset 13.8 kV (40 ft)</t>
        </is>
      </c>
      <c r="I1535" s="12" t="inlineStr">
        <is>
          <t>MV 15 kV</t>
        </is>
      </c>
      <c r="J1535" s="12" t="inlineStr">
        <is>
          <t>2</t>
        </is>
      </c>
      <c r="K1535" s="12" t="n">
        <v>1</v>
      </c>
    </row>
    <row r="1536">
      <c r="A1536" s="12" t="inlineStr">
        <is>
          <t>PAD-EH 13.8 kV switchgear e-house</t>
        </is>
      </c>
      <c r="B1536" s="12" t="inlineStr">
        <is>
          <t>PAD-EH</t>
        </is>
      </c>
      <c r="C1536" s="12" t="inlineStr">
        <is>
          <t>I</t>
        </is>
      </c>
      <c r="D1536" s="12" t="inlineStr">
        <is>
          <t>TM-1 (TM2500) generator leads to PAD-EH</t>
        </is>
      </c>
      <c r="E1536" s="12" t="n">
        <v>13800</v>
      </c>
      <c r="F1536" s="12" t="n">
        <v>35000</v>
      </c>
      <c r="G1536" s="12" t="n">
        <v>1464</v>
      </c>
      <c r="H1536" s="12" t="inlineStr">
        <is>
          <t>TM-1: trailer-mounted aeroderivative GT (TM2500 class, ~35 M</t>
        </is>
      </c>
      <c r="I1536" s="12" t="inlineStr">
        <is>
          <t>MV 15 kV</t>
        </is>
      </c>
      <c r="J1536" s="12" t="inlineStr">
        <is>
          <t>1000 kcmil</t>
        </is>
      </c>
      <c r="K1536" s="12" t="n">
        <v>3</v>
      </c>
    </row>
    <row r="1537">
      <c r="A1537" s="12" t="inlineStr">
        <is>
          <t>PAD-EH 13.8 kV switchgear e-house</t>
        </is>
      </c>
      <c r="B1537" s="12" t="inlineStr">
        <is>
          <t>PAD-EH</t>
        </is>
      </c>
      <c r="C1537" s="12" t="inlineStr">
        <is>
          <t>I</t>
        </is>
      </c>
      <c r="D1537" s="12" t="inlineStr">
        <is>
          <t>TM-2 (TM2500) generator leads to PAD-EH</t>
        </is>
      </c>
      <c r="E1537" s="12" t="n">
        <v>13800</v>
      </c>
      <c r="F1537" s="12" t="n">
        <v>35000</v>
      </c>
      <c r="G1537" s="12" t="n">
        <v>1464</v>
      </c>
      <c r="H1537" s="12" t="inlineStr">
        <is>
          <t>TM-2: trailer-mounted aeroderivative GT (TM2500 class, ~35 M</t>
        </is>
      </c>
      <c r="I1537" s="12" t="inlineStr">
        <is>
          <t>MV 15 kV</t>
        </is>
      </c>
      <c r="J1537" s="12" t="inlineStr">
        <is>
          <t>1000 kcmil</t>
        </is>
      </c>
      <c r="K1537" s="12" t="n">
        <v>3</v>
      </c>
    </row>
    <row r="1538">
      <c r="A1538" s="12" t="inlineStr">
        <is>
          <t>PCM: power control module</t>
        </is>
      </c>
      <c r="B1538" s="12" t="inlineStr"/>
      <c r="C1538" s="12" t="inlineStr">
        <is>
          <t>I</t>
        </is>
      </c>
      <c r="D1538" s="12" t="inlineStr">
        <is>
          <t>RICE-1 generator leads to the PCM</t>
        </is>
      </c>
      <c r="E1538" s="12" t="n">
        <v>13800</v>
      </c>
      <c r="F1538" s="12" t="n">
        <v>18400</v>
      </c>
      <c r="G1538" s="12" t="n">
        <v>770</v>
      </c>
      <c r="H1538" s="12" t="inlineStr">
        <is>
          <t>RICE engine-generator 1</t>
        </is>
      </c>
      <c r="I1538" s="12" t="inlineStr">
        <is>
          <t>MV 15 kV</t>
        </is>
      </c>
      <c r="J1538" s="12" t="inlineStr">
        <is>
          <t>750 kcmil</t>
        </is>
      </c>
      <c r="K1538" s="12" t="n">
        <v>2</v>
      </c>
    </row>
    <row r="1539">
      <c r="A1539" s="12" t="inlineStr">
        <is>
          <t>PCM: power control module</t>
        </is>
      </c>
      <c r="B1539" s="12" t="inlineStr"/>
      <c r="C1539" s="12" t="inlineStr">
        <is>
          <t>I</t>
        </is>
      </c>
      <c r="D1539" s="12" t="inlineStr">
        <is>
          <t>RICE-2 generator leads to the PCM</t>
        </is>
      </c>
      <c r="E1539" s="12" t="n">
        <v>13800</v>
      </c>
      <c r="F1539" s="12" t="n">
        <v>18400</v>
      </c>
      <c r="G1539" s="12" t="n">
        <v>770</v>
      </c>
      <c r="H1539" s="12" t="inlineStr">
        <is>
          <t>RICE engine-generator 2</t>
        </is>
      </c>
      <c r="I1539" s="12" t="inlineStr">
        <is>
          <t>MV 15 kV</t>
        </is>
      </c>
      <c r="J1539" s="12" t="inlineStr">
        <is>
          <t>750 kcmil</t>
        </is>
      </c>
      <c r="K1539" s="12" t="n">
        <v>2</v>
      </c>
    </row>
    <row r="1540">
      <c r="A1540" s="12" t="inlineStr">
        <is>
          <t>PCM: power control module</t>
        </is>
      </c>
      <c r="B1540" s="12" t="inlineStr"/>
      <c r="C1540" s="12" t="inlineStr">
        <is>
          <t>I</t>
        </is>
      </c>
      <c r="D1540" s="12" t="inlineStr">
        <is>
          <t>RICE-3 generator leads to the PCM</t>
        </is>
      </c>
      <c r="E1540" s="12" t="n">
        <v>13800</v>
      </c>
      <c r="F1540" s="12" t="n">
        <v>18400</v>
      </c>
      <c r="G1540" s="12" t="n">
        <v>770</v>
      </c>
      <c r="H1540" s="12" t="inlineStr">
        <is>
          <t>RICE engine-generator 3</t>
        </is>
      </c>
      <c r="I1540" s="12" t="inlineStr">
        <is>
          <t>MV 15 kV</t>
        </is>
      </c>
      <c r="J1540" s="12" t="inlineStr">
        <is>
          <t>750 kcmil</t>
        </is>
      </c>
      <c r="K1540" s="12" t="n">
        <v>2</v>
      </c>
    </row>
    <row r="1541">
      <c r="A1541" s="12" t="inlineStr">
        <is>
          <t>PCM: power control module</t>
        </is>
      </c>
      <c r="B1541" s="12" t="inlineStr"/>
      <c r="C1541" s="12" t="inlineStr">
        <is>
          <t>I</t>
        </is>
      </c>
      <c r="D1541" s="12" t="inlineStr">
        <is>
          <t>RICE-4 generator leads to the PCM</t>
        </is>
      </c>
      <c r="E1541" s="12" t="n">
        <v>13800</v>
      </c>
      <c r="F1541" s="12" t="n">
        <v>18400</v>
      </c>
      <c r="G1541" s="12" t="n">
        <v>770</v>
      </c>
      <c r="H1541" s="12" t="inlineStr">
        <is>
          <t>RICE engine-generator 4</t>
        </is>
      </c>
      <c r="I1541" s="12" t="inlineStr">
        <is>
          <t>MV 15 kV</t>
        </is>
      </c>
      <c r="J1541" s="12" t="inlineStr">
        <is>
          <t>750 kcmil</t>
        </is>
      </c>
      <c r="K1541" s="12" t="n">
        <v>2</v>
      </c>
    </row>
    <row r="1542">
      <c r="A1542" s="12" t="inlineStr">
        <is>
          <t>PCM: power control module</t>
        </is>
      </c>
      <c r="B1542" s="12" t="inlineStr"/>
      <c r="C1542" s="12" t="inlineStr">
        <is>
          <t>I</t>
        </is>
      </c>
      <c r="D1542" s="12" t="inlineStr">
        <is>
          <t>RICE-5 generator leads to the PCM</t>
        </is>
      </c>
      <c r="E1542" s="12" t="n">
        <v>13800</v>
      </c>
      <c r="F1542" s="12" t="n">
        <v>18400</v>
      </c>
      <c r="G1542" s="12" t="n">
        <v>770</v>
      </c>
      <c r="H1542" s="12" t="inlineStr">
        <is>
          <t>RICE engine-generator 5</t>
        </is>
      </c>
      <c r="I1542" s="12" t="inlineStr">
        <is>
          <t>MV 15 kV</t>
        </is>
      </c>
      <c r="J1542" s="12" t="inlineStr">
        <is>
          <t>750 kcmil</t>
        </is>
      </c>
      <c r="K1542" s="12" t="n">
        <v>2</v>
      </c>
    </row>
    <row r="1543">
      <c r="A1543" s="12" t="inlineStr">
        <is>
          <t>PCM: power control module</t>
        </is>
      </c>
      <c r="B1543" s="12" t="inlineStr"/>
      <c r="C1543" s="12" t="inlineStr">
        <is>
          <t>I</t>
        </is>
      </c>
      <c r="D1543" s="12" t="inlineStr">
        <is>
          <t>RICE-6 generator leads to the PCM</t>
        </is>
      </c>
      <c r="E1543" s="12" t="n">
        <v>13800</v>
      </c>
      <c r="F1543" s="12" t="n">
        <v>18400</v>
      </c>
      <c r="G1543" s="12" t="n">
        <v>770</v>
      </c>
      <c r="H1543" s="12" t="inlineStr">
        <is>
          <t>RICE engine-generator 6</t>
        </is>
      </c>
      <c r="I1543" s="12" t="inlineStr">
        <is>
          <t>MV 15 kV</t>
        </is>
      </c>
      <c r="J1543" s="12" t="inlineStr">
        <is>
          <t>750 kcmil</t>
        </is>
      </c>
      <c r="K1543" s="12" t="n">
        <v>2</v>
      </c>
    </row>
    <row r="1544">
      <c r="A1544" s="12" t="inlineStr">
        <is>
          <t>PCM: power control module</t>
        </is>
      </c>
      <c r="B1544" s="12" t="inlineStr"/>
      <c r="C1544" s="12" t="inlineStr">
        <is>
          <t>I</t>
        </is>
      </c>
      <c r="D1544" s="12" t="inlineStr">
        <is>
          <t>RICE-7 generator leads to the PCM</t>
        </is>
      </c>
      <c r="E1544" s="12" t="n">
        <v>13800</v>
      </c>
      <c r="F1544" s="12" t="n">
        <v>18400</v>
      </c>
      <c r="G1544" s="12" t="n">
        <v>770</v>
      </c>
      <c r="H1544" s="12" t="inlineStr">
        <is>
          <t>RICE engine-generator 7</t>
        </is>
      </c>
      <c r="I1544" s="12" t="inlineStr">
        <is>
          <t>MV 15 kV</t>
        </is>
      </c>
      <c r="J1544" s="12" t="inlineStr">
        <is>
          <t>750 kcmil</t>
        </is>
      </c>
      <c r="K1544" s="12" t="n">
        <v>2</v>
      </c>
    </row>
    <row r="1545">
      <c r="A1545" s="12" t="inlineStr">
        <is>
          <t>PCM: power control module</t>
        </is>
      </c>
      <c r="B1545" s="12" t="inlineStr"/>
      <c r="C1545" s="12" t="inlineStr">
        <is>
          <t>I</t>
        </is>
      </c>
      <c r="D1545" s="12" t="inlineStr">
        <is>
          <t>RICE-8 generator leads to the PCM</t>
        </is>
      </c>
      <c r="E1545" s="12" t="n">
        <v>13800</v>
      </c>
      <c r="F1545" s="12" t="n">
        <v>18400</v>
      </c>
      <c r="G1545" s="12" t="n">
        <v>770</v>
      </c>
      <c r="H1545" s="12" t="inlineStr">
        <is>
          <t>RICE engine-generator 8</t>
        </is>
      </c>
      <c r="I1545" s="12" t="inlineStr">
        <is>
          <t>MV 15 kV</t>
        </is>
      </c>
      <c r="J1545" s="12" t="inlineStr">
        <is>
          <t>750 kcmil</t>
        </is>
      </c>
      <c r="K1545" s="12" t="n">
        <v>2</v>
      </c>
    </row>
    <row r="1546">
      <c r="A1546" s="12" t="inlineStr">
        <is>
          <t>SC-1 PCM + 15 kV GCB</t>
        </is>
      </c>
      <c r="B1546" s="12" t="inlineStr"/>
      <c r="C1546" s="12" t="inlineStr">
        <is>
          <t>I</t>
        </is>
      </c>
      <c r="D1546" s="12" t="inlineStr">
        <is>
          <t>SC-1 (LM6000 class) generator leads to its PCM / GCB</t>
        </is>
      </c>
      <c r="E1546" s="12" t="n">
        <v>13800</v>
      </c>
      <c r="F1546" s="12" t="n">
        <v>50000</v>
      </c>
      <c r="G1546" s="12" t="n">
        <v>2092</v>
      </c>
      <c r="H1546" s="12" t="inlineStr">
        <is>
          <t>SC-1: aeroderivative simple-cycle unit (LM6000 class)</t>
        </is>
      </c>
      <c r="I1546" s="12" t="inlineStr">
        <is>
          <t>MV 15 kV</t>
        </is>
      </c>
      <c r="J1546" s="12" t="inlineStr">
        <is>
          <t>750 kcmil</t>
        </is>
      </c>
      <c r="K1546" s="12" t="n">
        <v>5</v>
      </c>
    </row>
    <row r="1547">
      <c r="A1547" s="12" t="inlineStr">
        <is>
          <t>SC-2 PCM + 15 kV GCB</t>
        </is>
      </c>
      <c r="B1547" s="12" t="inlineStr"/>
      <c r="C1547" s="12" t="inlineStr">
        <is>
          <t>I</t>
        </is>
      </c>
      <c r="D1547" s="12" t="inlineStr">
        <is>
          <t>SC-2 (LM6000 class) generator leads to its PCM / GCB</t>
        </is>
      </c>
      <c r="E1547" s="12" t="n">
        <v>13800</v>
      </c>
      <c r="F1547" s="12" t="n">
        <v>50000</v>
      </c>
      <c r="G1547" s="12" t="n">
        <v>2092</v>
      </c>
      <c r="H1547" s="12" t="inlineStr">
        <is>
          <t>SC-2: aeroderivative simple-cycle unit (LM6000 class)</t>
        </is>
      </c>
      <c r="I1547" s="12" t="inlineStr">
        <is>
          <t>MV 15 kV</t>
        </is>
      </c>
      <c r="J1547" s="12" t="inlineStr">
        <is>
          <t>750 kcmil</t>
        </is>
      </c>
      <c r="K1547" s="12" t="n">
        <v>5</v>
      </c>
    </row>
    <row r="1548">
      <c r="A1548" s="12" t="inlineStr">
        <is>
          <t>PAD-LV 480 V paralleling switchboard</t>
        </is>
      </c>
      <c r="B1548" s="12" t="inlineStr">
        <is>
          <t>PAD-LV</t>
        </is>
      </c>
      <c r="C1548" s="12" t="inlineStr">
        <is>
          <t>I</t>
        </is>
      </c>
      <c r="D1548" s="12" t="inlineStr">
        <is>
          <t>GEN-E 480 V to PAD-LV (Type W sets, cam-lock)</t>
        </is>
      </c>
      <c r="E1548" s="12" t="n">
        <v>480</v>
      </c>
      <c r="F1548" s="12" t="n">
        <v>2000</v>
      </c>
      <c r="G1548" s="12" t="n">
        <v>2406</v>
      </c>
      <c r="H1548" s="12" t="inlineStr">
        <is>
          <t>GEN-E: enclosed industrial gas genset 2 MW</t>
        </is>
      </c>
      <c r="I1548" s="12" t="inlineStr">
        <is>
          <t>Portable LV</t>
        </is>
      </c>
      <c r="J1548" s="12" t="inlineStr">
        <is>
          <t>4/0</t>
        </is>
      </c>
      <c r="K1548" s="12" t="n">
        <v>8</v>
      </c>
    </row>
    <row r="1549">
      <c r="A1549" s="12" t="inlineStr">
        <is>
          <t>PAD-LV 480 V paralleling switchboard</t>
        </is>
      </c>
      <c r="B1549" s="12" t="inlineStr">
        <is>
          <t>PAD-LV</t>
        </is>
      </c>
      <c r="C1549" s="12" t="inlineStr">
        <is>
          <t>I</t>
        </is>
      </c>
      <c r="D1549" s="12" t="inlineStr">
        <is>
          <t>GEN-O 480 V to PAD-LV (Type W sets, cam-lock)</t>
        </is>
      </c>
      <c r="E1549" s="12" t="n">
        <v>480</v>
      </c>
      <c r="F1549" s="12" t="n">
        <v>1000</v>
      </c>
      <c r="G1549" s="12" t="n">
        <v>1203</v>
      </c>
      <c r="H1549" s="12" t="inlineStr">
        <is>
          <t>GEN-O: open engine-generator skid</t>
        </is>
      </c>
      <c r="I1549" s="12" t="inlineStr">
        <is>
          <t>Portable LV</t>
        </is>
      </c>
      <c r="J1549" s="12" t="inlineStr">
        <is>
          <t>4/0</t>
        </is>
      </c>
      <c r="K1549" s="12" t="n">
        <v>4</v>
      </c>
    </row>
    <row r="1550">
      <c r="A1550" s="12" t="inlineStr">
        <is>
          <t>GSP-1: generator breaker / protection</t>
        </is>
      </c>
      <c r="B1550" s="12" t="inlineStr">
        <is>
          <t>GSP-1</t>
        </is>
      </c>
      <c r="C1550" s="12" t="inlineStr">
        <is>
          <t>I</t>
        </is>
      </c>
      <c r="D1550" s="12" t="inlineStr">
        <is>
          <t>CONT-1 13.8 kV leads to GSP-1</t>
        </is>
      </c>
      <c r="E1550" s="12" t="n">
        <v>13800</v>
      </c>
      <c r="F1550" s="12" t="n">
        <v>2000</v>
      </c>
      <c r="G1550" s="12" t="n">
        <v>93</v>
      </c>
      <c r="H1550" s="12" t="inlineStr">
        <is>
          <t>CONT-1: containerized genset 13.8 kV (40 ft)</t>
        </is>
      </c>
      <c r="I1550" s="12" t="inlineStr">
        <is>
          <t>Portable MV</t>
        </is>
      </c>
      <c r="J1550" s="12" t="inlineStr">
        <is>
          <t>2</t>
        </is>
      </c>
      <c r="K1550" s="12" t="n">
        <v>1</v>
      </c>
    </row>
    <row r="1551">
      <c r="A1551" s="12" t="inlineStr">
        <is>
          <t>GSP-2: generator breaker / protection</t>
        </is>
      </c>
      <c r="B1551" s="12" t="inlineStr">
        <is>
          <t>GSP-2</t>
        </is>
      </c>
      <c r="C1551" s="12" t="inlineStr">
        <is>
          <t>I</t>
        </is>
      </c>
      <c r="D1551" s="12" t="inlineStr">
        <is>
          <t>CONT-2 13.8 kV leads to GSP-2</t>
        </is>
      </c>
      <c r="E1551" s="12" t="n">
        <v>13800</v>
      </c>
      <c r="F1551" s="12" t="n">
        <v>2000</v>
      </c>
      <c r="G1551" s="12" t="n">
        <v>93</v>
      </c>
      <c r="H1551" s="12" t="inlineStr">
        <is>
          <t>CONT-2: containerized genset 13.8 kV (40 ft)</t>
        </is>
      </c>
      <c r="I1551" s="12" t="inlineStr">
        <is>
          <t>Portable MV</t>
        </is>
      </c>
      <c r="J1551" s="12" t="inlineStr">
        <is>
          <t>2</t>
        </is>
      </c>
      <c r="K1551" s="12" t="n">
        <v>1</v>
      </c>
    </row>
    <row r="1552">
      <c r="A1552" s="12" t="inlineStr">
        <is>
          <t>LB: commissioning load bank (trailer)</t>
        </is>
      </c>
      <c r="B1552" s="12" t="inlineStr">
        <is>
          <t>LB</t>
        </is>
      </c>
      <c r="C1552" s="12" t="inlineStr">
        <is>
          <t>I</t>
        </is>
      </c>
      <c r="D1552" s="12" t="inlineStr">
        <is>
          <t>PIC to commissioning load bank</t>
        </is>
      </c>
      <c r="E1552" s="12" t="n">
        <v>13800</v>
      </c>
      <c r="F1552" s="12" t="n">
        <v>2000</v>
      </c>
      <c r="G1552" s="12" t="n">
        <v>93</v>
      </c>
      <c r="H1552" s="12" t="inlineStr">
        <is>
          <t>PIC: portable input cabinet</t>
        </is>
      </c>
      <c r="I1552" s="12" t="inlineStr">
        <is>
          <t>Portable MV</t>
        </is>
      </c>
      <c r="J1552" s="12" t="inlineStr">
        <is>
          <t>2</t>
        </is>
      </c>
      <c r="K1552" s="12" t="n">
        <v>1</v>
      </c>
    </row>
    <row r="1553">
      <c r="A1553" s="12" t="inlineStr">
        <is>
          <t>PAD-EH 13.8 kV switchgear e-house</t>
        </is>
      </c>
      <c r="B1553" s="12" t="inlineStr">
        <is>
          <t>PAD-EH</t>
        </is>
      </c>
      <c r="C1553" s="12" t="inlineStr">
        <is>
          <t>I</t>
        </is>
      </c>
      <c r="D1553" s="12" t="inlineStr">
        <is>
          <t>GSP-1 to PAD-EH</t>
        </is>
      </c>
      <c r="E1553" s="12" t="n">
        <v>13800</v>
      </c>
      <c r="F1553" s="12" t="n">
        <v>2000</v>
      </c>
      <c r="G1553" s="12" t="n">
        <v>93</v>
      </c>
      <c r="H1553" s="12" t="inlineStr">
        <is>
          <t>GSP-1: generator breaker / protection</t>
        </is>
      </c>
      <c r="I1553" s="12" t="inlineStr">
        <is>
          <t>Portable MV</t>
        </is>
      </c>
      <c r="J1553" s="12" t="inlineStr">
        <is>
          <t>2</t>
        </is>
      </c>
      <c r="K1553" s="12" t="n">
        <v>1</v>
      </c>
    </row>
    <row r="1554">
      <c r="A1554" s="12" t="inlineStr">
        <is>
          <t>PAD-EH 13.8 kV switchgear e-house</t>
        </is>
      </c>
      <c r="B1554" s="12" t="inlineStr">
        <is>
          <t>PAD-EH</t>
        </is>
      </c>
      <c r="C1554" s="12" t="inlineStr">
        <is>
          <t>I</t>
        </is>
      </c>
      <c r="D1554" s="12" t="inlineStr">
        <is>
          <t>GSP-2 to PAD-EH</t>
        </is>
      </c>
      <c r="E1554" s="12" t="n">
        <v>13800</v>
      </c>
      <c r="F1554" s="12" t="n">
        <v>2000</v>
      </c>
      <c r="G1554" s="12" t="n">
        <v>93</v>
      </c>
      <c r="H1554" s="12" t="inlineStr">
        <is>
          <t>GSP-2: generator breaker / protection</t>
        </is>
      </c>
      <c r="I1554" s="12" t="inlineStr">
        <is>
          <t>Portable MV</t>
        </is>
      </c>
      <c r="J1554" s="12" t="inlineStr">
        <is>
          <t>2</t>
        </is>
      </c>
      <c r="K1554" s="12" t="n">
        <v>1</v>
      </c>
    </row>
    <row r="1555">
      <c r="A1555" s="12" t="inlineStr">
        <is>
          <t>PIC: portable input cabinet</t>
        </is>
      </c>
      <c r="B1555" s="12" t="inlineStr">
        <is>
          <t>PIC</t>
        </is>
      </c>
      <c r="C1555" s="12" t="inlineStr">
        <is>
          <t>I</t>
        </is>
      </c>
      <c r="D1555" s="12" t="inlineStr">
        <is>
          <t>MOB-1 13.8 kV to PIC through the C-L01 ramp</t>
        </is>
      </c>
      <c r="E1555" s="12" t="n">
        <v>13800</v>
      </c>
      <c r="F1555" s="12" t="n">
        <v>2000</v>
      </c>
      <c r="G1555" s="12" t="n">
        <v>93</v>
      </c>
      <c r="H1555" s="12" t="inlineStr">
        <is>
          <t>MOB-1: trailer genset</t>
        </is>
      </c>
      <c r="I1555" s="12" t="inlineStr">
        <is>
          <t>Portable MV</t>
        </is>
      </c>
      <c r="J1555" s="12" t="inlineStr">
        <is>
          <t>2</t>
        </is>
      </c>
      <c r="K1555" s="12" t="n">
        <v>1</v>
      </c>
    </row>
    <row r="1556">
      <c r="A1556" s="12" t="inlineStr">
        <is>
          <t>CHW pumps</t>
        </is>
      </c>
      <c r="B1556" s="12" t="inlineStr"/>
      <c r="C1556" s="12" t="inlineStr">
        <is>
          <t>J</t>
        </is>
      </c>
      <c r="D1556" s="12" t="inlineStr">
        <is>
          <t>Motor 1 of 4, 150 kW</t>
        </is>
      </c>
      <c r="E1556" s="12" t="n">
        <v>480</v>
      </c>
      <c r="F1556" s="12" t="n">
        <v>150</v>
      </c>
      <c r="G1556" s="12" t="n">
        <v>212.3</v>
      </c>
      <c r="H1556" s="12" t="inlineStr">
        <is>
          <t>Inlet-chilling e-house / transformer</t>
        </is>
      </c>
      <c r="I1556" s="12" t="inlineStr">
        <is>
          <t>LV 600 V</t>
        </is>
      </c>
      <c r="J1556" s="12" t="inlineStr">
        <is>
          <t>350 kcmil</t>
        </is>
      </c>
      <c r="K1556" s="12" t="n">
        <v>1</v>
      </c>
    </row>
    <row r="1557">
      <c r="A1557" s="12" t="inlineStr">
        <is>
          <t>CHW pumps</t>
        </is>
      </c>
      <c r="B1557" s="12" t="inlineStr"/>
      <c r="C1557" s="12" t="inlineStr">
        <is>
          <t>J</t>
        </is>
      </c>
      <c r="D1557" s="12" t="inlineStr">
        <is>
          <t>Motor 2 of 4, 150 kW</t>
        </is>
      </c>
      <c r="E1557" s="12" t="n">
        <v>480</v>
      </c>
      <c r="F1557" s="12" t="n">
        <v>150</v>
      </c>
      <c r="G1557" s="12" t="n">
        <v>212.3</v>
      </c>
      <c r="H1557" s="12" t="inlineStr">
        <is>
          <t>Inlet-chilling e-house / transformer</t>
        </is>
      </c>
      <c r="I1557" s="12" t="inlineStr">
        <is>
          <t>LV 600 V</t>
        </is>
      </c>
      <c r="J1557" s="12" t="inlineStr">
        <is>
          <t>350 kcmil</t>
        </is>
      </c>
      <c r="K1557" s="12" t="n">
        <v>1</v>
      </c>
    </row>
    <row r="1558">
      <c r="A1558" s="12" t="inlineStr">
        <is>
          <t>CHW pumps</t>
        </is>
      </c>
      <c r="B1558" s="12" t="inlineStr"/>
      <c r="C1558" s="12" t="inlineStr">
        <is>
          <t>J</t>
        </is>
      </c>
      <c r="D1558" s="12" t="inlineStr">
        <is>
          <t>Motor 3 of 4, 150 kW</t>
        </is>
      </c>
      <c r="E1558" s="12" t="n">
        <v>480</v>
      </c>
      <c r="F1558" s="12" t="n">
        <v>150</v>
      </c>
      <c r="G1558" s="12" t="n">
        <v>212.3</v>
      </c>
      <c r="H1558" s="12" t="inlineStr">
        <is>
          <t>Inlet-chilling e-house / transformer</t>
        </is>
      </c>
      <c r="I1558" s="12" t="inlineStr">
        <is>
          <t>LV 600 V</t>
        </is>
      </c>
      <c r="J1558" s="12" t="inlineStr">
        <is>
          <t>350 kcmil</t>
        </is>
      </c>
      <c r="K1558" s="12" t="n">
        <v>1</v>
      </c>
    </row>
    <row r="1559">
      <c r="A1559" s="12" t="inlineStr">
        <is>
          <t>CHW pumps</t>
        </is>
      </c>
      <c r="B1559" s="12" t="inlineStr"/>
      <c r="C1559" s="12" t="inlineStr">
        <is>
          <t>J</t>
        </is>
      </c>
      <c r="D1559" s="12" t="inlineStr">
        <is>
          <t>Motor 4 of 4, 150 kW</t>
        </is>
      </c>
      <c r="E1559" s="12" t="n">
        <v>480</v>
      </c>
      <c r="F1559" s="12" t="n">
        <v>150</v>
      </c>
      <c r="G1559" s="12" t="n">
        <v>212.3</v>
      </c>
      <c r="H1559" s="12" t="inlineStr">
        <is>
          <t>Inlet-chilling e-house / transformer</t>
        </is>
      </c>
      <c r="I1559" s="12" t="inlineStr">
        <is>
          <t>LV 600 V</t>
        </is>
      </c>
      <c r="J1559" s="12" t="inlineStr">
        <is>
          <t>350 kcmil</t>
        </is>
      </c>
      <c r="K1559" s="12" t="n">
        <v>1</v>
      </c>
    </row>
    <row r="1560">
      <c r="A1560" s="12" t="inlineStr">
        <is>
          <t>CONDITIONAL: TES chilled-water tank</t>
        </is>
      </c>
      <c r="B1560" s="12" t="inlineStr"/>
      <c r="C1560" s="12" t="inlineStr">
        <is>
          <t>J</t>
        </is>
      </c>
      <c r="D1560" s="12" t="inlineStr">
        <is>
          <t>LV power feeder</t>
        </is>
      </c>
      <c r="E1560" s="12" t="n">
        <v>480</v>
      </c>
      <c r="F1560" s="12" t="n">
        <v>10</v>
      </c>
      <c r="G1560" s="12" t="n">
        <v>14.2</v>
      </c>
      <c r="H1560" s="12" t="inlineStr">
        <is>
          <t>Inlet-chilling e-house / transformer</t>
        </is>
      </c>
      <c r="I1560" s="12" t="inlineStr">
        <is>
          <t>LV 600 V</t>
        </is>
      </c>
      <c r="J1560" s="12" t="inlineStr">
        <is>
          <t>8</t>
        </is>
      </c>
      <c r="K1560" s="12" t="n">
        <v>1</v>
      </c>
    </row>
    <row r="1561">
      <c r="A1561" s="12" t="inlineStr">
        <is>
          <t>Chillers x6 (water-cooled)</t>
        </is>
      </c>
      <c r="B1561" s="12" t="inlineStr"/>
      <c r="C1561" s="12" t="inlineStr">
        <is>
          <t>J</t>
        </is>
      </c>
      <c r="D1561" s="12" t="inlineStr">
        <is>
          <t>Motor 1 of 6, 7 kW</t>
        </is>
      </c>
      <c r="E1561" s="12" t="n">
        <v>480</v>
      </c>
      <c r="F1561" s="12" t="n">
        <v>7</v>
      </c>
      <c r="G1561" s="12" t="n">
        <v>9.9</v>
      </c>
      <c r="H1561" s="12" t="inlineStr">
        <is>
          <t>Inlet-chilling e-house / transformer</t>
        </is>
      </c>
      <c r="I1561" s="12" t="inlineStr">
        <is>
          <t>LV 600 V</t>
        </is>
      </c>
      <c r="J1561" s="12" t="inlineStr">
        <is>
          <t>10</t>
        </is>
      </c>
      <c r="K1561" s="12" t="n">
        <v>1</v>
      </c>
    </row>
    <row r="1562">
      <c r="A1562" s="12" t="inlineStr">
        <is>
          <t>Chillers x6 (water-cooled)</t>
        </is>
      </c>
      <c r="B1562" s="12" t="inlineStr"/>
      <c r="C1562" s="12" t="inlineStr">
        <is>
          <t>J</t>
        </is>
      </c>
      <c r="D1562" s="12" t="inlineStr">
        <is>
          <t>Motor 2 of 6, 7 kW</t>
        </is>
      </c>
      <c r="E1562" s="12" t="n">
        <v>480</v>
      </c>
      <c r="F1562" s="12" t="n">
        <v>7</v>
      </c>
      <c r="G1562" s="12" t="n">
        <v>9.9</v>
      </c>
      <c r="H1562" s="12" t="inlineStr">
        <is>
          <t>Inlet-chilling e-house / transformer</t>
        </is>
      </c>
      <c r="I1562" s="12" t="inlineStr">
        <is>
          <t>LV 600 V</t>
        </is>
      </c>
      <c r="J1562" s="12" t="inlineStr">
        <is>
          <t>10</t>
        </is>
      </c>
      <c r="K1562" s="12" t="n">
        <v>1</v>
      </c>
    </row>
    <row r="1563">
      <c r="A1563" s="12" t="inlineStr">
        <is>
          <t>Chillers x6 (water-cooled)</t>
        </is>
      </c>
      <c r="B1563" s="12" t="inlineStr"/>
      <c r="C1563" s="12" t="inlineStr">
        <is>
          <t>J</t>
        </is>
      </c>
      <c r="D1563" s="12" t="inlineStr">
        <is>
          <t>Motor 3 of 6, 7 kW</t>
        </is>
      </c>
      <c r="E1563" s="12" t="n">
        <v>480</v>
      </c>
      <c r="F1563" s="12" t="n">
        <v>7</v>
      </c>
      <c r="G1563" s="12" t="n">
        <v>9.9</v>
      </c>
      <c r="H1563" s="12" t="inlineStr">
        <is>
          <t>Inlet-chilling e-house / transformer</t>
        </is>
      </c>
      <c r="I1563" s="12" t="inlineStr">
        <is>
          <t>LV 600 V</t>
        </is>
      </c>
      <c r="J1563" s="12" t="inlineStr">
        <is>
          <t>10</t>
        </is>
      </c>
      <c r="K1563" s="12" t="n">
        <v>1</v>
      </c>
    </row>
    <row r="1564">
      <c r="A1564" s="12" t="inlineStr">
        <is>
          <t>Chillers x6 (water-cooled)</t>
        </is>
      </c>
      <c r="B1564" s="12" t="inlineStr"/>
      <c r="C1564" s="12" t="inlineStr">
        <is>
          <t>J</t>
        </is>
      </c>
      <c r="D1564" s="12" t="inlineStr">
        <is>
          <t>Motor 4 of 6, 7 kW</t>
        </is>
      </c>
      <c r="E1564" s="12" t="n">
        <v>480</v>
      </c>
      <c r="F1564" s="12" t="n">
        <v>7</v>
      </c>
      <c r="G1564" s="12" t="n">
        <v>9.9</v>
      </c>
      <c r="H1564" s="12" t="inlineStr">
        <is>
          <t>Inlet-chilling e-house / transformer</t>
        </is>
      </c>
      <c r="I1564" s="12" t="inlineStr">
        <is>
          <t>LV 600 V</t>
        </is>
      </c>
      <c r="J1564" s="12" t="inlineStr">
        <is>
          <t>10</t>
        </is>
      </c>
      <c r="K1564" s="12" t="n">
        <v>1</v>
      </c>
    </row>
    <row r="1565">
      <c r="A1565" s="12" t="inlineStr">
        <is>
          <t>Chillers x6 (water-cooled)</t>
        </is>
      </c>
      <c r="B1565" s="12" t="inlineStr"/>
      <c r="C1565" s="12" t="inlineStr">
        <is>
          <t>J</t>
        </is>
      </c>
      <c r="D1565" s="12" t="inlineStr">
        <is>
          <t>Motor 5 of 6, 7 kW</t>
        </is>
      </c>
      <c r="E1565" s="12" t="n">
        <v>480</v>
      </c>
      <c r="F1565" s="12" t="n">
        <v>7</v>
      </c>
      <c r="G1565" s="12" t="n">
        <v>9.9</v>
      </c>
      <c r="H1565" s="12" t="inlineStr">
        <is>
          <t>Inlet-chilling e-house / transformer</t>
        </is>
      </c>
      <c r="I1565" s="12" t="inlineStr">
        <is>
          <t>LV 600 V</t>
        </is>
      </c>
      <c r="J1565" s="12" t="inlineStr">
        <is>
          <t>10</t>
        </is>
      </c>
      <c r="K1565" s="12" t="n">
        <v>1</v>
      </c>
    </row>
    <row r="1566">
      <c r="A1566" s="12" t="inlineStr">
        <is>
          <t>Chillers x6 (water-cooled)</t>
        </is>
      </c>
      <c r="B1566" s="12" t="inlineStr"/>
      <c r="C1566" s="12" t="inlineStr">
        <is>
          <t>J</t>
        </is>
      </c>
      <c r="D1566" s="12" t="inlineStr">
        <is>
          <t>Motor 6 of 6, 7 kW</t>
        </is>
      </c>
      <c r="E1566" s="12" t="n">
        <v>480</v>
      </c>
      <c r="F1566" s="12" t="n">
        <v>7</v>
      </c>
      <c r="G1566" s="12" t="n">
        <v>9.9</v>
      </c>
      <c r="H1566" s="12" t="inlineStr">
        <is>
          <t>Inlet-chilling e-house / transformer</t>
        </is>
      </c>
      <c r="I1566" s="12" t="inlineStr">
        <is>
          <t>LV 600 V</t>
        </is>
      </c>
      <c r="J1566" s="12" t="inlineStr">
        <is>
          <t>10</t>
        </is>
      </c>
      <c r="K1566" s="12" t="n">
        <v>1</v>
      </c>
    </row>
    <row r="1567">
      <c r="A1567" s="12" t="inlineStr">
        <is>
          <t>Inlet-chilling tower (12 cells): chiller heat rejection</t>
        </is>
      </c>
      <c r="B1567" s="12" t="inlineStr"/>
      <c r="C1567" s="12" t="inlineStr">
        <is>
          <t>J</t>
        </is>
      </c>
      <c r="D1567" s="12" t="inlineStr">
        <is>
          <t>Motor 1 of 12, 75 kW (VFD output)</t>
        </is>
      </c>
      <c r="E1567" s="12" t="n">
        <v>480</v>
      </c>
      <c r="F1567" s="12" t="n">
        <v>75</v>
      </c>
      <c r="G1567" s="12" t="n">
        <v>106</v>
      </c>
      <c r="H1567" s="12" t="inlineStr">
        <is>
          <t>Inlet-chilling e-house / transformer</t>
        </is>
      </c>
      <c r="I1567" s="12" t="inlineStr">
        <is>
          <t>LV 600 V</t>
        </is>
      </c>
      <c r="J1567" s="12" t="inlineStr">
        <is>
          <t>2/0</t>
        </is>
      </c>
      <c r="K1567" s="12" t="n">
        <v>1</v>
      </c>
    </row>
    <row r="1568">
      <c r="A1568" s="12" t="inlineStr">
        <is>
          <t>Inlet-chilling tower (12 cells): chiller heat rejection</t>
        </is>
      </c>
      <c r="B1568" s="12" t="inlineStr"/>
      <c r="C1568" s="12" t="inlineStr">
        <is>
          <t>J</t>
        </is>
      </c>
      <c r="D1568" s="12" t="inlineStr">
        <is>
          <t>Motor 2 of 12, 75 kW (VFD output)</t>
        </is>
      </c>
      <c r="E1568" s="12" t="n">
        <v>480</v>
      </c>
      <c r="F1568" s="12" t="n">
        <v>75</v>
      </c>
      <c r="G1568" s="12" t="n">
        <v>106</v>
      </c>
      <c r="H1568" s="12" t="inlineStr">
        <is>
          <t>Inlet-chilling e-house / transformer</t>
        </is>
      </c>
      <c r="I1568" s="12" t="inlineStr">
        <is>
          <t>LV 600 V</t>
        </is>
      </c>
      <c r="J1568" s="12" t="inlineStr">
        <is>
          <t>2/0</t>
        </is>
      </c>
      <c r="K1568" s="12" t="n">
        <v>1</v>
      </c>
    </row>
    <row r="1569">
      <c r="A1569" s="12" t="inlineStr">
        <is>
          <t>Inlet-chilling tower (12 cells): chiller heat rejection</t>
        </is>
      </c>
      <c r="B1569" s="12" t="inlineStr"/>
      <c r="C1569" s="12" t="inlineStr">
        <is>
          <t>J</t>
        </is>
      </c>
      <c r="D1569" s="12" t="inlineStr">
        <is>
          <t>Motor 3 of 12, 75 kW (VFD output)</t>
        </is>
      </c>
      <c r="E1569" s="12" t="n">
        <v>480</v>
      </c>
      <c r="F1569" s="12" t="n">
        <v>75</v>
      </c>
      <c r="G1569" s="12" t="n">
        <v>106</v>
      </c>
      <c r="H1569" s="12" t="inlineStr">
        <is>
          <t>Inlet-chilling e-house / transformer</t>
        </is>
      </c>
      <c r="I1569" s="12" t="inlineStr">
        <is>
          <t>LV 600 V</t>
        </is>
      </c>
      <c r="J1569" s="12" t="inlineStr">
        <is>
          <t>2/0</t>
        </is>
      </c>
      <c r="K1569" s="12" t="n">
        <v>1</v>
      </c>
    </row>
    <row r="1570">
      <c r="A1570" s="12" t="inlineStr">
        <is>
          <t>Inlet-chilling tower (12 cells): chiller heat rejection</t>
        </is>
      </c>
      <c r="B1570" s="12" t="inlineStr"/>
      <c r="C1570" s="12" t="inlineStr">
        <is>
          <t>J</t>
        </is>
      </c>
      <c r="D1570" s="12" t="inlineStr">
        <is>
          <t>Motor 4 of 12, 75 kW (VFD output)</t>
        </is>
      </c>
      <c r="E1570" s="12" t="n">
        <v>480</v>
      </c>
      <c r="F1570" s="12" t="n">
        <v>75</v>
      </c>
      <c r="G1570" s="12" t="n">
        <v>106</v>
      </c>
      <c r="H1570" s="12" t="inlineStr">
        <is>
          <t>Inlet-chilling e-house / transformer</t>
        </is>
      </c>
      <c r="I1570" s="12" t="inlineStr">
        <is>
          <t>LV 600 V</t>
        </is>
      </c>
      <c r="J1570" s="12" t="inlineStr">
        <is>
          <t>2/0</t>
        </is>
      </c>
      <c r="K1570" s="12" t="n">
        <v>1</v>
      </c>
    </row>
    <row r="1571">
      <c r="A1571" s="12" t="inlineStr">
        <is>
          <t>Inlet-chilling tower (12 cells): chiller heat rejection</t>
        </is>
      </c>
      <c r="B1571" s="12" t="inlineStr"/>
      <c r="C1571" s="12" t="inlineStr">
        <is>
          <t>J</t>
        </is>
      </c>
      <c r="D1571" s="12" t="inlineStr">
        <is>
          <t>Motor 5 of 12, 75 kW (VFD output)</t>
        </is>
      </c>
      <c r="E1571" s="12" t="n">
        <v>480</v>
      </c>
      <c r="F1571" s="12" t="n">
        <v>75</v>
      </c>
      <c r="G1571" s="12" t="n">
        <v>106</v>
      </c>
      <c r="H1571" s="12" t="inlineStr">
        <is>
          <t>Inlet-chilling e-house / transformer</t>
        </is>
      </c>
      <c r="I1571" s="12" t="inlineStr">
        <is>
          <t>LV 600 V</t>
        </is>
      </c>
      <c r="J1571" s="12" t="inlineStr">
        <is>
          <t>2/0</t>
        </is>
      </c>
      <c r="K1571" s="12" t="n">
        <v>1</v>
      </c>
    </row>
    <row r="1572">
      <c r="A1572" s="12" t="inlineStr">
        <is>
          <t>Inlet-chilling tower (12 cells): chiller heat rejection</t>
        </is>
      </c>
      <c r="B1572" s="12" t="inlineStr"/>
      <c r="C1572" s="12" t="inlineStr">
        <is>
          <t>J</t>
        </is>
      </c>
      <c r="D1572" s="12" t="inlineStr">
        <is>
          <t>Motor 6 of 12, 75 kW (VFD output)</t>
        </is>
      </c>
      <c r="E1572" s="12" t="n">
        <v>480</v>
      </c>
      <c r="F1572" s="12" t="n">
        <v>75</v>
      </c>
      <c r="G1572" s="12" t="n">
        <v>106</v>
      </c>
      <c r="H1572" s="12" t="inlineStr">
        <is>
          <t>Inlet-chilling e-house / transformer</t>
        </is>
      </c>
      <c r="I1572" s="12" t="inlineStr">
        <is>
          <t>LV 600 V</t>
        </is>
      </c>
      <c r="J1572" s="12" t="inlineStr">
        <is>
          <t>2/0</t>
        </is>
      </c>
      <c r="K1572" s="12" t="n">
        <v>1</v>
      </c>
    </row>
    <row r="1573">
      <c r="A1573" s="12" t="inlineStr">
        <is>
          <t>Inlet-chilling tower (12 cells): chiller heat rejection</t>
        </is>
      </c>
      <c r="B1573" s="12" t="inlineStr"/>
      <c r="C1573" s="12" t="inlineStr">
        <is>
          <t>J</t>
        </is>
      </c>
      <c r="D1573" s="12" t="inlineStr">
        <is>
          <t>Motor 7 of 12, 75 kW (VFD output)</t>
        </is>
      </c>
      <c r="E1573" s="12" t="n">
        <v>480</v>
      </c>
      <c r="F1573" s="12" t="n">
        <v>75</v>
      </c>
      <c r="G1573" s="12" t="n">
        <v>106</v>
      </c>
      <c r="H1573" s="12" t="inlineStr">
        <is>
          <t>Inlet-chilling e-house / transformer</t>
        </is>
      </c>
      <c r="I1573" s="12" t="inlineStr">
        <is>
          <t>LV 600 V</t>
        </is>
      </c>
      <c r="J1573" s="12" t="inlineStr">
        <is>
          <t>2/0</t>
        </is>
      </c>
      <c r="K1573" s="12" t="n">
        <v>1</v>
      </c>
    </row>
    <row r="1574">
      <c r="A1574" s="12" t="inlineStr">
        <is>
          <t>Inlet-chilling tower (12 cells): chiller heat rejection</t>
        </is>
      </c>
      <c r="B1574" s="12" t="inlineStr"/>
      <c r="C1574" s="12" t="inlineStr">
        <is>
          <t>J</t>
        </is>
      </c>
      <c r="D1574" s="12" t="inlineStr">
        <is>
          <t>Motor 8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9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10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11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12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Area / platform lighting circuit 1 (12 fixtures)</t>
        </is>
      </c>
      <c r="E1579" s="12" t="n">
        <v>480</v>
      </c>
      <c r="F1579" s="12" t="n">
        <v>3</v>
      </c>
      <c r="G1579" s="12" t="n">
        <v>5</v>
      </c>
      <c r="H1579" s="12" t="inlineStr">
        <is>
          <t>Inlet-chilling e-house / transformer</t>
        </is>
      </c>
      <c r="I1579" s="12" t="inlineStr">
        <is>
          <t>LV 600 V</t>
        </is>
      </c>
      <c r="J1579" s="12" t="inlineStr">
        <is>
          <t>10</t>
        </is>
      </c>
      <c r="K1579" s="12" t="n">
        <v>1</v>
      </c>
    </row>
    <row r="1580">
      <c r="A1580" s="12" t="inlineStr">
        <is>
          <t>Inlet-chilling e-house / transformer</t>
        </is>
      </c>
      <c r="B1580" s="12" t="inlineStr"/>
      <c r="C1580" s="12" t="inlineStr">
        <is>
          <t>J</t>
        </is>
      </c>
      <c r="D1580" s="12" t="inlineStr">
        <is>
          <t>Inlet-chilling e-house / transformer</t>
        </is>
      </c>
      <c r="E1580" s="12" t="n">
        <v>13800</v>
      </c>
      <c r="F1580" s="12" t="n">
        <v>12000</v>
      </c>
      <c r="G1580" s="12" t="n">
        <v>502</v>
      </c>
      <c r="H1580" s="12" t="inlineStr">
        <is>
          <t>R1 SWGR-13.8-1 (11 x 36 in cubicles, 15 kV metal-clad)</t>
        </is>
      </c>
      <c r="I1580" s="12" t="inlineStr">
        <is>
          <t>MV 15 kV</t>
        </is>
      </c>
      <c r="J1580" s="12" t="inlineStr">
        <is>
          <t>1000 kcmil</t>
        </is>
      </c>
      <c r="K1580" s="12" t="n">
        <v>1</v>
      </c>
    </row>
    <row r="1581">
      <c r="A1581" s="12" t="inlineStr">
        <is>
          <t>CW pumps (inlet chilling)</t>
        </is>
      </c>
      <c r="B1581" s="12" t="inlineStr"/>
      <c r="C1581" s="12" t="inlineStr">
        <is>
          <t>J</t>
        </is>
      </c>
      <c r="D1581" s="12" t="inlineStr">
        <is>
          <t>Inlet-chilling CW pump 1</t>
        </is>
      </c>
      <c r="E1581" s="12" t="n">
        <v>4160</v>
      </c>
      <c r="F1581" s="12" t="n">
        <v>450</v>
      </c>
      <c r="G1581" s="12" t="n">
        <v>69</v>
      </c>
      <c r="H1581" s="12" t="inlineStr">
        <is>
          <t>Inlet-chilling e-house / transformer</t>
        </is>
      </c>
      <c r="I1581" s="12" t="inlineStr">
        <is>
          <t>MV 5 kV</t>
        </is>
      </c>
      <c r="J1581" s="12" t="inlineStr">
        <is>
          <t>2</t>
        </is>
      </c>
      <c r="K1581" s="12" t="n">
        <v>1</v>
      </c>
    </row>
    <row r="1582">
      <c r="A1582" s="12" t="inlineStr">
        <is>
          <t>CW pumps (inlet chilling)</t>
        </is>
      </c>
      <c r="B1582" s="12" t="inlineStr"/>
      <c r="C1582" s="12" t="inlineStr">
        <is>
          <t>J</t>
        </is>
      </c>
      <c r="D1582" s="12" t="inlineStr">
        <is>
          <t>Inlet-chilling CW pump 2</t>
        </is>
      </c>
      <c r="E1582" s="12" t="n">
        <v>4160</v>
      </c>
      <c r="F1582" s="12" t="n">
        <v>450</v>
      </c>
      <c r="G1582" s="12" t="n">
        <v>69</v>
      </c>
      <c r="H1582" s="12" t="inlineStr">
        <is>
          <t>Inlet-chilling e-house / transformer</t>
        </is>
      </c>
      <c r="I1582" s="12" t="inlineStr">
        <is>
          <t>MV 5 kV</t>
        </is>
      </c>
      <c r="J1582" s="12" t="inlineStr">
        <is>
          <t>2</t>
        </is>
      </c>
      <c r="K1582" s="12" t="n">
        <v>1</v>
      </c>
    </row>
    <row r="1583">
      <c r="A1583" s="12" t="inlineStr">
        <is>
          <t>CW pumps (inlet chilling)</t>
        </is>
      </c>
      <c r="B1583" s="12" t="inlineStr"/>
      <c r="C1583" s="12" t="inlineStr">
        <is>
          <t>J</t>
        </is>
      </c>
      <c r="D1583" s="12" t="inlineStr">
        <is>
          <t>Inlet-chilling CW pump 3</t>
        </is>
      </c>
      <c r="E1583" s="12" t="n">
        <v>4160</v>
      </c>
      <c r="F1583" s="12" t="n">
        <v>450</v>
      </c>
      <c r="G1583" s="12" t="n">
        <v>69</v>
      </c>
      <c r="H1583" s="12" t="inlineStr">
        <is>
          <t>Inlet-chilling e-house / transformer</t>
        </is>
      </c>
      <c r="I1583" s="12" t="inlineStr">
        <is>
          <t>MV 5 kV</t>
        </is>
      </c>
      <c r="J1583" s="12" t="inlineStr">
        <is>
          <t>2</t>
        </is>
      </c>
      <c r="K1583" s="12" t="n">
        <v>1</v>
      </c>
    </row>
    <row r="1584">
      <c r="A1584" s="12" t="inlineStr">
        <is>
          <t>CW pumps (inlet chilling)</t>
        </is>
      </c>
      <c r="B1584" s="12" t="inlineStr"/>
      <c r="C1584" s="12" t="inlineStr">
        <is>
          <t>J</t>
        </is>
      </c>
      <c r="D1584" s="12" t="inlineStr">
        <is>
          <t>Inlet-chilling CW pump 4</t>
        </is>
      </c>
      <c r="E1584" s="12" t="n">
        <v>4160</v>
      </c>
      <c r="F1584" s="12" t="n">
        <v>450</v>
      </c>
      <c r="G1584" s="12" t="n">
        <v>69</v>
      </c>
      <c r="H1584" s="12" t="inlineStr">
        <is>
          <t>Inlet-chilling e-house / transformer</t>
        </is>
      </c>
      <c r="I1584" s="12" t="inlineStr">
        <is>
          <t>MV 5 kV</t>
        </is>
      </c>
      <c r="J1584" s="12" t="inlineStr">
        <is>
          <t>2</t>
        </is>
      </c>
      <c r="K1584" s="12" t="n">
        <v>1</v>
      </c>
    </row>
    <row r="1585">
      <c r="A1585" s="12" t="inlineStr">
        <is>
          <t>Chillers x6 (water-cooled)</t>
        </is>
      </c>
      <c r="B1585" s="12" t="inlineStr"/>
      <c r="C1585" s="12" t="inlineStr">
        <is>
          <t>J</t>
        </is>
      </c>
      <c r="D1585" s="12" t="inlineStr">
        <is>
          <t>Water-cooled chiller CH-1</t>
        </is>
      </c>
      <c r="E1585" s="12" t="n">
        <v>4160</v>
      </c>
      <c r="F1585" s="12" t="n">
        <v>1500</v>
      </c>
      <c r="G1585" s="12" t="n">
        <v>231</v>
      </c>
      <c r="H1585" s="12" t="inlineStr">
        <is>
          <t>Inlet-chilling e-house / transformer</t>
        </is>
      </c>
      <c r="I1585" s="12" t="inlineStr">
        <is>
          <t>MV 5 kV</t>
        </is>
      </c>
      <c r="J1585" s="12" t="inlineStr">
        <is>
          <t>250 kcmil</t>
        </is>
      </c>
      <c r="K1585" s="12" t="n">
        <v>1</v>
      </c>
    </row>
    <row r="1586">
      <c r="A1586" s="12" t="inlineStr">
        <is>
          <t>Chillers x6 (water-cooled)</t>
        </is>
      </c>
      <c r="B1586" s="12" t="inlineStr"/>
      <c r="C1586" s="12" t="inlineStr">
        <is>
          <t>J</t>
        </is>
      </c>
      <c r="D1586" s="12" t="inlineStr">
        <is>
          <t>Water-cooled chiller CH-2</t>
        </is>
      </c>
      <c r="E1586" s="12" t="n">
        <v>4160</v>
      </c>
      <c r="F1586" s="12" t="n">
        <v>1500</v>
      </c>
      <c r="G1586" s="12" t="n">
        <v>231</v>
      </c>
      <c r="H1586" s="12" t="inlineStr">
        <is>
          <t>Inlet-chilling e-house / transformer</t>
        </is>
      </c>
      <c r="I1586" s="12" t="inlineStr">
        <is>
          <t>MV 5 kV</t>
        </is>
      </c>
      <c r="J1586" s="12" t="inlineStr">
        <is>
          <t>250 kcmil</t>
        </is>
      </c>
      <c r="K1586" s="12" t="n">
        <v>1</v>
      </c>
    </row>
    <row r="1587">
      <c r="A1587" s="12" t="inlineStr">
        <is>
          <t>Chillers x6 (water-cooled)</t>
        </is>
      </c>
      <c r="B1587" s="12" t="inlineStr"/>
      <c r="C1587" s="12" t="inlineStr">
        <is>
          <t>J</t>
        </is>
      </c>
      <c r="D1587" s="12" t="inlineStr">
        <is>
          <t>Water-cooled chiller CH-3</t>
        </is>
      </c>
      <c r="E1587" s="12" t="n">
        <v>4160</v>
      </c>
      <c r="F1587" s="12" t="n">
        <v>1500</v>
      </c>
      <c r="G1587" s="12" t="n">
        <v>231</v>
      </c>
      <c r="H1587" s="12" t="inlineStr">
        <is>
          <t>Inlet-chilling e-house / transformer</t>
        </is>
      </c>
      <c r="I1587" s="12" t="inlineStr">
        <is>
          <t>MV 5 kV</t>
        </is>
      </c>
      <c r="J1587" s="12" t="inlineStr">
        <is>
          <t>250 kcmil</t>
        </is>
      </c>
      <c r="K1587" s="12" t="n">
        <v>1</v>
      </c>
    </row>
    <row r="1588">
      <c r="A1588" s="12" t="inlineStr">
        <is>
          <t>Chillers x6 (water-cooled)</t>
        </is>
      </c>
      <c r="B1588" s="12" t="inlineStr"/>
      <c r="C1588" s="12" t="inlineStr">
        <is>
          <t>J</t>
        </is>
      </c>
      <c r="D1588" s="12" t="inlineStr">
        <is>
          <t>Water-cooled chiller CH-4</t>
        </is>
      </c>
      <c r="E1588" s="12" t="n">
        <v>4160</v>
      </c>
      <c r="F1588" s="12" t="n">
        <v>1500</v>
      </c>
      <c r="G1588" s="12" t="n">
        <v>231</v>
      </c>
      <c r="H1588" s="12" t="inlineStr">
        <is>
          <t>Inlet-chilling e-house / transformer</t>
        </is>
      </c>
      <c r="I1588" s="12" t="inlineStr">
        <is>
          <t>MV 5 kV</t>
        </is>
      </c>
      <c r="J1588" s="12" t="inlineStr">
        <is>
          <t>250 kcmil</t>
        </is>
      </c>
      <c r="K1588" s="12" t="n">
        <v>1</v>
      </c>
    </row>
    <row r="1589">
      <c r="A1589" s="12" t="inlineStr">
        <is>
          <t>Chillers x6 (water-cooled)</t>
        </is>
      </c>
      <c r="B1589" s="12" t="inlineStr"/>
      <c r="C1589" s="12" t="inlineStr">
        <is>
          <t>J</t>
        </is>
      </c>
      <c r="D1589" s="12" t="inlineStr">
        <is>
          <t>Water-cooled chiller CH-5</t>
        </is>
      </c>
      <c r="E1589" s="12" t="n">
        <v>4160</v>
      </c>
      <c r="F1589" s="12" t="n">
        <v>1500</v>
      </c>
      <c r="G1589" s="12" t="n">
        <v>231</v>
      </c>
      <c r="H1589" s="12" t="inlineStr">
        <is>
          <t>Inlet-chilling e-house / transformer</t>
        </is>
      </c>
      <c r="I1589" s="12" t="inlineStr">
        <is>
          <t>MV 5 kV</t>
        </is>
      </c>
      <c r="J1589" s="12" t="inlineStr">
        <is>
          <t>250 kcmil</t>
        </is>
      </c>
      <c r="K1589" s="12" t="n">
        <v>1</v>
      </c>
    </row>
    <row r="1590">
      <c r="A1590" s="12" t="inlineStr">
        <is>
          <t>Chillers x6 (water-cooled)</t>
        </is>
      </c>
      <c r="B1590" s="12" t="inlineStr"/>
      <c r="C1590" s="12" t="inlineStr">
        <is>
          <t>J</t>
        </is>
      </c>
      <c r="D1590" s="12" t="inlineStr">
        <is>
          <t>Water-cooled chiller CH-6</t>
        </is>
      </c>
      <c r="E1590" s="12" t="n">
        <v>4160</v>
      </c>
      <c r="F1590" s="12" t="n">
        <v>1500</v>
      </c>
      <c r="G1590" s="12" t="n">
        <v>231</v>
      </c>
      <c r="H1590" s="12" t="inlineStr">
        <is>
          <t>Inlet-chilling e-house / transformer</t>
        </is>
      </c>
      <c r="I1590" s="12" t="inlineStr">
        <is>
          <t>MV 5 kV</t>
        </is>
      </c>
      <c r="J1590" s="12" t="inlineStr">
        <is>
          <t>250 kcmil</t>
        </is>
      </c>
      <c r="K1590" s="12" t="n">
        <v>1</v>
      </c>
    </row>
    <row r="1591">
      <c r="A1591" s="12" t="inlineStr">
        <is>
          <t>H2 19: T-H2 230/13.8 kV (about 40 MVA)</t>
        </is>
      </c>
      <c r="B1591" s="12" t="inlineStr">
        <is>
          <t>T-H2</t>
        </is>
      </c>
      <c r="C1591" s="12" t="inlineStr">
        <is>
          <t>K</t>
        </is>
      </c>
      <c r="D1591" s="12" t="inlineStr">
        <is>
          <t>Motor 1 of 1, 15 kW</t>
        </is>
      </c>
      <c r="E1591" s="12" t="n">
        <v>480</v>
      </c>
      <c r="F1591" s="12" t="n">
        <v>15</v>
      </c>
      <c r="G1591" s="12" t="n">
        <v>21.2</v>
      </c>
      <c r="H1591" s="12" t="inlineStr">
        <is>
          <t>H2 20: 13.8 kV e-house</t>
        </is>
      </c>
      <c r="I1591" s="12" t="inlineStr">
        <is>
          <t>LV 600 V</t>
        </is>
      </c>
      <c r="J1591" s="12" t="inlineStr">
        <is>
          <t>10</t>
        </is>
      </c>
      <c r="K1591" s="12" t="n">
        <v>1</v>
      </c>
    </row>
    <row r="1592">
      <c r="A1592" s="12" t="inlineStr">
        <is>
          <t>H2 20: 13.8 kV e-house</t>
        </is>
      </c>
      <c r="B1592" s="12" t="inlineStr"/>
      <c r="C1592" s="12" t="inlineStr">
        <is>
          <t>K</t>
        </is>
      </c>
      <c r="D1592" s="12" t="inlineStr">
        <is>
          <t>Motor 1 of 1, 15 kW</t>
        </is>
      </c>
      <c r="E1592" s="12" t="n">
        <v>480</v>
      </c>
      <c r="F1592" s="12" t="n">
        <v>15</v>
      </c>
      <c r="G1592" s="12" t="n">
        <v>21.2</v>
      </c>
      <c r="H1592" s="12" t="inlineStr">
        <is>
          <t>H2 20: 13.8 kV e-house</t>
        </is>
      </c>
      <c r="I1592" s="12" t="inlineStr">
        <is>
          <t>LV 600 V</t>
        </is>
      </c>
      <c r="J1592" s="12" t="inlineStr">
        <is>
          <t>10</t>
        </is>
      </c>
      <c r="K1592" s="12" t="n">
        <v>1</v>
      </c>
    </row>
    <row r="1593">
      <c r="A1593" s="12" t="inlineStr">
        <is>
          <t>H2 21: rectifier transformer 1 (7 MVA)</t>
        </is>
      </c>
      <c r="B1593" s="12" t="inlineStr"/>
      <c r="C1593" s="12" t="inlineStr">
        <is>
          <t>K</t>
        </is>
      </c>
      <c r="D1593" s="12" t="inlineStr">
        <is>
          <t>Motor 1 of 1, 15 kW</t>
        </is>
      </c>
      <c r="E1593" s="12" t="n">
        <v>480</v>
      </c>
      <c r="F1593" s="12" t="n">
        <v>15</v>
      </c>
      <c r="G1593" s="12" t="n">
        <v>21.2</v>
      </c>
      <c r="H1593" s="12" t="inlineStr">
        <is>
          <t>H2 20: 13.8 kV e-house</t>
        </is>
      </c>
      <c r="I1593" s="12" t="inlineStr">
        <is>
          <t>LV 600 V</t>
        </is>
      </c>
      <c r="J1593" s="12" t="inlineStr">
        <is>
          <t>8</t>
        </is>
      </c>
      <c r="K1593" s="12" t="n">
        <v>1</v>
      </c>
    </row>
    <row r="1594">
      <c r="A1594" s="12" t="inlineStr">
        <is>
          <t>H2 21: rectifier transformer 2 (7 MVA)</t>
        </is>
      </c>
      <c r="B1594" s="12" t="inlineStr"/>
      <c r="C1594" s="12" t="inlineStr">
        <is>
          <t>K</t>
        </is>
      </c>
      <c r="D1594" s="12" t="inlineStr">
        <is>
          <t>Motor 1 of 1, 15 kW</t>
        </is>
      </c>
      <c r="E1594" s="12" t="n">
        <v>480</v>
      </c>
      <c r="F1594" s="12" t="n">
        <v>15</v>
      </c>
      <c r="G1594" s="12" t="n">
        <v>21.2</v>
      </c>
      <c r="H1594" s="12" t="inlineStr">
        <is>
          <t>H2 20: 13.8 kV e-house</t>
        </is>
      </c>
      <c r="I1594" s="12" t="inlineStr">
        <is>
          <t>LV 600 V</t>
        </is>
      </c>
      <c r="J1594" s="12" t="inlineStr">
        <is>
          <t>8</t>
        </is>
      </c>
      <c r="K1594" s="12" t="n">
        <v>1</v>
      </c>
    </row>
    <row r="1595">
      <c r="A1595" s="12" t="inlineStr">
        <is>
          <t>H2 21: rectifier transformer 3 (7 MVA)</t>
        </is>
      </c>
      <c r="B1595" s="12" t="inlineStr"/>
      <c r="C1595" s="12" t="inlineStr">
        <is>
          <t>K</t>
        </is>
      </c>
      <c r="D1595" s="12" t="inlineStr">
        <is>
          <t>Motor 1 of 1, 15 kW</t>
        </is>
      </c>
      <c r="E1595" s="12" t="n">
        <v>480</v>
      </c>
      <c r="F1595" s="12" t="n">
        <v>15</v>
      </c>
      <c r="G1595" s="12" t="n">
        <v>21.2</v>
      </c>
      <c r="H1595" s="12" t="inlineStr">
        <is>
          <t>H2 20: 13.8 kV e-house</t>
        </is>
      </c>
      <c r="I1595" s="12" t="inlineStr">
        <is>
          <t>LV 600 V</t>
        </is>
      </c>
      <c r="J1595" s="12" t="inlineStr">
        <is>
          <t>8</t>
        </is>
      </c>
      <c r="K1595" s="12" t="n">
        <v>1</v>
      </c>
    </row>
    <row r="1596">
      <c r="A1596" s="12" t="inlineStr">
        <is>
          <t>H2 21: rectifier transformer 4 (7 MVA)</t>
        </is>
      </c>
      <c r="B1596" s="12" t="inlineStr"/>
      <c r="C1596" s="12" t="inlineStr">
        <is>
          <t>K</t>
        </is>
      </c>
      <c r="D1596" s="12" t="inlineStr">
        <is>
          <t>Motor 1 of 1, 15 kW</t>
        </is>
      </c>
      <c r="E1596" s="12" t="n">
        <v>480</v>
      </c>
      <c r="F1596" s="12" t="n">
        <v>15</v>
      </c>
      <c r="G1596" s="12" t="n">
        <v>21.2</v>
      </c>
      <c r="H1596" s="12" t="inlineStr">
        <is>
          <t>H2 20: 13.8 kV e-house</t>
        </is>
      </c>
      <c r="I1596" s="12" t="inlineStr">
        <is>
          <t>LV 600 V</t>
        </is>
      </c>
      <c r="J1596" s="12" t="inlineStr">
        <is>
          <t>8</t>
        </is>
      </c>
      <c r="K1596" s="12" t="n">
        <v>1</v>
      </c>
    </row>
    <row r="1597">
      <c r="A1597" s="12" t="inlineStr">
        <is>
          <t>H2 21: rectifier transformer 5 (7 MVA)</t>
        </is>
      </c>
      <c r="B1597" s="12" t="inlineStr"/>
      <c r="C1597" s="12" t="inlineStr">
        <is>
          <t>K</t>
        </is>
      </c>
      <c r="D1597" s="12" t="inlineStr">
        <is>
          <t>Motor 1 of 1, 15 kW</t>
        </is>
      </c>
      <c r="E1597" s="12" t="n">
        <v>480</v>
      </c>
      <c r="F1597" s="12" t="n">
        <v>15</v>
      </c>
      <c r="G1597" s="12" t="n">
        <v>21.2</v>
      </c>
      <c r="H1597" s="12" t="inlineStr">
        <is>
          <t>H2 20: 13.8 kV e-house</t>
        </is>
      </c>
      <c r="I1597" s="12" t="inlineStr">
        <is>
          <t>LV 600 V</t>
        </is>
      </c>
      <c r="J1597" s="12" t="inlineStr">
        <is>
          <t>10</t>
        </is>
      </c>
      <c r="K1597" s="12" t="n">
        <v>1</v>
      </c>
    </row>
    <row r="1598">
      <c r="A1598" s="12" t="inlineStr">
        <is>
          <t>H2 22: electrolyzer building (5 x HyLYZER-1000 + 5 rectifiers)</t>
        </is>
      </c>
      <c r="B1598" s="12" t="inlineStr">
        <is>
          <t>H2-EL</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8</t>
        </is>
      </c>
      <c r="K1598" s="12" t="n">
        <v>1</v>
      </c>
    </row>
    <row r="1599">
      <c r="A1599" s="12" t="inlineStr">
        <is>
          <t>H2 23: dry coolers</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24: water purification (RO / EDI)</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10</t>
        </is>
      </c>
      <c r="K1600" s="12" t="n">
        <v>1</v>
      </c>
    </row>
    <row r="1601">
      <c r="A1601" s="12" t="inlineStr">
        <is>
          <t>H2 25: H2 dryer / purification</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10</t>
        </is>
      </c>
      <c r="K1601" s="12" t="n">
        <v>1</v>
      </c>
    </row>
    <row r="1602">
      <c r="A1602" s="12" t="inlineStr">
        <is>
          <t>H2 26: H2 compressor 1 (40 ft ISO)</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10</t>
        </is>
      </c>
      <c r="K1602" s="12" t="n">
        <v>1</v>
      </c>
    </row>
    <row r="1603">
      <c r="A1603" s="12" t="inlineStr">
        <is>
          <t>H2 26: H2 compressor 2 (40 ft ISO)</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10</t>
        </is>
      </c>
      <c r="K1603" s="12" t="n">
        <v>1</v>
      </c>
    </row>
    <row r="1604">
      <c r="A1604" s="12" t="inlineStr">
        <is>
          <t>H2 27: storage tube bank (~40 ft tubes)</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27: storage tube bank (~40 ft tubes)</t>
        </is>
      </c>
      <c r="B1605" s="12" t="inlineStr"/>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10</t>
        </is>
      </c>
      <c r="K1605" s="12" t="n">
        <v>1</v>
      </c>
    </row>
    <row r="1606">
      <c r="A1606" s="12" t="inlineStr">
        <is>
          <t>H2 27: storage tube bank (~40 ft tubes)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27: storage tube bank (~40 ft tubes)</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28: N2 purge supply</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29: vent stack</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30: H2 / gas blending station (plant gas yard)</t>
        </is>
      </c>
      <c r="B1610" s="12" t="inlineStr"/>
      <c r="C1610" s="12" t="inlineStr">
        <is>
          <t>K</t>
        </is>
      </c>
      <c r="D1610" s="12" t="inlineStr">
        <is>
          <t>Motor 1 of 1, 15 kW</t>
        </is>
      </c>
      <c r="E1610" s="12" t="n">
        <v>480</v>
      </c>
      <c r="F1610" s="12" t="n">
        <v>15</v>
      </c>
      <c r="G1610" s="12" t="n">
        <v>21.2</v>
      </c>
      <c r="H1610" s="12" t="inlineStr">
        <is>
          <t>LNG 17: LNG e-house (13.8 kV / 480 V)</t>
        </is>
      </c>
      <c r="I1610" s="12" t="inlineStr">
        <is>
          <t>LV 600 V</t>
        </is>
      </c>
      <c r="J1610" s="12" t="inlineStr">
        <is>
          <t>4</t>
        </is>
      </c>
      <c r="K1610" s="12" t="n">
        <v>1</v>
      </c>
    </row>
    <row r="1611">
      <c r="A1611" s="12" t="inlineStr">
        <is>
          <t>H2 pipe track and cable trench, hall -&gt; dryer / compressors (N2, instr</t>
        </is>
      </c>
      <c r="B1611" s="12" t="inlineStr"/>
      <c r="C1611" s="12" t="inlineStr">
        <is>
          <t>K</t>
        </is>
      </c>
      <c r="D1611" s="12" t="inlineStr">
        <is>
          <t>Motor 1 of 2, 250 kW</t>
        </is>
      </c>
      <c r="E1611" s="12" t="n">
        <v>480</v>
      </c>
      <c r="F1611" s="12" t="n">
        <v>250</v>
      </c>
      <c r="G1611" s="12" t="n">
        <v>353.8</v>
      </c>
      <c r="H1611" s="12" t="inlineStr">
        <is>
          <t>H2 20: 13.8 kV e-house</t>
        </is>
      </c>
      <c r="I1611" s="12" t="inlineStr">
        <is>
          <t>LV 600 V</t>
        </is>
      </c>
      <c r="J1611" s="12" t="inlineStr">
        <is>
          <t>4/0</t>
        </is>
      </c>
      <c r="K1611" s="12" t="n">
        <v>2</v>
      </c>
    </row>
    <row r="1612">
      <c r="A1612" s="12" t="inlineStr">
        <is>
          <t>H2 pipe track and cable trench, hall -&gt; dryer / compressors (N2, instr</t>
        </is>
      </c>
      <c r="B1612" s="12" t="inlineStr"/>
      <c r="C1612" s="12" t="inlineStr">
        <is>
          <t>K</t>
        </is>
      </c>
      <c r="D1612" s="12" t="inlineStr">
        <is>
          <t>Motor 2 of 2, 250 kW</t>
        </is>
      </c>
      <c r="E1612" s="12" t="n">
        <v>480</v>
      </c>
      <c r="F1612" s="12" t="n">
        <v>250</v>
      </c>
      <c r="G1612" s="12" t="n">
        <v>353.8</v>
      </c>
      <c r="H1612" s="12" t="inlineStr">
        <is>
          <t>H2 20: 13.8 kV e-house</t>
        </is>
      </c>
      <c r="I1612" s="12" t="inlineStr">
        <is>
          <t>LV 600 V</t>
        </is>
      </c>
      <c r="J1612" s="12" t="inlineStr">
        <is>
          <t>4/0</t>
        </is>
      </c>
      <c r="K1612" s="12" t="n">
        <v>2</v>
      </c>
    </row>
    <row r="1613">
      <c r="A1613" s="12" t="inlineStr">
        <is>
          <t>H2 storage tube banks x4</t>
        </is>
      </c>
      <c r="B1613" s="12" t="inlineStr">
        <is>
          <t>H2-ST</t>
        </is>
      </c>
      <c r="C1613" s="12" t="inlineStr">
        <is>
          <t>K</t>
        </is>
      </c>
      <c r="D1613" s="12" t="inlineStr">
        <is>
          <t>LV power feeder</t>
        </is>
      </c>
      <c r="E1613" s="12" t="n">
        <v>480</v>
      </c>
      <c r="F1613" s="12" t="n">
        <v>15</v>
      </c>
      <c r="G1613" s="12" t="n">
        <v>21.2</v>
      </c>
      <c r="H1613" s="12" t="inlineStr">
        <is>
          <t>H2 20: 13.8 kV e-house</t>
        </is>
      </c>
      <c r="I1613" s="12" t="inlineStr">
        <is>
          <t>LV 600 V</t>
        </is>
      </c>
      <c r="J1613" s="12" t="inlineStr">
        <is>
          <t>10</t>
        </is>
      </c>
      <c r="K1613" s="12" t="n">
        <v>1</v>
      </c>
    </row>
    <row r="1614">
      <c r="A1614" s="12" t="inlineStr">
        <is>
          <t>H2R: hydrogen pipeline receiving station (pig receiver, filters, meter</t>
        </is>
      </c>
      <c r="B1614" s="12" t="inlineStr">
        <is>
          <t>H2R</t>
        </is>
      </c>
      <c r="C1614" s="12" t="inlineStr">
        <is>
          <t>K</t>
        </is>
      </c>
      <c r="D1614" s="12" t="inlineStr">
        <is>
          <t>LV power feeder</t>
        </is>
      </c>
      <c r="E1614" s="12" t="n">
        <v>480</v>
      </c>
      <c r="F1614" s="12" t="n">
        <v>15</v>
      </c>
      <c r="G1614" s="12" t="n">
        <v>21.2</v>
      </c>
      <c r="H1614" s="12" t="inlineStr">
        <is>
          <t>H2 20: 13.8 kV e-house</t>
        </is>
      </c>
      <c r="I1614" s="12" t="inlineStr">
        <is>
          <t>LV 600 V</t>
        </is>
      </c>
      <c r="J1614" s="12" t="inlineStr">
        <is>
          <t>10</t>
        </is>
      </c>
      <c r="K1614" s="12" t="n">
        <v>1</v>
      </c>
    </row>
    <row r="1615">
      <c r="A1615" s="12" t="inlineStr">
        <is>
          <t>LNG 10: truck unloading bay 1</t>
        </is>
      </c>
      <c r="B1615" s="12" t="inlineStr"/>
      <c r="C1615" s="12" t="inlineStr">
        <is>
          <t>K</t>
        </is>
      </c>
      <c r="D1615" s="12" t="inlineStr">
        <is>
          <t>Motor 1 of 1, 15 kW</t>
        </is>
      </c>
      <c r="E1615" s="12" t="n">
        <v>480</v>
      </c>
      <c r="F1615" s="12" t="n">
        <v>15</v>
      </c>
      <c r="G1615" s="12" t="n">
        <v>21.2</v>
      </c>
      <c r="H1615" s="12" t="inlineStr">
        <is>
          <t>LNG 17: LNG e-house (13.8 kV / 480 V)</t>
        </is>
      </c>
      <c r="I1615" s="12" t="inlineStr">
        <is>
          <t>LV 600 V</t>
        </is>
      </c>
      <c r="J1615" s="12" t="inlineStr">
        <is>
          <t>8</t>
        </is>
      </c>
      <c r="K1615" s="12" t="n">
        <v>1</v>
      </c>
    </row>
    <row r="1616">
      <c r="A1616" s="12" t="inlineStr">
        <is>
          <t>LNG 10: truck unloading bay 2</t>
        </is>
      </c>
      <c r="B1616" s="12" t="inlineStr"/>
      <c r="C1616" s="12" t="inlineStr">
        <is>
          <t>K</t>
        </is>
      </c>
      <c r="D1616" s="12" t="inlineStr">
        <is>
          <t>Motor 1 of 1, 15 kW</t>
        </is>
      </c>
      <c r="E1616" s="12" t="n">
        <v>480</v>
      </c>
      <c r="F1616" s="12" t="n">
        <v>15</v>
      </c>
      <c r="G1616" s="12" t="n">
        <v>21.2</v>
      </c>
      <c r="H1616" s="12" t="inlineStr">
        <is>
          <t>LNG 17: LNG e-house (13.8 kV / 480 V)</t>
        </is>
      </c>
      <c r="I1616" s="12" t="inlineStr">
        <is>
          <t>LV 600 V</t>
        </is>
      </c>
      <c r="J1616" s="12" t="inlineStr">
        <is>
          <t>10</t>
        </is>
      </c>
      <c r="K1616" s="12" t="n">
        <v>1</v>
      </c>
    </row>
    <row r="1617">
      <c r="A1617" s="12" t="inlineStr">
        <is>
          <t>LNG 10: unloading skid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10</t>
        </is>
      </c>
      <c r="K1617" s="12" t="n">
        <v>1</v>
      </c>
    </row>
    <row r="1618">
      <c r="A1618" s="12" t="inlineStr">
        <is>
          <t>LNG 11: tank 1, Chart HS 50000 (51,780 gal)</t>
        </is>
      </c>
      <c r="B1618" s="12" t="inlineStr">
        <is>
          <t>LNG-T1</t>
        </is>
      </c>
      <c r="C1618" s="12" t="inlineStr">
        <is>
          <t>K</t>
        </is>
      </c>
      <c r="D1618" s="12" t="inlineStr">
        <is>
          <t>LV power feeder</t>
        </is>
      </c>
      <c r="E1618" s="12" t="n">
        <v>480</v>
      </c>
      <c r="F1618" s="12" t="n">
        <v>10</v>
      </c>
      <c r="G1618" s="12" t="n">
        <v>14.2</v>
      </c>
      <c r="H1618" s="12" t="inlineStr">
        <is>
          <t>LNG 17: LNG e-house (13.8 kV / 480 V)</t>
        </is>
      </c>
      <c r="I1618" s="12" t="inlineStr">
        <is>
          <t>LV 600 V</t>
        </is>
      </c>
      <c r="J1618" s="12" t="inlineStr">
        <is>
          <t>10</t>
        </is>
      </c>
      <c r="K1618" s="12" t="n">
        <v>1</v>
      </c>
    </row>
    <row r="1619">
      <c r="A1619" s="12" t="inlineStr">
        <is>
          <t>LNG 11: tank 2, Chart HS 50000 (51,780 gal)</t>
        </is>
      </c>
      <c r="B1619" s="12" t="inlineStr">
        <is>
          <t>LNG-T2</t>
        </is>
      </c>
      <c r="C1619" s="12" t="inlineStr">
        <is>
          <t>K</t>
        </is>
      </c>
      <c r="D1619" s="12" t="inlineStr">
        <is>
          <t>LV power feeder</t>
        </is>
      </c>
      <c r="E1619" s="12" t="n">
        <v>480</v>
      </c>
      <c r="F1619" s="12" t="n">
        <v>10</v>
      </c>
      <c r="G1619" s="12" t="n">
        <v>14.2</v>
      </c>
      <c r="H1619" s="12" t="inlineStr">
        <is>
          <t>LNG 17: LNG e-house (13.8 kV / 480 V)</t>
        </is>
      </c>
      <c r="I1619" s="12" t="inlineStr">
        <is>
          <t>LV 600 V</t>
        </is>
      </c>
      <c r="J1619" s="12" t="inlineStr">
        <is>
          <t>10</t>
        </is>
      </c>
      <c r="K1619" s="12" t="n">
        <v>1</v>
      </c>
    </row>
    <row r="1620">
      <c r="A1620" s="12" t="inlineStr">
        <is>
          <t>LNG 11: tank 3, Chart HS 50000 (51,780 gal)</t>
        </is>
      </c>
      <c r="B1620" s="12" t="inlineStr">
        <is>
          <t>LNG-T3</t>
        </is>
      </c>
      <c r="C1620" s="12" t="inlineStr">
        <is>
          <t>K</t>
        </is>
      </c>
      <c r="D1620" s="12" t="inlineStr">
        <is>
          <t>LV power feeder</t>
        </is>
      </c>
      <c r="E1620" s="12" t="n">
        <v>480</v>
      </c>
      <c r="F1620" s="12" t="n">
        <v>10</v>
      </c>
      <c r="G1620" s="12" t="n">
        <v>14.2</v>
      </c>
      <c r="H1620" s="12" t="inlineStr">
        <is>
          <t>LNG 17: LNG e-house (13.8 kV / 480 V)</t>
        </is>
      </c>
      <c r="I1620" s="12" t="inlineStr">
        <is>
          <t>LV 600 V</t>
        </is>
      </c>
      <c r="J1620" s="12" t="inlineStr">
        <is>
          <t>10</t>
        </is>
      </c>
      <c r="K1620" s="12" t="n">
        <v>1</v>
      </c>
    </row>
    <row r="1621">
      <c r="A1621" s="12" t="inlineStr">
        <is>
          <t>LNG 11: tank 4, Chart HS 50000 (51,780 gal)</t>
        </is>
      </c>
      <c r="B1621" s="12" t="inlineStr">
        <is>
          <t>LNG-T4</t>
        </is>
      </c>
      <c r="C1621" s="12" t="inlineStr">
        <is>
          <t>K</t>
        </is>
      </c>
      <c r="D1621" s="12" t="inlineStr">
        <is>
          <t>LV power feeder</t>
        </is>
      </c>
      <c r="E1621" s="12" t="n">
        <v>480</v>
      </c>
      <c r="F1621" s="12" t="n">
        <v>10</v>
      </c>
      <c r="G1621" s="12" t="n">
        <v>14.2</v>
      </c>
      <c r="H1621" s="12" t="inlineStr">
        <is>
          <t>LNG 17: LNG e-house (13.8 kV / 480 V)</t>
        </is>
      </c>
      <c r="I1621" s="12" t="inlineStr">
        <is>
          <t>LV 600 V</t>
        </is>
      </c>
      <c r="J1621" s="12" t="inlineStr">
        <is>
          <t>10</t>
        </is>
      </c>
      <c r="K1621" s="12" t="n">
        <v>1</v>
      </c>
    </row>
    <row r="1622">
      <c r="A1622" s="12" t="inlineStr">
        <is>
          <t>LNG 11: tank 5, Chart HS 50000 (51,780 gal)</t>
        </is>
      </c>
      <c r="B1622" s="12" t="inlineStr">
        <is>
          <t>LNG-T5</t>
        </is>
      </c>
      <c r="C1622" s="12" t="inlineStr">
        <is>
          <t>K</t>
        </is>
      </c>
      <c r="D1622" s="12" t="inlineStr">
        <is>
          <t>LV power feeder</t>
        </is>
      </c>
      <c r="E1622" s="12" t="n">
        <v>480</v>
      </c>
      <c r="F1622" s="12" t="n">
        <v>10</v>
      </c>
      <c r="G1622" s="12" t="n">
        <v>14.2</v>
      </c>
      <c r="H1622" s="12" t="inlineStr">
        <is>
          <t>LNG 17: LNG e-house (13.8 kV / 480 V)</t>
        </is>
      </c>
      <c r="I1622" s="12" t="inlineStr">
        <is>
          <t>LV 600 V</t>
        </is>
      </c>
      <c r="J1622" s="12" t="inlineStr">
        <is>
          <t>10</t>
        </is>
      </c>
      <c r="K1622" s="12" t="n">
        <v>1</v>
      </c>
    </row>
    <row r="1623">
      <c r="A1623" s="12" t="inlineStr">
        <is>
          <t>LNG 11: tank 6, Chart HS 50000 (51,780 gal)</t>
        </is>
      </c>
      <c r="B1623" s="12" t="inlineStr">
        <is>
          <t>LNG-T6</t>
        </is>
      </c>
      <c r="C1623" s="12" t="inlineStr">
        <is>
          <t>K</t>
        </is>
      </c>
      <c r="D1623" s="12" t="inlineStr">
        <is>
          <t>LV power feeder</t>
        </is>
      </c>
      <c r="E1623" s="12" t="n">
        <v>480</v>
      </c>
      <c r="F1623" s="12" t="n">
        <v>10</v>
      </c>
      <c r="G1623" s="12" t="n">
        <v>14.2</v>
      </c>
      <c r="H1623" s="12" t="inlineStr">
        <is>
          <t>LNG 17: LNG e-house (13.8 kV / 480 V)</t>
        </is>
      </c>
      <c r="I1623" s="12" t="inlineStr">
        <is>
          <t>LV 600 V</t>
        </is>
      </c>
      <c r="J1623" s="12" t="inlineStr">
        <is>
          <t>10</t>
        </is>
      </c>
      <c r="K1623" s="12" t="n">
        <v>1</v>
      </c>
    </row>
    <row r="1624">
      <c r="A1624" s="12" t="inlineStr">
        <is>
          <t>LNG 11: tank 7, Chart HS 50000 (51,780 gal)</t>
        </is>
      </c>
      <c r="B1624" s="12" t="inlineStr">
        <is>
          <t>LNG-T7</t>
        </is>
      </c>
      <c r="C1624" s="12" t="inlineStr">
        <is>
          <t>K</t>
        </is>
      </c>
      <c r="D1624" s="12" t="inlineStr">
        <is>
          <t>LV power feeder</t>
        </is>
      </c>
      <c r="E1624" s="12" t="n">
        <v>480</v>
      </c>
      <c r="F1624" s="12" t="n">
        <v>10</v>
      </c>
      <c r="G1624" s="12" t="n">
        <v>14.2</v>
      </c>
      <c r="H1624" s="12" t="inlineStr">
        <is>
          <t>LNG 17: LNG e-house (13.8 kV / 480 V)</t>
        </is>
      </c>
      <c r="I1624" s="12" t="inlineStr">
        <is>
          <t>LV 600 V</t>
        </is>
      </c>
      <c r="J1624" s="12" t="inlineStr">
        <is>
          <t>10</t>
        </is>
      </c>
      <c r="K1624" s="12" t="n">
        <v>1</v>
      </c>
    </row>
    <row r="1625">
      <c r="A1625" s="12" t="inlineStr">
        <is>
          <t>LNG 11: tank 8, Chart HS 50000 (51,780 gal)</t>
        </is>
      </c>
      <c r="B1625" s="12" t="inlineStr">
        <is>
          <t>LNG-T8</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12: spill impoundment (NFPA 59A, to verify)</t>
        </is>
      </c>
      <c r="B1626" s="12" t="inlineStr"/>
      <c r="C1626" s="12" t="inlineStr">
        <is>
          <t>K</t>
        </is>
      </c>
      <c r="D1626" s="12" t="inlineStr">
        <is>
          <t>Motor 1 of 1, 15 kW</t>
        </is>
      </c>
      <c r="E1626" s="12" t="n">
        <v>480</v>
      </c>
      <c r="F1626" s="12" t="n">
        <v>15</v>
      </c>
      <c r="G1626" s="12" t="n">
        <v>21.2</v>
      </c>
      <c r="H1626" s="12" t="inlineStr">
        <is>
          <t>LNG 17: LNG e-house (13.8 kV / 480 V)</t>
        </is>
      </c>
      <c r="I1626" s="12" t="inlineStr">
        <is>
          <t>LV 600 V</t>
        </is>
      </c>
      <c r="J1626" s="12" t="inlineStr">
        <is>
          <t>10</t>
        </is>
      </c>
      <c r="K1626" s="12" t="n">
        <v>1</v>
      </c>
    </row>
    <row r="1627">
      <c r="A1627" s="12" t="inlineStr">
        <is>
          <t>LNG 13: send-out pumps 2 x 100%</t>
        </is>
      </c>
      <c r="B1627" s="12" t="inlineStr"/>
      <c r="C1627" s="12" t="inlineStr">
        <is>
          <t>K</t>
        </is>
      </c>
      <c r="D1627" s="12" t="inlineStr">
        <is>
          <t>Motor 1 of 1, 15 kW</t>
        </is>
      </c>
      <c r="E1627" s="12" t="n">
        <v>480</v>
      </c>
      <c r="F1627" s="12" t="n">
        <v>15</v>
      </c>
      <c r="G1627" s="12" t="n">
        <v>21.2</v>
      </c>
      <c r="H1627" s="12" t="inlineStr">
        <is>
          <t>LNG 17: LNG e-house (13.8 kV / 480 V)</t>
        </is>
      </c>
      <c r="I1627" s="12" t="inlineStr">
        <is>
          <t>LV 600 V</t>
        </is>
      </c>
      <c r="J1627" s="12" t="inlineStr">
        <is>
          <t>10</t>
        </is>
      </c>
      <c r="K1627" s="12" t="n">
        <v>1</v>
      </c>
    </row>
    <row r="1628">
      <c r="A1628" s="12" t="inlineStr">
        <is>
          <t>LNG 14: vaporizers + glycol heater</t>
        </is>
      </c>
      <c r="B1628" s="12" t="inlineStr"/>
      <c r="C1628" s="12" t="inlineStr">
        <is>
          <t>K</t>
        </is>
      </c>
      <c r="D1628" s="12" t="inlineStr">
        <is>
          <t>Motor 1 of 1, 15 kW</t>
        </is>
      </c>
      <c r="E1628" s="12" t="n">
        <v>480</v>
      </c>
      <c r="F1628" s="12" t="n">
        <v>15</v>
      </c>
      <c r="G1628" s="12" t="n">
        <v>21.2</v>
      </c>
      <c r="H1628" s="12" t="inlineStr">
        <is>
          <t>LNG 17: LNG e-house (13.8 kV / 480 V)</t>
        </is>
      </c>
      <c r="I1628" s="12" t="inlineStr">
        <is>
          <t>LV 600 V</t>
        </is>
      </c>
      <c r="J1628" s="12" t="inlineStr">
        <is>
          <t>10</t>
        </is>
      </c>
      <c r="K1628" s="12" t="n">
        <v>1</v>
      </c>
    </row>
    <row r="1629">
      <c r="A1629" s="12" t="inlineStr">
        <is>
          <t>LNG 15: boil-off gas compressor</t>
        </is>
      </c>
      <c r="B1629" s="12" t="inlineStr"/>
      <c r="C1629" s="12" t="inlineStr">
        <is>
          <t>K</t>
        </is>
      </c>
      <c r="D1629" s="12" t="inlineStr">
        <is>
          <t>Motor 1 of 1, 15 kW</t>
        </is>
      </c>
      <c r="E1629" s="12" t="n">
        <v>480</v>
      </c>
      <c r="F1629" s="12" t="n">
        <v>15</v>
      </c>
      <c r="G1629" s="12" t="n">
        <v>21.2</v>
      </c>
      <c r="H1629" s="12" t="inlineStr">
        <is>
          <t>LNG 17: LNG e-house (13.8 kV / 480 V)</t>
        </is>
      </c>
      <c r="I1629" s="12" t="inlineStr">
        <is>
          <t>LV 600 V</t>
        </is>
      </c>
      <c r="J1629" s="12" t="inlineStr">
        <is>
          <t>10</t>
        </is>
      </c>
      <c r="K1629" s="12" t="n">
        <v>1</v>
      </c>
    </row>
    <row r="1630">
      <c r="A1630" s="12" t="inlineStr">
        <is>
          <t>LNG 16: send-out metering + pressure control</t>
        </is>
      </c>
      <c r="B1630" s="12" t="inlineStr"/>
      <c r="C1630" s="12" t="inlineStr">
        <is>
          <t>K</t>
        </is>
      </c>
      <c r="D1630" s="12" t="inlineStr">
        <is>
          <t>Motor 1 of 1, 15 kW</t>
        </is>
      </c>
      <c r="E1630" s="12" t="n">
        <v>480</v>
      </c>
      <c r="F1630" s="12" t="n">
        <v>15</v>
      </c>
      <c r="G1630" s="12" t="n">
        <v>21.2</v>
      </c>
      <c r="H1630" s="12" t="inlineStr">
        <is>
          <t>LNG 17: LNG e-house (13.8 kV / 480 V)</t>
        </is>
      </c>
      <c r="I1630" s="12" t="inlineStr">
        <is>
          <t>LV 600 V</t>
        </is>
      </c>
      <c r="J1630" s="12" t="inlineStr">
        <is>
          <t>10</t>
        </is>
      </c>
      <c r="K1630" s="12" t="n">
        <v>1</v>
      </c>
    </row>
    <row r="1631">
      <c r="A1631" s="12" t="inlineStr">
        <is>
          <t>LNG 17: LNG e-house (13.8 kV / 480 V)</t>
        </is>
      </c>
      <c r="B1631" s="12" t="inlineStr"/>
      <c r="C1631" s="12" t="inlineStr">
        <is>
          <t>K</t>
        </is>
      </c>
      <c r="D1631" s="12" t="inlineStr">
        <is>
          <t>Motor 1 of 1, 15 kW</t>
        </is>
      </c>
      <c r="E1631" s="12" t="n">
        <v>480</v>
      </c>
      <c r="F1631" s="12" t="n">
        <v>15</v>
      </c>
      <c r="G1631" s="12" t="n">
        <v>21.2</v>
      </c>
      <c r="H1631" s="12" t="inlineStr">
        <is>
          <t>LNG 17: LNG e-house (13.8 kV / 480 V)</t>
        </is>
      </c>
      <c r="I1631" s="12" t="inlineStr">
        <is>
          <t>LV 600 V</t>
        </is>
      </c>
      <c r="J1631" s="12" t="inlineStr">
        <is>
          <t>10</t>
        </is>
      </c>
      <c r="K1631" s="12" t="n">
        <v>1</v>
      </c>
    </row>
    <row r="1632">
      <c r="A1632" s="12" t="inlineStr">
        <is>
          <t>LNG 18: vent stack</t>
        </is>
      </c>
      <c r="B1632" s="12" t="inlineStr"/>
      <c r="C1632" s="12" t="inlineStr">
        <is>
          <t>K</t>
        </is>
      </c>
      <c r="D1632" s="12" t="inlineStr">
        <is>
          <t>Motor 1 of 1, 15 kW</t>
        </is>
      </c>
      <c r="E1632" s="12" t="n">
        <v>480</v>
      </c>
      <c r="F1632" s="12" t="n">
        <v>15</v>
      </c>
      <c r="G1632" s="12" t="n">
        <v>21.2</v>
      </c>
      <c r="H1632" s="12" t="inlineStr">
        <is>
          <t>LNG 17: LNG e-house (13.8 kV / 480 V)</t>
        </is>
      </c>
      <c r="I1632" s="12" t="inlineStr">
        <is>
          <t>LV 600 V</t>
        </is>
      </c>
      <c r="J1632" s="12" t="inlineStr">
        <is>
          <t>10</t>
        </is>
      </c>
      <c r="K1632" s="12" t="n">
        <v>1</v>
      </c>
    </row>
    <row r="1633">
      <c r="A1633" s="12" t="inlineStr">
        <is>
          <t>LNG impoundment sump pump</t>
        </is>
      </c>
      <c r="B1633" s="12" t="inlineStr"/>
      <c r="C1633" s="12" t="inlineStr">
        <is>
          <t>K</t>
        </is>
      </c>
      <c r="D1633" s="12" t="inlineStr">
        <is>
          <t>LV power feeder</t>
        </is>
      </c>
      <c r="E1633" s="12" t="n">
        <v>480</v>
      </c>
      <c r="F1633" s="12" t="n">
        <v>15</v>
      </c>
      <c r="G1633" s="12" t="n">
        <v>21.2</v>
      </c>
      <c r="H1633" s="12" t="inlineStr">
        <is>
          <t>LNG 17: LNG e-house (13.8 kV / 480 V)</t>
        </is>
      </c>
      <c r="I1633" s="12" t="inlineStr">
        <is>
          <t>LV 600 V</t>
        </is>
      </c>
      <c r="J1633" s="12" t="inlineStr">
        <is>
          <t>8</t>
        </is>
      </c>
      <c r="K1633" s="12" t="n">
        <v>1</v>
      </c>
    </row>
    <row r="1634">
      <c r="A1634" s="12" t="inlineStr">
        <is>
          <t>M&amp;R 2: insulating joint + ESD valve</t>
        </is>
      </c>
      <c r="B1634" s="12" t="inlineStr"/>
      <c r="C1634" s="12" t="inlineStr">
        <is>
          <t>K</t>
        </is>
      </c>
      <c r="D1634" s="12" t="inlineStr">
        <is>
          <t>LV power feeder</t>
        </is>
      </c>
      <c r="E1634" s="12" t="n">
        <v>480</v>
      </c>
      <c r="F1634" s="12" t="n">
        <v>10</v>
      </c>
      <c r="G1634" s="12" t="n">
        <v>14.2</v>
      </c>
      <c r="H1634" s="12" t="inlineStr">
        <is>
          <t>LNG 17: LNG e-house (13.8 kV / 480 V)</t>
        </is>
      </c>
      <c r="I1634" s="12" t="inlineStr">
        <is>
          <t>LV 600 V</t>
        </is>
      </c>
      <c r="J1634" s="12" t="inlineStr">
        <is>
          <t>6</t>
        </is>
      </c>
      <c r="K1634" s="12" t="n">
        <v>1</v>
      </c>
    </row>
    <row r="1635">
      <c r="A1635" s="12" t="inlineStr">
        <is>
          <t>M&amp;R 3: horizontal filter-separator</t>
        </is>
      </c>
      <c r="B1635" s="12" t="inlineStr"/>
      <c r="C1635" s="12" t="inlineStr">
        <is>
          <t>K</t>
        </is>
      </c>
      <c r="D1635" s="12" t="inlineStr">
        <is>
          <t>LV power feeder</t>
        </is>
      </c>
      <c r="E1635" s="12" t="n">
        <v>480</v>
      </c>
      <c r="F1635" s="12" t="n">
        <v>15</v>
      </c>
      <c r="G1635" s="12" t="n">
        <v>21.2</v>
      </c>
      <c r="H1635" s="12" t="inlineStr">
        <is>
          <t>LNG 17: LNG e-house (13.8 kV / 480 V)</t>
        </is>
      </c>
      <c r="I1635" s="12" t="inlineStr">
        <is>
          <t>LV 600 V</t>
        </is>
      </c>
      <c r="J1635" s="12" t="inlineStr">
        <is>
          <t>4</t>
        </is>
      </c>
      <c r="K1635" s="12" t="n">
        <v>1</v>
      </c>
    </row>
    <row r="1636">
      <c r="A1636" s="12" t="inlineStr">
        <is>
          <t>M&amp;R 4: line heater 1 (water bath)</t>
        </is>
      </c>
      <c r="B1636" s="12" t="inlineStr"/>
      <c r="C1636" s="12" t="inlineStr">
        <is>
          <t>K</t>
        </is>
      </c>
      <c r="D1636" s="12" t="inlineStr">
        <is>
          <t>LV power feeder</t>
        </is>
      </c>
      <c r="E1636" s="12" t="n">
        <v>480</v>
      </c>
      <c r="F1636" s="12" t="n">
        <v>15</v>
      </c>
      <c r="G1636" s="12" t="n">
        <v>21.2</v>
      </c>
      <c r="H1636" s="12" t="inlineStr">
        <is>
          <t>LNG 17: LNG e-house (13.8 kV / 480 V)</t>
        </is>
      </c>
      <c r="I1636" s="12" t="inlineStr">
        <is>
          <t>LV 600 V</t>
        </is>
      </c>
      <c r="J1636" s="12" t="inlineStr">
        <is>
          <t>6</t>
        </is>
      </c>
      <c r="K1636" s="12" t="n">
        <v>1</v>
      </c>
    </row>
    <row r="1637">
      <c r="A1637" s="12" t="inlineStr">
        <is>
          <t>M&amp;R 4: line heater 2 (water bath)</t>
        </is>
      </c>
      <c r="B1637" s="12" t="inlineStr"/>
      <c r="C1637" s="12" t="inlineStr">
        <is>
          <t>K</t>
        </is>
      </c>
      <c r="D1637" s="12" t="inlineStr">
        <is>
          <t>LV power feeder</t>
        </is>
      </c>
      <c r="E1637" s="12" t="n">
        <v>480</v>
      </c>
      <c r="F1637" s="12" t="n">
        <v>15</v>
      </c>
      <c r="G1637" s="12" t="n">
        <v>21.2</v>
      </c>
      <c r="H1637" s="12" t="inlineStr">
        <is>
          <t>LNG 17: LNG e-house (13.8 kV / 480 V)</t>
        </is>
      </c>
      <c r="I1637" s="12" t="inlineStr">
        <is>
          <t>LV 600 V</t>
        </is>
      </c>
      <c r="J1637" s="12" t="inlineStr">
        <is>
          <t>6</t>
        </is>
      </c>
      <c r="K1637" s="12" t="n">
        <v>1</v>
      </c>
    </row>
    <row r="1638">
      <c r="A1638" s="12" t="inlineStr">
        <is>
          <t>M&amp;R 4: line heater 3 (water bath)</t>
        </is>
      </c>
      <c r="B1638" s="12" t="inlineStr"/>
      <c r="C1638" s="12" t="inlineStr">
        <is>
          <t>K</t>
        </is>
      </c>
      <c r="D1638" s="12" t="inlineStr">
        <is>
          <t>LV power feeder</t>
        </is>
      </c>
      <c r="E1638" s="12" t="n">
        <v>480</v>
      </c>
      <c r="F1638" s="12" t="n">
        <v>15</v>
      </c>
      <c r="G1638" s="12" t="n">
        <v>21.2</v>
      </c>
      <c r="H1638" s="12" t="inlineStr">
        <is>
          <t>LNG 17: LNG e-house (13.8 kV / 480 V)</t>
        </is>
      </c>
      <c r="I1638" s="12" t="inlineStr">
        <is>
          <t>LV 600 V</t>
        </is>
      </c>
      <c r="J1638" s="12" t="inlineStr">
        <is>
          <t>6</t>
        </is>
      </c>
      <c r="K1638" s="12" t="n">
        <v>1</v>
      </c>
    </row>
    <row r="1639">
      <c r="A1639" s="12" t="inlineStr">
        <is>
          <t>M&amp;R 6: regulation / flow control building</t>
        </is>
      </c>
      <c r="B1639" s="12" t="inlineStr"/>
      <c r="C1639" s="12" t="inlineStr">
        <is>
          <t>K</t>
        </is>
      </c>
      <c r="D1639" s="12" t="inlineStr">
        <is>
          <t>LV panel / distribution feeder</t>
        </is>
      </c>
      <c r="E1639" s="12" t="n">
        <v>480</v>
      </c>
      <c r="F1639" s="12" t="n">
        <v>10</v>
      </c>
      <c r="G1639" s="12" t="n">
        <v>14.2</v>
      </c>
      <c r="H1639" s="12" t="inlineStr">
        <is>
          <t>LNG 17: LNG e-house (13.8 kV / 480 V)</t>
        </is>
      </c>
      <c r="I1639" s="12" t="inlineStr">
        <is>
          <t>LV 600 V</t>
        </is>
      </c>
      <c r="J1639" s="12" t="inlineStr">
        <is>
          <t>8</t>
        </is>
      </c>
      <c r="K1639" s="12" t="n">
        <v>1</v>
      </c>
    </row>
    <row r="1640">
      <c r="A1640" s="12" t="inlineStr">
        <is>
          <t>M&amp;R 7: gas quality + measurement building</t>
        </is>
      </c>
      <c r="B1640" s="12" t="inlineStr"/>
      <c r="C1640" s="12" t="inlineStr">
        <is>
          <t>K</t>
        </is>
      </c>
      <c r="D1640" s="12" t="inlineStr">
        <is>
          <t>LV panel / distribution feeder</t>
        </is>
      </c>
      <c r="E1640" s="12" t="n">
        <v>480</v>
      </c>
      <c r="F1640" s="12" t="n">
        <v>30</v>
      </c>
      <c r="G1640" s="12" t="n">
        <v>42.5</v>
      </c>
      <c r="H1640" s="12" t="inlineStr">
        <is>
          <t>LNG 17: LNG e-house (13.8 kV / 480 V)</t>
        </is>
      </c>
      <c r="I1640" s="12" t="inlineStr">
        <is>
          <t>LV 600 V</t>
        </is>
      </c>
      <c r="J1640" s="12" t="inlineStr">
        <is>
          <t>2</t>
        </is>
      </c>
      <c r="K1640" s="12" t="n">
        <v>1</v>
      </c>
    </row>
    <row r="1641">
      <c r="A1641" s="12" t="inlineStr">
        <is>
          <t>M&amp;R 8: condensate tank</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8</t>
        </is>
      </c>
      <c r="K1641" s="12" t="n">
        <v>1</v>
      </c>
    </row>
    <row r="1642">
      <c r="A1642" s="12" t="inlineStr">
        <is>
          <t>M&amp;R 9: service panel + UPS, SCADA RTU, CP</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6</t>
        </is>
      </c>
      <c r="K1642" s="12" t="n">
        <v>1</v>
      </c>
    </row>
    <row r="1643">
      <c r="A1643" s="12" t="inlineStr">
        <is>
          <t>M&amp;R CP test station (as drawn)</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SCADA antenna mast base (as drawn)</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8</t>
        </is>
      </c>
      <c r="K1644" s="12" t="n">
        <v>1</v>
      </c>
    </row>
    <row r="1645">
      <c r="A1645" s="12" t="inlineStr">
        <is>
          <t>H2 20: 13.8 kV e-house</t>
        </is>
      </c>
      <c r="B1645" s="12" t="inlineStr"/>
      <c r="C1645" s="12" t="inlineStr">
        <is>
          <t>K</t>
        </is>
      </c>
      <c r="D1645" s="12" t="inlineStr">
        <is>
          <t>H2 13.8 kV e-house (electrolyzers)</t>
        </is>
      </c>
      <c r="E1645" s="12" t="n">
        <v>13800</v>
      </c>
      <c r="F1645" s="12" t="n">
        <v>20000</v>
      </c>
      <c r="G1645" s="12" t="n">
        <v>837</v>
      </c>
      <c r="H1645" s="12" t="inlineStr">
        <is>
          <t>R1 SWGR-13.8-3 (11 x 36 in cubicles, 15 kV metal-clad)</t>
        </is>
      </c>
      <c r="I1645" s="12" t="inlineStr">
        <is>
          <t>MV 15 kV</t>
        </is>
      </c>
      <c r="J1645" s="12" t="inlineStr">
        <is>
          <t>750 kcmil</t>
        </is>
      </c>
      <c r="K1645" s="12" t="n">
        <v>2</v>
      </c>
    </row>
    <row r="1646">
      <c r="A1646" s="12" t="inlineStr">
        <is>
          <t>LNG 17: LNG e-house (13.8 kV / 480 V)</t>
        </is>
      </c>
      <c r="B1646" s="12" t="inlineStr"/>
      <c r="C1646" s="12" t="inlineStr">
        <is>
          <t>K</t>
        </is>
      </c>
      <c r="D1646" s="12" t="inlineStr">
        <is>
          <t>LNG e-house</t>
        </is>
      </c>
      <c r="E1646" s="12" t="n">
        <v>13800</v>
      </c>
      <c r="F1646" s="12" t="n">
        <v>5000</v>
      </c>
      <c r="G1646" s="12" t="n">
        <v>209</v>
      </c>
      <c r="H1646" s="12" t="inlineStr">
        <is>
          <t>R1 SWGR-13.8-3 (11 x 36 in cubicles, 15 kV metal-clad)</t>
        </is>
      </c>
      <c r="I1646" s="12" t="inlineStr">
        <is>
          <t>MV 15 kV</t>
        </is>
      </c>
      <c r="J1646" s="12" t="inlineStr">
        <is>
          <t>4/0</t>
        </is>
      </c>
      <c r="K1646" s="12" t="n">
        <v>1</v>
      </c>
    </row>
    <row r="1647">
      <c r="A1647" s="12" t="inlineStr">
        <is>
          <t xml:space="preserve">CO2 compression 3 x ~19 MW + dehydration: rooftop HVAC, exhaust fans, </t>
        </is>
      </c>
      <c r="B1647" s="12" t="inlineStr"/>
      <c r="C1647" s="12" t="inlineStr"/>
      <c r="D1647" s="12" t="inlineStr">
        <is>
          <t>Motor 1 of 10, 30 kW</t>
        </is>
      </c>
      <c r="E1647" s="12" t="n">
        <v>480</v>
      </c>
      <c r="F1647" s="12" t="n">
        <v>30</v>
      </c>
      <c r="G1647" s="12" t="n">
        <v>42.5</v>
      </c>
      <c r="H1647" s="12" t="inlineStr">
        <is>
          <t>R1 MCC-C1</t>
        </is>
      </c>
      <c r="I1647" s="12" t="inlineStr">
        <is>
          <t>LV 600 V</t>
        </is>
      </c>
      <c r="J1647" s="12" t="inlineStr">
        <is>
          <t>3/0</t>
        </is>
      </c>
      <c r="K1647" s="12" t="n">
        <v>1</v>
      </c>
    </row>
    <row r="1648">
      <c r="A1648" s="12" t="inlineStr">
        <is>
          <t xml:space="preserve">CO2 compression 3 x ~19 MW + dehydration: rooftop HVAC, exhaust fans, </t>
        </is>
      </c>
      <c r="B1648" s="12" t="inlineStr"/>
      <c r="C1648" s="12" t="inlineStr"/>
      <c r="D1648" s="12" t="inlineStr">
        <is>
          <t>Motor 2 of 10, 30 kW</t>
        </is>
      </c>
      <c r="E1648" s="12" t="n">
        <v>480</v>
      </c>
      <c r="F1648" s="12" t="n">
        <v>30</v>
      </c>
      <c r="G1648" s="12" t="n">
        <v>42.5</v>
      </c>
      <c r="H1648" s="12" t="inlineStr">
        <is>
          <t>R1 MCC-C1</t>
        </is>
      </c>
      <c r="I1648" s="12" t="inlineStr">
        <is>
          <t>LV 600 V</t>
        </is>
      </c>
      <c r="J1648" s="12" t="inlineStr">
        <is>
          <t>3/0</t>
        </is>
      </c>
      <c r="K1648" s="12" t="n">
        <v>1</v>
      </c>
    </row>
    <row r="1649">
      <c r="A1649" s="12" t="inlineStr">
        <is>
          <t xml:space="preserve">CO2 compression 3 x ~19 MW + dehydration: rooftop HVAC, exhaust fans, </t>
        </is>
      </c>
      <c r="B1649" s="12" t="inlineStr"/>
      <c r="C1649" s="12" t="inlineStr"/>
      <c r="D1649" s="12" t="inlineStr">
        <is>
          <t>Motor 3 of 10, 30 kW</t>
        </is>
      </c>
      <c r="E1649" s="12" t="n">
        <v>480</v>
      </c>
      <c r="F1649" s="12" t="n">
        <v>30</v>
      </c>
      <c r="G1649" s="12" t="n">
        <v>42.5</v>
      </c>
      <c r="H1649" s="12" t="inlineStr">
        <is>
          <t>R1 MCC-C1</t>
        </is>
      </c>
      <c r="I1649" s="12" t="inlineStr">
        <is>
          <t>LV 600 V</t>
        </is>
      </c>
      <c r="J1649" s="12" t="inlineStr">
        <is>
          <t>3/0</t>
        </is>
      </c>
      <c r="K1649" s="12" t="n">
        <v>1</v>
      </c>
    </row>
    <row r="1650">
      <c r="A1650" s="12" t="inlineStr">
        <is>
          <t xml:space="preserve">CO2 compression 3 x ~19 MW + dehydration: rooftop HVAC, exhaust fans, </t>
        </is>
      </c>
      <c r="B1650" s="12" t="inlineStr"/>
      <c r="C1650" s="12" t="inlineStr"/>
      <c r="D1650" s="12" t="inlineStr">
        <is>
          <t>Motor 4 of 10, 30 kW</t>
        </is>
      </c>
      <c r="E1650" s="12" t="n">
        <v>480</v>
      </c>
      <c r="F1650" s="12" t="n">
        <v>30</v>
      </c>
      <c r="G1650" s="12" t="n">
        <v>42.5</v>
      </c>
      <c r="H1650" s="12" t="inlineStr">
        <is>
          <t>R1 MCC-C1</t>
        </is>
      </c>
      <c r="I1650" s="12" t="inlineStr">
        <is>
          <t>LV 600 V</t>
        </is>
      </c>
      <c r="J1650" s="12" t="inlineStr">
        <is>
          <t>3/0</t>
        </is>
      </c>
      <c r="K1650" s="12" t="n">
        <v>1</v>
      </c>
    </row>
    <row r="1651">
      <c r="A1651" s="12" t="inlineStr">
        <is>
          <t xml:space="preserve">CO2 compression 3 x ~19 MW + dehydration: rooftop HVAC, exhaust fans, </t>
        </is>
      </c>
      <c r="B1651" s="12" t="inlineStr"/>
      <c r="C1651" s="12" t="inlineStr"/>
      <c r="D1651" s="12" t="inlineStr">
        <is>
          <t>Motor 5 of 10, 30 kW</t>
        </is>
      </c>
      <c r="E1651" s="12" t="n">
        <v>480</v>
      </c>
      <c r="F1651" s="12" t="n">
        <v>30</v>
      </c>
      <c r="G1651" s="12" t="n">
        <v>42.5</v>
      </c>
      <c r="H1651" s="12" t="inlineStr">
        <is>
          <t>R1 MCC-C1</t>
        </is>
      </c>
      <c r="I1651" s="12" t="inlineStr">
        <is>
          <t>LV 600 V</t>
        </is>
      </c>
      <c r="J1651" s="12" t="inlineStr">
        <is>
          <t>3/0</t>
        </is>
      </c>
      <c r="K1651" s="12" t="n">
        <v>1</v>
      </c>
    </row>
    <row r="1652">
      <c r="A1652" s="12" t="inlineStr">
        <is>
          <t xml:space="preserve">CO2 compression 3 x ~19 MW + dehydration: rooftop HVAC, exhaust fans, </t>
        </is>
      </c>
      <c r="B1652" s="12" t="inlineStr"/>
      <c r="C1652" s="12" t="inlineStr"/>
      <c r="D1652" s="12" t="inlineStr">
        <is>
          <t>Motor 6 of 10, 30 kW</t>
        </is>
      </c>
      <c r="E1652" s="12" t="n">
        <v>480</v>
      </c>
      <c r="F1652" s="12" t="n">
        <v>30</v>
      </c>
      <c r="G1652" s="12" t="n">
        <v>42.5</v>
      </c>
      <c r="H1652" s="12" t="inlineStr">
        <is>
          <t>R1 MCC-C1</t>
        </is>
      </c>
      <c r="I1652" s="12" t="inlineStr">
        <is>
          <t>LV 600 V</t>
        </is>
      </c>
      <c r="J1652" s="12" t="inlineStr">
        <is>
          <t>3/0</t>
        </is>
      </c>
      <c r="K1652" s="12" t="n">
        <v>1</v>
      </c>
    </row>
    <row r="1653">
      <c r="A1653" s="12" t="inlineStr">
        <is>
          <t xml:space="preserve">CO2 compression 3 x ~19 MW + dehydration: rooftop HVAC, exhaust fans, </t>
        </is>
      </c>
      <c r="B1653" s="12" t="inlineStr"/>
      <c r="C1653" s="12" t="inlineStr"/>
      <c r="D1653" s="12" t="inlineStr">
        <is>
          <t>Motor 7 of 10, 30 kW</t>
        </is>
      </c>
      <c r="E1653" s="12" t="n">
        <v>480</v>
      </c>
      <c r="F1653" s="12" t="n">
        <v>30</v>
      </c>
      <c r="G1653" s="12" t="n">
        <v>42.5</v>
      </c>
      <c r="H1653" s="12" t="inlineStr">
        <is>
          <t>R1 MCC-C1</t>
        </is>
      </c>
      <c r="I1653" s="12" t="inlineStr">
        <is>
          <t>LV 600 V</t>
        </is>
      </c>
      <c r="J1653" s="12" t="inlineStr">
        <is>
          <t>3/0</t>
        </is>
      </c>
      <c r="K1653" s="12" t="n">
        <v>1</v>
      </c>
    </row>
    <row r="1654">
      <c r="A1654" s="12" t="inlineStr">
        <is>
          <t xml:space="preserve">CO2 compression 3 x ~19 MW + dehydration: rooftop HVAC, exhaust fans, </t>
        </is>
      </c>
      <c r="B1654" s="12" t="inlineStr"/>
      <c r="C1654" s="12" t="inlineStr"/>
      <c r="D1654" s="12" t="inlineStr">
        <is>
          <t>Motor 8 of 10, 30 kW</t>
        </is>
      </c>
      <c r="E1654" s="12" t="n">
        <v>480</v>
      </c>
      <c r="F1654" s="12" t="n">
        <v>30</v>
      </c>
      <c r="G1654" s="12" t="n">
        <v>42.5</v>
      </c>
      <c r="H1654" s="12" t="inlineStr">
        <is>
          <t>R1 MCC-C1</t>
        </is>
      </c>
      <c r="I1654" s="12" t="inlineStr">
        <is>
          <t>LV 600 V</t>
        </is>
      </c>
      <c r="J1654" s="12" t="inlineStr">
        <is>
          <t>3/0</t>
        </is>
      </c>
      <c r="K1654" s="12" t="n">
        <v>1</v>
      </c>
    </row>
    <row r="1655">
      <c r="A1655" s="12" t="inlineStr">
        <is>
          <t xml:space="preserve">CO2 compression 3 x ~19 MW + dehydration: rooftop HVAC, exhaust fans, </t>
        </is>
      </c>
      <c r="B1655" s="12" t="inlineStr"/>
      <c r="C1655" s="12" t="inlineStr"/>
      <c r="D1655" s="12" t="inlineStr">
        <is>
          <t>Motor 9 of 10, 30 kW</t>
        </is>
      </c>
      <c r="E1655" s="12" t="n">
        <v>480</v>
      </c>
      <c r="F1655" s="12" t="n">
        <v>30</v>
      </c>
      <c r="G1655" s="12" t="n">
        <v>42.5</v>
      </c>
      <c r="H1655" s="12" t="inlineStr">
        <is>
          <t>R1 MCC-C1</t>
        </is>
      </c>
      <c r="I1655" s="12" t="inlineStr">
        <is>
          <t>LV 600 V</t>
        </is>
      </c>
      <c r="J1655" s="12" t="inlineStr">
        <is>
          <t>3/0</t>
        </is>
      </c>
      <c r="K1655" s="12" t="n">
        <v>1</v>
      </c>
    </row>
    <row r="1656">
      <c r="A1656" s="12" t="inlineStr">
        <is>
          <t xml:space="preserve">CO2 compression 3 x ~19 MW + dehydration: rooftop HVAC, exhaust fans, </t>
        </is>
      </c>
      <c r="B1656" s="12" t="inlineStr"/>
      <c r="C1656" s="12" t="inlineStr"/>
      <c r="D1656" s="12" t="inlineStr">
        <is>
          <t>Motor 10 of 10, 30 kW</t>
        </is>
      </c>
      <c r="E1656" s="12" t="n">
        <v>480</v>
      </c>
      <c r="F1656" s="12" t="n">
        <v>30</v>
      </c>
      <c r="G1656" s="12" t="n">
        <v>42.5</v>
      </c>
      <c r="H1656" s="12" t="inlineStr">
        <is>
          <t>R1 MCC-C1</t>
        </is>
      </c>
      <c r="I1656" s="12" t="inlineStr">
        <is>
          <t>LV 600 V</t>
        </is>
      </c>
      <c r="J1656" s="12" t="inlineStr">
        <is>
          <t>3/0</t>
        </is>
      </c>
      <c r="K1656" s="12" t="n">
        <v>1</v>
      </c>
    </row>
    <row r="1657">
      <c r="A1657" s="12" t="inlineStr">
        <is>
          <t xml:space="preserve">CO2 compression 3 x ~19 MW + dehydration: rooftop HVAC, exhaust fans, </t>
        </is>
      </c>
      <c r="B1657" s="12" t="inlineStr"/>
      <c r="C1657" s="12" t="inlineStr"/>
      <c r="D1657" s="12" t="inlineStr">
        <is>
          <t>480 V welding receptacle 1</t>
        </is>
      </c>
      <c r="E1657" s="12" t="n">
        <v>480</v>
      </c>
      <c r="F1657" s="12" t="n">
        <v>60</v>
      </c>
      <c r="G1657" s="12" t="n">
        <v>76</v>
      </c>
      <c r="H1657" s="12" t="inlineStr">
        <is>
          <t>R1 MCC-C1</t>
        </is>
      </c>
      <c r="I1657" s="12" t="inlineStr">
        <is>
          <t>LV 600 V</t>
        </is>
      </c>
      <c r="J1657" s="12" t="inlineStr">
        <is>
          <t>250 kcmil</t>
        </is>
      </c>
      <c r="K1657" s="12" t="n">
        <v>1</v>
      </c>
    </row>
    <row r="1658">
      <c r="A1658" s="12" t="inlineStr">
        <is>
          <t xml:space="preserve">CO2 compression 3 x ~19 MW + dehydration: rooftop HVAC, exhaust fans, </t>
        </is>
      </c>
      <c r="B1658" s="12" t="inlineStr"/>
      <c r="C1658" s="12" t="inlineStr"/>
      <c r="D1658" s="12" t="inlineStr">
        <is>
          <t>480 V welding receptacle 2</t>
        </is>
      </c>
      <c r="E1658" s="12" t="n">
        <v>480</v>
      </c>
      <c r="F1658" s="12" t="n">
        <v>60</v>
      </c>
      <c r="G1658" s="12" t="n">
        <v>76</v>
      </c>
      <c r="H1658" s="12" t="inlineStr">
        <is>
          <t>R1 MCC-C1</t>
        </is>
      </c>
      <c r="I1658" s="12" t="inlineStr">
        <is>
          <t>LV 600 V</t>
        </is>
      </c>
      <c r="J1658" s="12" t="inlineStr">
        <is>
          <t>250 kcmil</t>
        </is>
      </c>
      <c r="K1658" s="12" t="n">
        <v>1</v>
      </c>
    </row>
    <row r="1659">
      <c r="A1659" s="12" t="inlineStr">
        <is>
          <t xml:space="preserve">CO2 compression 3 x ~19 MW + dehydration: rooftop HVAC, exhaust fans, </t>
        </is>
      </c>
      <c r="B1659" s="12" t="inlineStr"/>
      <c r="C1659" s="12" t="inlineStr"/>
      <c r="D1659" s="12" t="inlineStr">
        <is>
          <t>480 V welding receptacle 3</t>
        </is>
      </c>
      <c r="E1659" s="12" t="n">
        <v>480</v>
      </c>
      <c r="F1659" s="12" t="n">
        <v>60</v>
      </c>
      <c r="G1659" s="12" t="n">
        <v>76</v>
      </c>
      <c r="H1659" s="12" t="inlineStr">
        <is>
          <t>R1 MCC-C1</t>
        </is>
      </c>
      <c r="I1659" s="12" t="inlineStr">
        <is>
          <t>LV 600 V</t>
        </is>
      </c>
      <c r="J1659" s="12" t="inlineStr">
        <is>
          <t>250 kcmil</t>
        </is>
      </c>
      <c r="K1659" s="12" t="n">
        <v>1</v>
      </c>
    </row>
    <row r="1660">
      <c r="A1660" s="12" t="inlineStr">
        <is>
          <t xml:space="preserve">CO2 compression 3 x ~19 MW + dehydration: rooftop HVAC, exhaust fans, </t>
        </is>
      </c>
      <c r="B1660" s="12" t="inlineStr"/>
      <c r="C1660" s="12" t="inlineStr"/>
      <c r="D1660" s="12" t="inlineStr">
        <is>
          <t>480 V welding receptacle 4</t>
        </is>
      </c>
      <c r="E1660" s="12" t="n">
        <v>480</v>
      </c>
      <c r="F1660" s="12" t="n">
        <v>60</v>
      </c>
      <c r="G1660" s="12" t="n">
        <v>76</v>
      </c>
      <c r="H1660" s="12" t="inlineStr">
        <is>
          <t>R1 MCC-C1</t>
        </is>
      </c>
      <c r="I1660" s="12" t="inlineStr">
        <is>
          <t>LV 600 V</t>
        </is>
      </c>
      <c r="J1660" s="12" t="inlineStr">
        <is>
          <t>250 kcmil</t>
        </is>
      </c>
      <c r="K1660" s="12" t="n">
        <v>1</v>
      </c>
    </row>
    <row r="1661">
      <c r="A1661" s="12" t="inlineStr">
        <is>
          <t>Small-bore piping: instrument air, service water, nitrogen, HRSG drain</t>
        </is>
      </c>
      <c r="B1661" s="12" t="inlineStr"/>
      <c r="C1661" s="12" t="inlineStr"/>
      <c r="D1661" s="12" t="inlineStr">
        <is>
          <t>Motor 1 of 2, 250 kW</t>
        </is>
      </c>
      <c r="E1661" s="12" t="n">
        <v>480</v>
      </c>
      <c r="F1661" s="12" t="n">
        <v>250</v>
      </c>
      <c r="G1661" s="12" t="n">
        <v>353.8</v>
      </c>
      <c r="H1661" s="12" t="inlineStr">
        <is>
          <t>R1 MCC-C1</t>
        </is>
      </c>
      <c r="I1661" s="12" t="inlineStr">
        <is>
          <t>LV 600 V</t>
        </is>
      </c>
      <c r="J1661" s="12" t="inlineStr">
        <is>
          <t>250 kcmil</t>
        </is>
      </c>
      <c r="K1661" s="12" t="n">
        <v>2</v>
      </c>
    </row>
    <row r="1662">
      <c r="A1662" s="12" t="inlineStr">
        <is>
          <t>Small-bore piping: instrument air, service water, nitrogen, HRSG drain</t>
        </is>
      </c>
      <c r="B1662" s="12" t="inlineStr"/>
      <c r="C1662" s="12" t="inlineStr"/>
      <c r="D1662" s="12" t="inlineStr">
        <is>
          <t>Motor 2 of 2, 250 kW</t>
        </is>
      </c>
      <c r="E1662" s="12" t="n">
        <v>480</v>
      </c>
      <c r="F1662" s="12" t="n">
        <v>250</v>
      </c>
      <c r="G1662" s="12" t="n">
        <v>353.8</v>
      </c>
      <c r="H1662" s="12" t="inlineStr">
        <is>
          <t>R1 MCC-C1</t>
        </is>
      </c>
      <c r="I1662" s="12" t="inlineStr">
        <is>
          <t>LV 600 V</t>
        </is>
      </c>
      <c r="J1662" s="12" t="inlineStr">
        <is>
          <t>250 kcmil</t>
        </is>
      </c>
      <c r="K1662" s="12" t="n">
        <v>2</v>
      </c>
    </row>
    <row r="1663">
      <c r="A1663" s="12" t="inlineStr">
        <is>
          <t>Wastewater treatment: rooftop HVAC, exhaust fans, vents</t>
        </is>
      </c>
      <c r="B1663" s="12" t="inlineStr"/>
      <c r="C1663" s="12" t="inlineStr"/>
      <c r="D1663" s="12" t="inlineStr">
        <is>
          <t>Motor 1 of 8, 15 kW</t>
        </is>
      </c>
      <c r="E1663" s="12" t="n">
        <v>480</v>
      </c>
      <c r="F1663" s="12" t="n">
        <v>15</v>
      </c>
      <c r="G1663" s="12" t="n">
        <v>21.2</v>
      </c>
      <c r="H1663" s="12" t="inlineStr">
        <is>
          <t>R1 MCC-C1</t>
        </is>
      </c>
      <c r="I1663" s="12" t="inlineStr">
        <is>
          <t>LV 600 V</t>
        </is>
      </c>
      <c r="J1663" s="12" t="inlineStr">
        <is>
          <t>1</t>
        </is>
      </c>
      <c r="K1663" s="12" t="n">
        <v>1</v>
      </c>
    </row>
    <row r="1664">
      <c r="A1664" s="12" t="inlineStr">
        <is>
          <t>Wastewater treatment: rooftop HVAC, exhaust fans, vents</t>
        </is>
      </c>
      <c r="B1664" s="12" t="inlineStr"/>
      <c r="C1664" s="12" t="inlineStr"/>
      <c r="D1664" s="12" t="inlineStr">
        <is>
          <t>Motor 2 of 8, 15 kW</t>
        </is>
      </c>
      <c r="E1664" s="12" t="n">
        <v>480</v>
      </c>
      <c r="F1664" s="12" t="n">
        <v>15</v>
      </c>
      <c r="G1664" s="12" t="n">
        <v>21.2</v>
      </c>
      <c r="H1664" s="12" t="inlineStr">
        <is>
          <t>R1 MCC-C1</t>
        </is>
      </c>
      <c r="I1664" s="12" t="inlineStr">
        <is>
          <t>LV 600 V</t>
        </is>
      </c>
      <c r="J1664" s="12" t="inlineStr">
        <is>
          <t>1</t>
        </is>
      </c>
      <c r="K1664" s="12" t="n">
        <v>1</v>
      </c>
    </row>
    <row r="1665">
      <c r="A1665" s="12" t="inlineStr">
        <is>
          <t>Wastewater treatment: rooftop HVAC, exhaust fans, vents</t>
        </is>
      </c>
      <c r="B1665" s="12" t="inlineStr"/>
      <c r="C1665" s="12" t="inlineStr"/>
      <c r="D1665" s="12" t="inlineStr">
        <is>
          <t>Motor 3 of 8, 15 kW</t>
        </is>
      </c>
      <c r="E1665" s="12" t="n">
        <v>480</v>
      </c>
      <c r="F1665" s="12" t="n">
        <v>15</v>
      </c>
      <c r="G1665" s="12" t="n">
        <v>21.2</v>
      </c>
      <c r="H1665" s="12" t="inlineStr">
        <is>
          <t>R1 MCC-C1</t>
        </is>
      </c>
      <c r="I1665" s="12" t="inlineStr">
        <is>
          <t>LV 600 V</t>
        </is>
      </c>
      <c r="J1665" s="12" t="inlineStr">
        <is>
          <t>1</t>
        </is>
      </c>
      <c r="K1665" s="12" t="n">
        <v>1</v>
      </c>
    </row>
    <row r="1666">
      <c r="A1666" s="12" t="inlineStr">
        <is>
          <t>Wastewater treatment: rooftop HVAC, exhaust fans, vents</t>
        </is>
      </c>
      <c r="B1666" s="12" t="inlineStr"/>
      <c r="C1666" s="12" t="inlineStr"/>
      <c r="D1666" s="12" t="inlineStr">
        <is>
          <t>Motor 4 of 8, 15 kW</t>
        </is>
      </c>
      <c r="E1666" s="12" t="n">
        <v>480</v>
      </c>
      <c r="F1666" s="12" t="n">
        <v>15</v>
      </c>
      <c r="G1666" s="12" t="n">
        <v>21.2</v>
      </c>
      <c r="H1666" s="12" t="inlineStr">
        <is>
          <t>R1 MCC-C1</t>
        </is>
      </c>
      <c r="I1666" s="12" t="inlineStr">
        <is>
          <t>LV 600 V</t>
        </is>
      </c>
      <c r="J1666" s="12" t="inlineStr">
        <is>
          <t>1</t>
        </is>
      </c>
      <c r="K1666" s="12" t="n">
        <v>1</v>
      </c>
    </row>
    <row r="1667">
      <c r="A1667" s="12" t="inlineStr">
        <is>
          <t>Wastewater treatment: rooftop HVAC, exhaust fans, vents</t>
        </is>
      </c>
      <c r="B1667" s="12" t="inlineStr"/>
      <c r="C1667" s="12" t="inlineStr"/>
      <c r="D1667" s="12" t="inlineStr">
        <is>
          <t>Motor 5 of 8, 15 kW</t>
        </is>
      </c>
      <c r="E1667" s="12" t="n">
        <v>480</v>
      </c>
      <c r="F1667" s="12" t="n">
        <v>15</v>
      </c>
      <c r="G1667" s="12" t="n">
        <v>21.2</v>
      </c>
      <c r="H1667" s="12" t="inlineStr">
        <is>
          <t>R1 MCC-C1</t>
        </is>
      </c>
      <c r="I1667" s="12" t="inlineStr">
        <is>
          <t>LV 600 V</t>
        </is>
      </c>
      <c r="J1667" s="12" t="inlineStr">
        <is>
          <t>1</t>
        </is>
      </c>
      <c r="K1667" s="12" t="n">
        <v>1</v>
      </c>
    </row>
    <row r="1668">
      <c r="A1668" s="12" t="inlineStr">
        <is>
          <t>Wastewater treatment: rooftop HVAC, exhaust fans, vents</t>
        </is>
      </c>
      <c r="B1668" s="12" t="inlineStr"/>
      <c r="C1668" s="12" t="inlineStr"/>
      <c r="D1668" s="12" t="inlineStr">
        <is>
          <t>Motor 6 of 8, 15 kW</t>
        </is>
      </c>
      <c r="E1668" s="12" t="n">
        <v>480</v>
      </c>
      <c r="F1668" s="12" t="n">
        <v>15</v>
      </c>
      <c r="G1668" s="12" t="n">
        <v>21.2</v>
      </c>
      <c r="H1668" s="12" t="inlineStr">
        <is>
          <t>R1 MCC-C1</t>
        </is>
      </c>
      <c r="I1668" s="12" t="inlineStr">
        <is>
          <t>LV 600 V</t>
        </is>
      </c>
      <c r="J1668" s="12" t="inlineStr">
        <is>
          <t>1</t>
        </is>
      </c>
      <c r="K1668" s="12" t="n">
        <v>1</v>
      </c>
    </row>
    <row r="1669">
      <c r="A1669" s="12" t="inlineStr">
        <is>
          <t>Wastewater treatment: rooftop HVAC, exhaust fans, vents</t>
        </is>
      </c>
      <c r="B1669" s="12" t="inlineStr"/>
      <c r="C1669" s="12" t="inlineStr"/>
      <c r="D1669" s="12" t="inlineStr">
        <is>
          <t>Motor 7 of 8, 15 kW</t>
        </is>
      </c>
      <c r="E1669" s="12" t="n">
        <v>480</v>
      </c>
      <c r="F1669" s="12" t="n">
        <v>15</v>
      </c>
      <c r="G1669" s="12" t="n">
        <v>21.2</v>
      </c>
      <c r="H1669" s="12" t="inlineStr">
        <is>
          <t>R1 MCC-C1</t>
        </is>
      </c>
      <c r="I1669" s="12" t="inlineStr">
        <is>
          <t>LV 600 V</t>
        </is>
      </c>
      <c r="J1669" s="12" t="inlineStr">
        <is>
          <t>1</t>
        </is>
      </c>
      <c r="K1669" s="12" t="n">
        <v>1</v>
      </c>
    </row>
    <row r="1670">
      <c r="A1670" s="12" t="inlineStr">
        <is>
          <t>Wastewater treatment: rooftop HVAC, exhaust fans, vents</t>
        </is>
      </c>
      <c r="B1670" s="12" t="inlineStr"/>
      <c r="C1670" s="12" t="inlineStr"/>
      <c r="D1670" s="12" t="inlineStr">
        <is>
          <t>Motor 8 of 8, 15 kW</t>
        </is>
      </c>
      <c r="E1670" s="12" t="n">
        <v>480</v>
      </c>
      <c r="F1670" s="12" t="n">
        <v>15</v>
      </c>
      <c r="G1670" s="12" t="n">
        <v>21.2</v>
      </c>
      <c r="H1670" s="12" t="inlineStr">
        <is>
          <t>R1 MCC-C1</t>
        </is>
      </c>
      <c r="I1670" s="12" t="inlineStr">
        <is>
          <t>LV 600 V</t>
        </is>
      </c>
      <c r="J1670" s="12" t="inlineStr">
        <is>
          <t>1</t>
        </is>
      </c>
      <c r="K1670" s="12" t="n">
        <v>1</v>
      </c>
    </row>
    <row r="1671">
      <c r="A1671" s="12" t="inlineStr">
        <is>
          <t>Water treatment building: rooftop HVAC, exhaust fans, vents</t>
        </is>
      </c>
      <c r="B1671" s="12" t="inlineStr"/>
      <c r="C1671" s="12" t="inlineStr"/>
      <c r="D1671" s="12" t="inlineStr">
        <is>
          <t>Motor 1 of 20, 15 kW</t>
        </is>
      </c>
      <c r="E1671" s="12" t="n">
        <v>480</v>
      </c>
      <c r="F1671" s="12" t="n">
        <v>15</v>
      </c>
      <c r="G1671" s="12" t="n">
        <v>21.2</v>
      </c>
      <c r="H1671" s="12" t="inlineStr">
        <is>
          <t>R1 MCC-C1</t>
        </is>
      </c>
      <c r="I1671" s="12" t="inlineStr">
        <is>
          <t>LV 600 V</t>
        </is>
      </c>
      <c r="J1671" s="12" t="inlineStr">
        <is>
          <t>2</t>
        </is>
      </c>
      <c r="K1671" s="12" t="n">
        <v>1</v>
      </c>
    </row>
    <row r="1672">
      <c r="A1672" s="12" t="inlineStr">
        <is>
          <t>Water treatment building: rooftop HVAC, exhaust fans, vents</t>
        </is>
      </c>
      <c r="B1672" s="12" t="inlineStr"/>
      <c r="C1672" s="12" t="inlineStr"/>
      <c r="D1672" s="12" t="inlineStr">
        <is>
          <t>Motor 2 of 20, 15 kW</t>
        </is>
      </c>
      <c r="E1672" s="12" t="n">
        <v>480</v>
      </c>
      <c r="F1672" s="12" t="n">
        <v>15</v>
      </c>
      <c r="G1672" s="12" t="n">
        <v>21.2</v>
      </c>
      <c r="H1672" s="12" t="inlineStr">
        <is>
          <t>R1 MCC-C1</t>
        </is>
      </c>
      <c r="I1672" s="12" t="inlineStr">
        <is>
          <t>LV 600 V</t>
        </is>
      </c>
      <c r="J1672" s="12" t="inlineStr">
        <is>
          <t>2</t>
        </is>
      </c>
      <c r="K1672" s="12" t="n">
        <v>1</v>
      </c>
    </row>
    <row r="1673">
      <c r="A1673" s="12" t="inlineStr">
        <is>
          <t>Water treatment building: rooftop HVAC, exhaust fans, vents</t>
        </is>
      </c>
      <c r="B1673" s="12" t="inlineStr"/>
      <c r="C1673" s="12" t="inlineStr"/>
      <c r="D1673" s="12" t="inlineStr">
        <is>
          <t>Motor 3 of 20, 15 kW</t>
        </is>
      </c>
      <c r="E1673" s="12" t="n">
        <v>480</v>
      </c>
      <c r="F1673" s="12" t="n">
        <v>15</v>
      </c>
      <c r="G1673" s="12" t="n">
        <v>21.2</v>
      </c>
      <c r="H1673" s="12" t="inlineStr">
        <is>
          <t>R1 MCC-C1</t>
        </is>
      </c>
      <c r="I1673" s="12" t="inlineStr">
        <is>
          <t>LV 600 V</t>
        </is>
      </c>
      <c r="J1673" s="12" t="inlineStr">
        <is>
          <t>2</t>
        </is>
      </c>
      <c r="K1673" s="12" t="n">
        <v>1</v>
      </c>
    </row>
    <row r="1674">
      <c r="A1674" s="12" t="inlineStr">
        <is>
          <t>Water treatment building: rooftop HVAC, exhaust fans, vents</t>
        </is>
      </c>
      <c r="B1674" s="12" t="inlineStr"/>
      <c r="C1674" s="12" t="inlineStr"/>
      <c r="D1674" s="12" t="inlineStr">
        <is>
          <t>Motor 4 of 20, 15 kW</t>
        </is>
      </c>
      <c r="E1674" s="12" t="n">
        <v>480</v>
      </c>
      <c r="F1674" s="12" t="n">
        <v>15</v>
      </c>
      <c r="G1674" s="12" t="n">
        <v>21.2</v>
      </c>
      <c r="H1674" s="12" t="inlineStr">
        <is>
          <t>R1 MCC-C1</t>
        </is>
      </c>
      <c r="I1674" s="12" t="inlineStr">
        <is>
          <t>LV 600 V</t>
        </is>
      </c>
      <c r="J1674" s="12" t="inlineStr">
        <is>
          <t>2</t>
        </is>
      </c>
      <c r="K1674" s="12" t="n">
        <v>1</v>
      </c>
    </row>
    <row r="1675">
      <c r="A1675" s="12" t="inlineStr">
        <is>
          <t>Water treatment building: rooftop HVAC, exhaust fans, vents</t>
        </is>
      </c>
      <c r="B1675" s="12" t="inlineStr"/>
      <c r="C1675" s="12" t="inlineStr"/>
      <c r="D1675" s="12" t="inlineStr">
        <is>
          <t>Motor 5 of 20, 15 kW</t>
        </is>
      </c>
      <c r="E1675" s="12" t="n">
        <v>480</v>
      </c>
      <c r="F1675" s="12" t="n">
        <v>15</v>
      </c>
      <c r="G1675" s="12" t="n">
        <v>21.2</v>
      </c>
      <c r="H1675" s="12" t="inlineStr">
        <is>
          <t>R1 MCC-C1</t>
        </is>
      </c>
      <c r="I1675" s="12" t="inlineStr">
        <is>
          <t>LV 600 V</t>
        </is>
      </c>
      <c r="J1675" s="12" t="inlineStr">
        <is>
          <t>2</t>
        </is>
      </c>
      <c r="K1675" s="12" t="n">
        <v>1</v>
      </c>
    </row>
    <row r="1676">
      <c r="A1676" s="12" t="inlineStr">
        <is>
          <t>Water treatment building: rooftop HVAC, exhaust fans, vents</t>
        </is>
      </c>
      <c r="B1676" s="12" t="inlineStr"/>
      <c r="C1676" s="12" t="inlineStr"/>
      <c r="D1676" s="12" t="inlineStr">
        <is>
          <t>Motor 6 of 20, 15 kW</t>
        </is>
      </c>
      <c r="E1676" s="12" t="n">
        <v>480</v>
      </c>
      <c r="F1676" s="12" t="n">
        <v>15</v>
      </c>
      <c r="G1676" s="12" t="n">
        <v>21.2</v>
      </c>
      <c r="H1676" s="12" t="inlineStr">
        <is>
          <t>R1 MCC-C1</t>
        </is>
      </c>
      <c r="I1676" s="12" t="inlineStr">
        <is>
          <t>LV 600 V</t>
        </is>
      </c>
      <c r="J1676" s="12" t="inlineStr">
        <is>
          <t>2</t>
        </is>
      </c>
      <c r="K1676" s="12" t="n">
        <v>1</v>
      </c>
    </row>
    <row r="1677">
      <c r="A1677" s="12" t="inlineStr">
        <is>
          <t>Water treatment building: rooftop HVAC, exhaust fans, vents</t>
        </is>
      </c>
      <c r="B1677" s="12" t="inlineStr"/>
      <c r="C1677" s="12" t="inlineStr"/>
      <c r="D1677" s="12" t="inlineStr">
        <is>
          <t>Motor 7 of 20, 15 kW</t>
        </is>
      </c>
      <c r="E1677" s="12" t="n">
        <v>480</v>
      </c>
      <c r="F1677" s="12" t="n">
        <v>15</v>
      </c>
      <c r="G1677" s="12" t="n">
        <v>21.2</v>
      </c>
      <c r="H1677" s="12" t="inlineStr">
        <is>
          <t>R1 MCC-C1</t>
        </is>
      </c>
      <c r="I1677" s="12" t="inlineStr">
        <is>
          <t>LV 600 V</t>
        </is>
      </c>
      <c r="J1677" s="12" t="inlineStr">
        <is>
          <t>2</t>
        </is>
      </c>
      <c r="K1677" s="12" t="n">
        <v>1</v>
      </c>
    </row>
    <row r="1678">
      <c r="A1678" s="12" t="inlineStr">
        <is>
          <t>Water treatment building: rooftop HVAC, exhaust fans, vents</t>
        </is>
      </c>
      <c r="B1678" s="12" t="inlineStr"/>
      <c r="C1678" s="12" t="inlineStr"/>
      <c r="D1678" s="12" t="inlineStr">
        <is>
          <t>Motor 8 of 20, 15 kW</t>
        </is>
      </c>
      <c r="E1678" s="12" t="n">
        <v>480</v>
      </c>
      <c r="F1678" s="12" t="n">
        <v>15</v>
      </c>
      <c r="G1678" s="12" t="n">
        <v>21.2</v>
      </c>
      <c r="H1678" s="12" t="inlineStr">
        <is>
          <t>R1 MCC-C1</t>
        </is>
      </c>
      <c r="I1678" s="12" t="inlineStr">
        <is>
          <t>LV 600 V</t>
        </is>
      </c>
      <c r="J1678" s="12" t="inlineStr">
        <is>
          <t>2</t>
        </is>
      </c>
      <c r="K1678" s="12" t="n">
        <v>1</v>
      </c>
    </row>
    <row r="1679">
      <c r="A1679" s="12" t="inlineStr">
        <is>
          <t>Water treatment building: rooftop HVAC, exhaust fans, vents</t>
        </is>
      </c>
      <c r="B1679" s="12" t="inlineStr"/>
      <c r="C1679" s="12" t="inlineStr"/>
      <c r="D1679" s="12" t="inlineStr">
        <is>
          <t>Motor 9 of 20, 15 kW</t>
        </is>
      </c>
      <c r="E1679" s="12" t="n">
        <v>480</v>
      </c>
      <c r="F1679" s="12" t="n">
        <v>15</v>
      </c>
      <c r="G1679" s="12" t="n">
        <v>21.2</v>
      </c>
      <c r="H1679" s="12" t="inlineStr">
        <is>
          <t>R1 MCC-C1</t>
        </is>
      </c>
      <c r="I1679" s="12" t="inlineStr">
        <is>
          <t>LV 600 V</t>
        </is>
      </c>
      <c r="J1679" s="12" t="inlineStr">
        <is>
          <t>2</t>
        </is>
      </c>
      <c r="K1679" s="12" t="n">
        <v>1</v>
      </c>
    </row>
    <row r="1680">
      <c r="A1680" s="12" t="inlineStr">
        <is>
          <t>Water treatment building: rooftop HVAC, exhaust fans, vents</t>
        </is>
      </c>
      <c r="B1680" s="12" t="inlineStr"/>
      <c r="C1680" s="12" t="inlineStr"/>
      <c r="D1680" s="12" t="inlineStr">
        <is>
          <t>Motor 10 of 20, 15 kW</t>
        </is>
      </c>
      <c r="E1680" s="12" t="n">
        <v>480</v>
      </c>
      <c r="F1680" s="12" t="n">
        <v>15</v>
      </c>
      <c r="G1680" s="12" t="n">
        <v>21.2</v>
      </c>
      <c r="H1680" s="12" t="inlineStr">
        <is>
          <t>R1 MCC-C1</t>
        </is>
      </c>
      <c r="I1680" s="12" t="inlineStr">
        <is>
          <t>LV 600 V</t>
        </is>
      </c>
      <c r="J1680" s="12" t="inlineStr">
        <is>
          <t>2</t>
        </is>
      </c>
      <c r="K1680" s="12" t="n">
        <v>1</v>
      </c>
    </row>
    <row r="1681">
      <c r="A1681" s="12" t="inlineStr">
        <is>
          <t>Water treatment building: rooftop HVAC, exhaust fans, vents</t>
        </is>
      </c>
      <c r="B1681" s="12" t="inlineStr"/>
      <c r="C1681" s="12" t="inlineStr"/>
      <c r="D1681" s="12" t="inlineStr">
        <is>
          <t>Motor 11 of 20, 15 kW</t>
        </is>
      </c>
      <c r="E1681" s="12" t="n">
        <v>480</v>
      </c>
      <c r="F1681" s="12" t="n">
        <v>15</v>
      </c>
      <c r="G1681" s="12" t="n">
        <v>21.2</v>
      </c>
      <c r="H1681" s="12" t="inlineStr">
        <is>
          <t>R1 MCC-C1</t>
        </is>
      </c>
      <c r="I1681" s="12" t="inlineStr">
        <is>
          <t>LV 600 V</t>
        </is>
      </c>
      <c r="J1681" s="12" t="inlineStr">
        <is>
          <t>2</t>
        </is>
      </c>
      <c r="K1681" s="12" t="n">
        <v>1</v>
      </c>
    </row>
    <row r="1682">
      <c r="A1682" s="12" t="inlineStr">
        <is>
          <t>Water treatment building: rooftop HVAC, exhaust fans, vents</t>
        </is>
      </c>
      <c r="B1682" s="12" t="inlineStr"/>
      <c r="C1682" s="12" t="inlineStr"/>
      <c r="D1682" s="12" t="inlineStr">
        <is>
          <t>Motor 12 of 20, 15 kW</t>
        </is>
      </c>
      <c r="E1682" s="12" t="n">
        <v>480</v>
      </c>
      <c r="F1682" s="12" t="n">
        <v>15</v>
      </c>
      <c r="G1682" s="12" t="n">
        <v>21.2</v>
      </c>
      <c r="H1682" s="12" t="inlineStr">
        <is>
          <t>R1 MCC-C1</t>
        </is>
      </c>
      <c r="I1682" s="12" t="inlineStr">
        <is>
          <t>LV 600 V</t>
        </is>
      </c>
      <c r="J1682" s="12" t="inlineStr">
        <is>
          <t>2</t>
        </is>
      </c>
      <c r="K1682" s="12" t="n">
        <v>1</v>
      </c>
    </row>
    <row r="1683">
      <c r="A1683" s="12" t="inlineStr">
        <is>
          <t>Water treatment building: rooftop HVAC, exhaust fans, vents</t>
        </is>
      </c>
      <c r="B1683" s="12" t="inlineStr"/>
      <c r="C1683" s="12" t="inlineStr"/>
      <c r="D1683" s="12" t="inlineStr">
        <is>
          <t>Motor 13 of 20, 15 kW</t>
        </is>
      </c>
      <c r="E1683" s="12" t="n">
        <v>480</v>
      </c>
      <c r="F1683" s="12" t="n">
        <v>15</v>
      </c>
      <c r="G1683" s="12" t="n">
        <v>21.2</v>
      </c>
      <c r="H1683" s="12" t="inlineStr">
        <is>
          <t>R1 MCC-C1</t>
        </is>
      </c>
      <c r="I1683" s="12" t="inlineStr">
        <is>
          <t>LV 600 V</t>
        </is>
      </c>
      <c r="J1683" s="12" t="inlineStr">
        <is>
          <t>2</t>
        </is>
      </c>
      <c r="K1683" s="12" t="n">
        <v>1</v>
      </c>
    </row>
    <row r="1684">
      <c r="A1684" s="12" t="inlineStr">
        <is>
          <t>Water treatment building: rooftop HVAC, exhaust fans, vents</t>
        </is>
      </c>
      <c r="B1684" s="12" t="inlineStr"/>
      <c r="C1684" s="12" t="inlineStr"/>
      <c r="D1684" s="12" t="inlineStr">
        <is>
          <t>Motor 14 of 20, 15 kW</t>
        </is>
      </c>
      <c r="E1684" s="12" t="n">
        <v>480</v>
      </c>
      <c r="F1684" s="12" t="n">
        <v>15</v>
      </c>
      <c r="G1684" s="12" t="n">
        <v>21.2</v>
      </c>
      <c r="H1684" s="12" t="inlineStr">
        <is>
          <t>R1 MCC-C1</t>
        </is>
      </c>
      <c r="I1684" s="12" t="inlineStr">
        <is>
          <t>LV 600 V</t>
        </is>
      </c>
      <c r="J1684" s="12" t="inlineStr">
        <is>
          <t>2</t>
        </is>
      </c>
      <c r="K1684" s="12" t="n">
        <v>1</v>
      </c>
    </row>
    <row r="1685">
      <c r="A1685" s="12" t="inlineStr">
        <is>
          <t>Water treatment building: rooftop HVAC, exhaust fans, vents</t>
        </is>
      </c>
      <c r="B1685" s="12" t="inlineStr"/>
      <c r="C1685" s="12" t="inlineStr"/>
      <c r="D1685" s="12" t="inlineStr">
        <is>
          <t>Motor 15 of 20, 15 kW</t>
        </is>
      </c>
      <c r="E1685" s="12" t="n">
        <v>480</v>
      </c>
      <c r="F1685" s="12" t="n">
        <v>15</v>
      </c>
      <c r="G1685" s="12" t="n">
        <v>21.2</v>
      </c>
      <c r="H1685" s="12" t="inlineStr">
        <is>
          <t>R1 MCC-C1</t>
        </is>
      </c>
      <c r="I1685" s="12" t="inlineStr">
        <is>
          <t>LV 600 V</t>
        </is>
      </c>
      <c r="J1685" s="12" t="inlineStr">
        <is>
          <t>2</t>
        </is>
      </c>
      <c r="K1685" s="12" t="n">
        <v>1</v>
      </c>
    </row>
    <row r="1686">
      <c r="A1686" s="12" t="inlineStr">
        <is>
          <t>Water treatment building: rooftop HVAC, exhaust fans, vents</t>
        </is>
      </c>
      <c r="B1686" s="12" t="inlineStr"/>
      <c r="C1686" s="12" t="inlineStr"/>
      <c r="D1686" s="12" t="inlineStr">
        <is>
          <t>Motor 16 of 20, 15 kW</t>
        </is>
      </c>
      <c r="E1686" s="12" t="n">
        <v>480</v>
      </c>
      <c r="F1686" s="12" t="n">
        <v>15</v>
      </c>
      <c r="G1686" s="12" t="n">
        <v>21.2</v>
      </c>
      <c r="H1686" s="12" t="inlineStr">
        <is>
          <t>R1 MCC-C1</t>
        </is>
      </c>
      <c r="I1686" s="12" t="inlineStr">
        <is>
          <t>LV 600 V</t>
        </is>
      </c>
      <c r="J1686" s="12" t="inlineStr">
        <is>
          <t>2</t>
        </is>
      </c>
      <c r="K1686" s="12" t="n">
        <v>1</v>
      </c>
    </row>
    <row r="1687">
      <c r="A1687" s="12" t="inlineStr">
        <is>
          <t>Water treatment building: rooftop HVAC, exhaust fans, vents</t>
        </is>
      </c>
      <c r="B1687" s="12" t="inlineStr"/>
      <c r="C1687" s="12" t="inlineStr"/>
      <c r="D1687" s="12" t="inlineStr">
        <is>
          <t>Motor 17 of 20, 15 kW</t>
        </is>
      </c>
      <c r="E1687" s="12" t="n">
        <v>480</v>
      </c>
      <c r="F1687" s="12" t="n">
        <v>15</v>
      </c>
      <c r="G1687" s="12" t="n">
        <v>21.2</v>
      </c>
      <c r="H1687" s="12" t="inlineStr">
        <is>
          <t>R1 MCC-C1</t>
        </is>
      </c>
      <c r="I1687" s="12" t="inlineStr">
        <is>
          <t>LV 600 V</t>
        </is>
      </c>
      <c r="J1687" s="12" t="inlineStr">
        <is>
          <t>2</t>
        </is>
      </c>
      <c r="K1687" s="12" t="n">
        <v>1</v>
      </c>
    </row>
    <row r="1688">
      <c r="A1688" s="12" t="inlineStr">
        <is>
          <t>Water treatment building: rooftop HVAC, exhaust fans, vents</t>
        </is>
      </c>
      <c r="B1688" s="12" t="inlineStr"/>
      <c r="C1688" s="12" t="inlineStr"/>
      <c r="D1688" s="12" t="inlineStr">
        <is>
          <t>Motor 18 of 20, 15 kW</t>
        </is>
      </c>
      <c r="E1688" s="12" t="n">
        <v>480</v>
      </c>
      <c r="F1688" s="12" t="n">
        <v>15</v>
      </c>
      <c r="G1688" s="12" t="n">
        <v>21.2</v>
      </c>
      <c r="H1688" s="12" t="inlineStr">
        <is>
          <t>R1 MCC-C1</t>
        </is>
      </c>
      <c r="I1688" s="12" t="inlineStr">
        <is>
          <t>LV 600 V</t>
        </is>
      </c>
      <c r="J1688" s="12" t="inlineStr">
        <is>
          <t>2</t>
        </is>
      </c>
      <c r="K1688" s="12" t="n">
        <v>1</v>
      </c>
    </row>
    <row r="1689">
      <c r="A1689" s="12" t="inlineStr">
        <is>
          <t>Water treatment building: rooftop HVAC, exhaust fans, vents</t>
        </is>
      </c>
      <c r="B1689" s="12" t="inlineStr"/>
      <c r="C1689" s="12" t="inlineStr"/>
      <c r="D1689" s="12" t="inlineStr">
        <is>
          <t>Motor 19 of 20, 15 kW</t>
        </is>
      </c>
      <c r="E1689" s="12" t="n">
        <v>480</v>
      </c>
      <c r="F1689" s="12" t="n">
        <v>15</v>
      </c>
      <c r="G1689" s="12" t="n">
        <v>21.2</v>
      </c>
      <c r="H1689" s="12" t="inlineStr">
        <is>
          <t>R1 MCC-C1</t>
        </is>
      </c>
      <c r="I1689" s="12" t="inlineStr">
        <is>
          <t>LV 600 V</t>
        </is>
      </c>
      <c r="J1689" s="12" t="inlineStr">
        <is>
          <t>2</t>
        </is>
      </c>
      <c r="K1689" s="12" t="n">
        <v>1</v>
      </c>
    </row>
    <row r="1690">
      <c r="A1690" s="12" t="inlineStr">
        <is>
          <t>Water treatment building: rooftop HVAC, exhaust fans, vents</t>
        </is>
      </c>
      <c r="B1690" s="12" t="inlineStr"/>
      <c r="C1690" s="12" t="inlineStr"/>
      <c r="D1690" s="12" t="inlineStr">
        <is>
          <t>Motor 20 of 20, 15 kW</t>
        </is>
      </c>
      <c r="E1690" s="12" t="n">
        <v>480</v>
      </c>
      <c r="F1690" s="12" t="n">
        <v>15</v>
      </c>
      <c r="G1690" s="12" t="n">
        <v>21.2</v>
      </c>
      <c r="H1690" s="12" t="inlineStr">
        <is>
          <t>R1 MCC-C1</t>
        </is>
      </c>
      <c r="I1690" s="12" t="inlineStr">
        <is>
          <t>LV 600 V</t>
        </is>
      </c>
      <c r="J1690" s="12" t="inlineStr">
        <is>
          <t>2</t>
        </is>
      </c>
      <c r="K169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2026-10-20T17:01:08Z</dcterms:created>
  <dcterms:modified xsi:type="dcterms:W3CDTF">2026-10-20T17:01:10Z</dcterms:modified>
</cp:coreProperties>
</file>