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Schedule'!$A$1:$AA$6271</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6270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6270</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1235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74100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189</v>
      </c>
      <c r="U4294" s="15" t="n">
        <v>58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324</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181</v>
      </c>
      <c r="U4549" s="15" t="n">
        <v>32</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181</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c r="H4583" s="12" t="inlineStr">
        <is>
          <t>MOB-1 gas regulator / meter skid (flexible hose to the trailer)</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284</v>
      </c>
      <c r="U4583" s="15" t="n">
        <v>92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is>
          <t>PAD-EH</t>
        </is>
      </c>
      <c r="F4584" s="12" t="inlineStr">
        <is>
          <t>PAD-EH 13.8 kV switchgear e-house</t>
        </is>
      </c>
      <c r="G4584" s="12" t="inlineStr">
        <is>
          <t>MOB-1</t>
        </is>
      </c>
      <c r="H4584" s="12" t="inlineStr">
        <is>
          <t>MOB-1: trailer genset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266</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is>
          <t>MOD-EH</t>
        </is>
      </c>
      <c r="H4585" s="12" t="inlineStr">
        <is>
          <t>MOD-EH: 34.5 kV modular collector e-house (2 bus sections + 13.8 kV st</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300</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c r="H4586" s="12" t="inlineStr">
        <is>
          <t>MT-4..6 480 V switchboard</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234</v>
      </c>
      <c r="U4586" s="15" t="n">
        <v>37</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MT-4</t>
        </is>
      </c>
      <c r="H4587" s="12" t="inlineStr">
        <is>
          <t>MT-4: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318</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MT-5</t>
        </is>
      </c>
      <c r="H4588" s="12" t="inlineStr">
        <is>
          <t>MT-5: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304</v>
      </c>
      <c r="U4588" s="15" t="n">
        <v>33</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MT-6</t>
        </is>
      </c>
      <c r="H4589" s="12" t="inlineStr">
        <is>
          <t>MT-6: microturbine 1 MW (1 MW package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Duct bank</t>
        </is>
      </c>
      <c r="T4589" s="15" t="n">
        <v>234</v>
      </c>
      <c r="U4589" s="15" t="n">
        <v>38</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PCM: power control module</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Tray</t>
        </is>
      </c>
      <c r="T4590" s="15" t="n">
        <v>0</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c r="H4591" s="12" t="inlineStr">
        <is>
          <t>RICE CEMS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158</v>
      </c>
      <c r="U4591" s="15" t="n">
        <v>32</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Fire alarm / F&amp;G loop (to the local FACP / F&amp;G node)</t>
        </is>
      </c>
      <c r="E4592" s="12" t="inlineStr"/>
      <c r="F4592" s="12" t="inlineStr">
        <is>
          <t>PCM: power control module</t>
        </is>
      </c>
      <c r="G4592" s="12" t="inlineStr">
        <is>
          <t>RICE</t>
        </is>
      </c>
      <c r="H4592" s="12" t="inlineStr">
        <is>
          <t>RICE engine hall (8 engines)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57</v>
      </c>
      <c r="U4592" s="15" t="n">
        <v>83</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CEMS shelter fire alarm loop</t>
        </is>
      </c>
      <c r="E4593" s="12" t="inlineStr"/>
      <c r="F4593" s="12" t="inlineStr">
        <is>
          <t>SC-1 PCM + 15 kV GCB</t>
        </is>
      </c>
      <c r="G4593" s="12" t="inlineStr"/>
      <c r="H4593" s="12" t="inlineStr">
        <is>
          <t>SC-1 CEMS shelter</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81</v>
      </c>
      <c r="U4593" s="15" t="n">
        <v>106</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SC-1 PCM fire alarm / F&amp;G node to the plant FACP</t>
        </is>
      </c>
      <c r="E4594" s="12" t="inlineStr">
        <is>
          <t>CR</t>
        </is>
      </c>
      <c r="F4594" s="12" t="inlineStr">
        <is>
          <t>Control / admin building (main control room)</t>
        </is>
      </c>
      <c r="G4594" s="12" t="inlineStr"/>
      <c r="H4594" s="12" t="inlineStr">
        <is>
          <t>SC-1 PCM + 15 kV GCB</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4097</v>
      </c>
      <c r="U4594" s="15" t="n">
        <v>48</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Fire alarm / F&amp;G loop (to the local FACP / F&amp;G node)</t>
        </is>
      </c>
      <c r="E4595" s="12" t="inlineStr"/>
      <c r="F4595" s="12" t="inlineStr">
        <is>
          <t>SC-1 PCM + 15 kV GCB</t>
        </is>
      </c>
      <c r="G4595" s="12" t="inlineStr">
        <is>
          <t>SC-1</t>
        </is>
      </c>
      <c r="H4595" s="12" t="inlineStr">
        <is>
          <t>SC-1: aeroderivative simple-cycle unit (LM6000 class)</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Tray</t>
        </is>
      </c>
      <c r="T4595" s="15" t="n">
        <v>5</v>
      </c>
      <c r="U4595" s="15" t="n">
        <v>62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CEMS shelter fire alarm loop</t>
        </is>
      </c>
      <c r="E4596" s="12" t="inlineStr"/>
      <c r="F4596" s="12" t="inlineStr">
        <is>
          <t>SC-2 PCM + 15 kV GCB</t>
        </is>
      </c>
      <c r="G4596" s="12" t="inlineStr"/>
      <c r="H4596" s="12" t="inlineStr">
        <is>
          <t>SC-2 CEMS shelter</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74</v>
      </c>
      <c r="U4596" s="15" t="n">
        <v>112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SC-2 PCM fire alarm / F&amp;G node to the plant FACP</t>
        </is>
      </c>
      <c r="E4597" s="12" t="inlineStr">
        <is>
          <t>CR</t>
        </is>
      </c>
      <c r="F4597" s="12" t="inlineStr">
        <is>
          <t>Control / admin building (main control room)</t>
        </is>
      </c>
      <c r="G4597" s="12" t="inlineStr"/>
      <c r="H4597" s="12" t="inlineStr">
        <is>
          <t>SC-2 PCM + 15 kV GCB</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4178</v>
      </c>
      <c r="U4597" s="15" t="n">
        <v>43</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c r="F4598" s="12" t="inlineStr">
        <is>
          <t>SC-2 PCM + 15 kV GCB</t>
        </is>
      </c>
      <c r="G4598" s="12" t="inlineStr">
        <is>
          <t>SC-2</t>
        </is>
      </c>
      <c r="H4598" s="12" t="inlineStr">
        <is>
          <t>SC-2: aeroderivative simple-cycle unit (LM6000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35</v>
      </c>
      <c r="U4598" s="15" t="n">
        <v>32</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I-FA-0029</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TM-1</t>
        </is>
      </c>
      <c r="H4599" s="12" t="inlineStr">
        <is>
          <t>TM-1: trailer-mounted aeroderivative GT (TM2500 class, ~35 MW)</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437</v>
      </c>
      <c r="U4599" s="15" t="n">
        <v>39</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I-G-0001</t>
        </is>
      </c>
      <c r="B4600" s="12" t="inlineStr">
        <is>
          <t>I</t>
        </is>
      </c>
      <c r="C4600" s="12" t="inlineStr">
        <is>
          <t>Modular / portable power</t>
        </is>
      </c>
      <c r="D4600" s="12" t="inlineStr">
        <is>
          <t>L6 GB-1 block ground ring (4/0 bare Cu) + 7 taps</t>
        </is>
      </c>
      <c r="E4600" s="12" t="inlineStr">
        <is>
          <t>GBT-1</t>
        </is>
      </c>
      <c r="F4600" s="12" t="inlineStr">
        <is>
          <t>GBT-1: block GB-1 step-up 480 V : 34.5 kV, ~3 MVA pad-mount (on the 35</t>
        </is>
      </c>
      <c r="G4600" s="12" t="inlineStr">
        <is>
          <t>GBT-1</t>
        </is>
      </c>
      <c r="H4600" s="12" t="inlineStr">
        <is>
          <t>GBT-1: block GB-1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I-G-0002</t>
        </is>
      </c>
      <c r="B4601" s="12" t="inlineStr">
        <is>
          <t>I</t>
        </is>
      </c>
      <c r="C4601" s="12" t="inlineStr">
        <is>
          <t>Modular / portable power</t>
        </is>
      </c>
      <c r="D4601" s="12" t="inlineStr">
        <is>
          <t>L6 GB-2 block ground ring (4/0 bare Cu) + 7 taps</t>
        </is>
      </c>
      <c r="E4601" s="12" t="inlineStr">
        <is>
          <t>GBT-2</t>
        </is>
      </c>
      <c r="F4601" s="12" t="inlineStr">
        <is>
          <t>GBT-2: block GB-2 step-up 480 V : 34.5 kV, ~3 MVA pad-mount (on the 35</t>
        </is>
      </c>
      <c r="G4601" s="12" t="inlineStr">
        <is>
          <t>GBT-2</t>
        </is>
      </c>
      <c r="H4601" s="12" t="inlineStr">
        <is>
          <t>GBT-2: block GB-2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I-G-0003</t>
        </is>
      </c>
      <c r="B4602" s="12" t="inlineStr">
        <is>
          <t>I</t>
        </is>
      </c>
      <c r="C4602" s="12" t="inlineStr">
        <is>
          <t>Modular / portable power</t>
        </is>
      </c>
      <c r="D4602" s="12" t="inlineStr">
        <is>
          <t>L6 GB-3 block ground ring (4/0 bare Cu) + 7 taps</t>
        </is>
      </c>
      <c r="E4602" s="12" t="inlineStr">
        <is>
          <t>GBT-3</t>
        </is>
      </c>
      <c r="F4602" s="12" t="inlineStr">
        <is>
          <t>GBT-3: block GB-3 step-up 480 V : 34.5 kV, ~3 MVA pad-mount (on the 35</t>
        </is>
      </c>
      <c r="G4602" s="12" t="inlineStr">
        <is>
          <t>GBT-3</t>
        </is>
      </c>
      <c r="H4602" s="12" t="inlineStr">
        <is>
          <t>GBT-3: block GB-3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I-G-0004</t>
        </is>
      </c>
      <c r="B4603" s="12" t="inlineStr">
        <is>
          <t>I</t>
        </is>
      </c>
      <c r="C4603" s="12" t="inlineStr">
        <is>
          <t>Modular / portable power</t>
        </is>
      </c>
      <c r="D4603" s="12" t="inlineStr">
        <is>
          <t>L6 GB-4 block ground ring (4/0 bare Cu) + 7 taps</t>
        </is>
      </c>
      <c r="E4603" s="12" t="inlineStr">
        <is>
          <t>GBT-4</t>
        </is>
      </c>
      <c r="F4603" s="12" t="inlineStr">
        <is>
          <t>GBT-4: block GB-4 step-up 480 V : 34.5 kV, ~3 MVA pad-mount (on the 35</t>
        </is>
      </c>
      <c r="G4603" s="12" t="inlineStr">
        <is>
          <t>GBT-4</t>
        </is>
      </c>
      <c r="H4603" s="12" t="inlineStr">
        <is>
          <t>GBT-4: block GB-4 step-up 480 V : 34.5 kV, ~3 MVA pad-mount (on the 35</t>
        </is>
      </c>
      <c r="I4603" s="12" t="inlineStr">
        <is>
          <t>Grounding</t>
        </is>
      </c>
      <c r="J4603" s="12" t="inlineStr">
        <is>
          <t>Bare Cu 4/0 AWG, 19 strand (ground grid and equipment grounds)</t>
        </is>
      </c>
      <c r="K4603" s="12" t="inlineStr">
        <is>
          <t>BARE|1/C|4/0</t>
        </is>
      </c>
      <c r="L4603" s="12" t="inlineStr">
        <is>
          <t>1/C</t>
        </is>
      </c>
      <c r="M4603" s="12" t="inlineStr">
        <is>
          <t>4/0</t>
        </is>
      </c>
      <c r="N4603" s="12" t="n">
        <v>1</v>
      </c>
      <c r="O4603" s="12" t="n">
        <v>1</v>
      </c>
      <c r="P4603" s="12" t="n"/>
      <c r="Q4603" s="12" t="n"/>
      <c r="R4603" s="12" t="n"/>
      <c r="S4603" s="12" t="inlineStr">
        <is>
          <t>Buried</t>
        </is>
      </c>
      <c r="T4603" s="15" t="n">
        <v>236</v>
      </c>
      <c r="U4603" s="15" t="n">
        <v>0</v>
      </c>
      <c r="V4603" s="15">
        <f>ROUNDUP((T4603+U4603+2*'Read Me'!$B$13)*(1+'Read Me'!$B$12),-1)</f>
        <v/>
      </c>
      <c r="W4603" s="15">
        <f>V4603*N4603*O4603</f>
        <v/>
      </c>
      <c r="X4603" s="12">
        <f>IF(LEFT(I4603,2)="MV",2*N4603*IF(L4603="1/C",O4603,1),0)</f>
        <v/>
      </c>
      <c r="Y4603" s="12">
        <f>IF(OR(LEFT(K4603,4)="LVAX",LEFT(K4603,6)="MV15AX",LEFT(K4603,4)="CTAX",LEFT(K4603,2)="W|"),2*N4603*O4603,0)</f>
        <v/>
      </c>
      <c r="Z4603" s="12" t="inlineStr">
        <is>
          <t>ring 2 x (74 + 23) ft + 7 taps x 6 ft</t>
        </is>
      </c>
      <c r="AA4603" s="12">
        <f>N4603*O4603</f>
        <v/>
      </c>
    </row>
    <row r="4604">
      <c r="A4604" s="12" t="inlineStr">
        <is>
          <t>I-I-0001</t>
        </is>
      </c>
      <c r="B4604" s="12" t="inlineStr">
        <is>
          <t>I</t>
        </is>
      </c>
      <c r="C4604" s="12" t="inlineStr">
        <is>
          <t>Modular / portable power</t>
        </is>
      </c>
      <c r="D4604" s="12" t="inlineStr">
        <is>
          <t>AX-GSU monitoring: temperatures, gas relay, oil level</t>
        </is>
      </c>
      <c r="E4604" s="12" t="inlineStr">
        <is>
          <t>AX-1</t>
        </is>
      </c>
      <c r="F4604" s="12" t="inlineStr">
        <is>
          <t xml:space="preserve">AX-1: compact modular aeroderivative installation, LM2500XPRESS class </t>
        </is>
      </c>
      <c r="G4604" s="12" t="inlineStr">
        <is>
          <t>AX-GSU</t>
        </is>
      </c>
      <c r="H4604" s="12" t="inlineStr">
        <is>
          <t>AX-GSU: 13.8 / 34.5 kV step-up, ~45 MVA (AX-1 unit step-up)</t>
        </is>
      </c>
      <c r="I4604" s="12" t="inlineStr">
        <is>
          <t>Instrumentation</t>
        </is>
      </c>
      <c r="J4604" s="12" t="inlineStr">
        <is>
          <t>Instrumentation ITC / PLTC, IS, #18 shielded pairs, blue jacket</t>
        </is>
      </c>
      <c r="K4604" s="12" t="inlineStr">
        <is>
          <t>ITC|4 pr|18</t>
        </is>
      </c>
      <c r="L4604" s="12" t="inlineStr">
        <is>
          <t>4 pr</t>
        </is>
      </c>
      <c r="M4604" s="12" t="inlineStr">
        <is>
          <t>18</t>
        </is>
      </c>
      <c r="N4604" s="12" t="n">
        <v>1</v>
      </c>
      <c r="O4604" s="12" t="n">
        <v>1</v>
      </c>
      <c r="P4604" s="12" t="n"/>
      <c r="Q4604" s="12" t="n"/>
      <c r="R4604" s="12" t="n"/>
      <c r="S4604" s="12" t="inlineStr">
        <is>
          <t>Duct bank</t>
        </is>
      </c>
      <c r="T4604" s="15" t="n">
        <v>28</v>
      </c>
      <c r="U4604" s="15" t="n">
        <v>32</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I-I-0002</t>
        </is>
      </c>
      <c r="B4605" s="12" t="inlineStr">
        <is>
          <t>I</t>
        </is>
      </c>
      <c r="C4605" s="12" t="inlineStr">
        <is>
          <t>Modular / portable power</t>
        </is>
      </c>
      <c r="D4605" s="12" t="inlineStr">
        <is>
          <t>Analog instrument to JB JB-Aqueous ammonia (S-AI01: 6 x 1 pr (field cables)</t>
        </is>
      </c>
      <c r="E4605" s="12" t="inlineStr"/>
      <c r="F4605" s="12" t="inlineStr">
        <is>
          <t>Aqueous ammonia (SC units)</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6</v>
      </c>
      <c r="O4605" s="12" t="n">
        <v>1</v>
      </c>
      <c r="P4605" s="12" t="n"/>
      <c r="Q4605" s="12" t="n"/>
      <c r="R4605" s="12" t="n"/>
      <c r="S4605" s="12" t="inlineStr">
        <is>
          <t>Tray / conduit</t>
        </is>
      </c>
      <c r="T4605" s="15" t="n">
        <v>55</v>
      </c>
      <c r="U4605" s="15" t="n">
        <v>10</v>
      </c>
      <c r="V4605" s="15">
        <f>ROUNDUP((T4605+U4605+2*'Read Me'!$B$13)*(1+'Read Me'!$B$12),-1)</f>
        <v/>
      </c>
      <c r="W4605" s="15">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I-I-0003</t>
        </is>
      </c>
      <c r="B4606" s="12" t="inlineStr">
        <is>
          <t>I</t>
        </is>
      </c>
      <c r="C4606" s="12" t="inlineStr">
        <is>
          <t>Modular / portable power</t>
        </is>
      </c>
      <c r="D4606" s="12" t="inlineStr">
        <is>
          <t>Home run JB-Aqueous ammonia (S-AI01 to the control / marshalling room</t>
        </is>
      </c>
      <c r="E4606" s="12" t="inlineStr"/>
      <c r="F4606" s="12" t="inlineStr">
        <is>
          <t>SC-2 PCM + 15 kV GCB</t>
        </is>
      </c>
      <c r="G4606" s="12" t="inlineStr">
        <is>
          <t>JB-Aqueous ammonia (S-AI01</t>
        </is>
      </c>
      <c r="H4606" s="12" t="inlineStr">
        <is>
          <t>Aqueous ammonia (SC units)</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Duct bank</t>
        </is>
      </c>
      <c r="T4606" s="15" t="n">
        <v>0</v>
      </c>
      <c r="U4606" s="15" t="n">
        <v>98</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I-I-0004</t>
        </is>
      </c>
      <c r="B4607" s="12" t="inlineStr">
        <is>
          <t>I</t>
        </is>
      </c>
      <c r="C4607" s="12" t="inlineStr">
        <is>
          <t>Modular / portable power</t>
        </is>
      </c>
      <c r="D4607" s="12" t="inlineStr">
        <is>
          <t>Discrete device to JB JB-Aqueous ammonia (S-DI01: 6 x 1 pr (field cables)</t>
        </is>
      </c>
      <c r="E4607" s="12" t="inlineStr"/>
      <c r="F4607" s="12" t="inlineStr">
        <is>
          <t>Aqueous ammonia (SC units)</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6</v>
      </c>
      <c r="O4607" s="12" t="n">
        <v>1</v>
      </c>
      <c r="P4607" s="12" t="n"/>
      <c r="Q4607" s="12" t="n"/>
      <c r="R4607" s="12" t="n"/>
      <c r="S4607" s="12" t="inlineStr">
        <is>
          <t>Tray / conduit</t>
        </is>
      </c>
      <c r="T4607" s="15" t="n">
        <v>55</v>
      </c>
      <c r="U4607" s="15" t="n">
        <v>10</v>
      </c>
      <c r="V4607" s="15">
        <f>ROUNDUP((T4607+U4607+2*'Read Me'!$B$13)*(1+'Read Me'!$B$12),-1)</f>
        <v/>
      </c>
      <c r="W4607" s="15">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I-I-0005</t>
        </is>
      </c>
      <c r="B4608" s="12" t="inlineStr">
        <is>
          <t>I</t>
        </is>
      </c>
      <c r="C4608" s="12" t="inlineStr">
        <is>
          <t>Modular / portable power</t>
        </is>
      </c>
      <c r="D4608" s="12" t="inlineStr">
        <is>
          <t>Home run JB-Aqueous ammonia (S-DI01 to the control / marshalling room</t>
        </is>
      </c>
      <c r="E4608" s="12" t="inlineStr"/>
      <c r="F4608" s="12" t="inlineStr">
        <is>
          <t>SC-2 PCM + 15 kV GCB</t>
        </is>
      </c>
      <c r="G4608" s="12" t="inlineStr">
        <is>
          <t>JB-Aqueous ammonia (S-DI01</t>
        </is>
      </c>
      <c r="H4608" s="12" t="inlineStr">
        <is>
          <t>Aqueous ammonia (SC units)</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Duct bank</t>
        </is>
      </c>
      <c r="T4608" s="15" t="n">
        <v>0</v>
      </c>
      <c r="U4608" s="15" t="n">
        <v>98</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I-I-0006</t>
        </is>
      </c>
      <c r="B4609" s="12" t="inlineStr">
        <is>
          <t>I</t>
        </is>
      </c>
      <c r="C4609" s="12" t="inlineStr">
        <is>
          <t>Modular / portable power</t>
        </is>
      </c>
      <c r="D4609" s="12" t="inlineStr">
        <is>
          <t>Analog instrument to JB JB-Black-start genset-AI01: 20 x 1 pr (field cables)</t>
        </is>
      </c>
      <c r="E4609" s="12" t="inlineStr"/>
      <c r="F4609" s="12" t="inlineStr">
        <is>
          <t>Black-start genset (proposed; requires study)</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PLTC|1 pr|16</t>
        </is>
      </c>
      <c r="L4609" s="12" t="inlineStr">
        <is>
          <t>1 pr</t>
        </is>
      </c>
      <c r="M4609" s="12" t="inlineStr">
        <is>
          <t>16</t>
        </is>
      </c>
      <c r="N4609" s="12" t="n">
        <v>20</v>
      </c>
      <c r="O4609" s="12" t="n">
        <v>1</v>
      </c>
      <c r="P4609" s="12" t="n"/>
      <c r="Q4609" s="12" t="n"/>
      <c r="R4609" s="12" t="n"/>
      <c r="S4609" s="12" t="inlineStr">
        <is>
          <t>Tray / conduit</t>
        </is>
      </c>
      <c r="T4609" s="15" t="n">
        <v>59</v>
      </c>
      <c r="U4609" s="15" t="n">
        <v>10</v>
      </c>
      <c r="V4609" s="15">
        <f>ROUNDUP((T4609+U4609+2*'Read Me'!$B$13)*(1+'Read Me'!$B$12),-1)</f>
        <v/>
      </c>
      <c r="W4609" s="15">
        <f>V4609*N4609*O4609</f>
        <v/>
      </c>
      <c r="X4609" s="12">
        <f>IF(LEFT(I4609,2)="MV",2*N4609*IF(L4609="1/C",O4609,1),0)</f>
        <v/>
      </c>
      <c r="Y4609" s="12">
        <f>IF(OR(LEFT(K4609,4)="LVAX",LEFT(K4609,6)="MV15AX",LEFT(K4609,4)="CTAX",LEFT(K4609,2)="W|"),2*N4609*O4609,0)</f>
        <v/>
      </c>
      <c r="Z4609" s="12" t="inlineStr">
        <is>
          <t>device-to-JB field wiring, one cable per device</t>
        </is>
      </c>
      <c r="AA4609" s="12">
        <f>N4609*O4609</f>
        <v/>
      </c>
    </row>
    <row r="4610">
      <c r="A4610" s="12" t="inlineStr">
        <is>
          <t>I-I-0007</t>
        </is>
      </c>
      <c r="B4610" s="12" t="inlineStr">
        <is>
          <t>I</t>
        </is>
      </c>
      <c r="C4610" s="12" t="inlineStr">
        <is>
          <t>Modular / portable power</t>
        </is>
      </c>
      <c r="D4610" s="12" t="inlineStr">
        <is>
          <t>Home run JB-Black-start genset-AI01 to the control / marshalling room</t>
        </is>
      </c>
      <c r="E4610" s="12" t="inlineStr"/>
      <c r="F4610" s="12" t="inlineStr">
        <is>
          <t>PCM: power control module</t>
        </is>
      </c>
      <c r="G4610" s="12" t="inlineStr">
        <is>
          <t>JB-Black-start genset-AI01</t>
        </is>
      </c>
      <c r="H4610" s="12" t="inlineStr">
        <is>
          <t>Black-start genset (proposed; requires study)</t>
        </is>
      </c>
      <c r="I4610" s="12" t="inlineStr">
        <is>
          <t>Instrumentation</t>
        </is>
      </c>
      <c r="J4610" s="12" t="inlineStr">
        <is>
          <t>Instrumentation PLTC / TC-ER 300 V, #18 twisted shielded pairs, overall shield</t>
        </is>
      </c>
      <c r="K4610" s="12" t="inlineStr">
        <is>
          <t>PLTC|24 pr|18</t>
        </is>
      </c>
      <c r="L4610" s="12" t="inlineStr">
        <is>
          <t>24 pr</t>
        </is>
      </c>
      <c r="M4610" s="12" t="inlineStr">
        <is>
          <t>18</t>
        </is>
      </c>
      <c r="N4610" s="12" t="n">
        <v>1</v>
      </c>
      <c r="O4610" s="12" t="n">
        <v>1</v>
      </c>
      <c r="P4610" s="12" t="n"/>
      <c r="Q4610" s="12" t="n"/>
      <c r="R4610" s="12" t="n"/>
      <c r="S4610" s="12" t="inlineStr">
        <is>
          <t>Duct bank</t>
        </is>
      </c>
      <c r="T4610" s="15" t="n">
        <v>590</v>
      </c>
      <c r="U4610" s="15" t="n">
        <v>32</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I-I-0008</t>
        </is>
      </c>
      <c r="B4611" s="12" t="inlineStr">
        <is>
          <t>I</t>
        </is>
      </c>
      <c r="C4611" s="12" t="inlineStr">
        <is>
          <t>Modular / portable power</t>
        </is>
      </c>
      <c r="D4611" s="12" t="inlineStr">
        <is>
          <t>Discrete device to JB JB-Black-start genset-DI01: 20 x 1 pr (field cables)</t>
        </is>
      </c>
      <c r="E4611" s="12" t="inlineStr"/>
      <c r="F4611" s="12" t="inlineStr">
        <is>
          <t>Black-start genset (proposed; requires study)</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PLTC|1 pr|16</t>
        </is>
      </c>
      <c r="L4611" s="12" t="inlineStr">
        <is>
          <t>1 pr</t>
        </is>
      </c>
      <c r="M4611" s="12" t="inlineStr">
        <is>
          <t>16</t>
        </is>
      </c>
      <c r="N4611" s="12" t="n">
        <v>20</v>
      </c>
      <c r="O4611" s="12" t="n">
        <v>1</v>
      </c>
      <c r="P4611" s="12" t="n"/>
      <c r="Q4611" s="12" t="n"/>
      <c r="R4611" s="12" t="n"/>
      <c r="S4611" s="12" t="inlineStr">
        <is>
          <t>Tray / conduit</t>
        </is>
      </c>
      <c r="T4611" s="15" t="n">
        <v>59</v>
      </c>
      <c r="U4611" s="15" t="n">
        <v>10</v>
      </c>
      <c r="V4611" s="15">
        <f>ROUNDUP((T4611+U4611+2*'Read Me'!$B$13)*(1+'Read Me'!$B$12),-1)</f>
        <v/>
      </c>
      <c r="W4611" s="15">
        <f>V4611*N4611*O4611</f>
        <v/>
      </c>
      <c r="X4611" s="12">
        <f>IF(LEFT(I4611,2)="MV",2*N4611*IF(L4611="1/C",O4611,1),0)</f>
        <v/>
      </c>
      <c r="Y4611" s="12">
        <f>IF(OR(LEFT(K4611,4)="LVAX",LEFT(K4611,6)="MV15AX",LEFT(K4611,4)="CTAX",LEFT(K4611,2)="W|"),2*N4611*O4611,0)</f>
        <v/>
      </c>
      <c r="Z4611" s="12" t="inlineStr">
        <is>
          <t>device-to-JB field wiring, one cable per device</t>
        </is>
      </c>
      <c r="AA4611" s="12">
        <f>N4611*O4611</f>
        <v/>
      </c>
    </row>
    <row r="4612">
      <c r="A4612" s="12" t="inlineStr">
        <is>
          <t>I-I-0009</t>
        </is>
      </c>
      <c r="B4612" s="12" t="inlineStr">
        <is>
          <t>I</t>
        </is>
      </c>
      <c r="C4612" s="12" t="inlineStr">
        <is>
          <t>Modular / portable power</t>
        </is>
      </c>
      <c r="D4612" s="12" t="inlineStr">
        <is>
          <t>Home run JB-Black-start genset-DI01 to the control / marshalling room</t>
        </is>
      </c>
      <c r="E4612" s="12" t="inlineStr"/>
      <c r="F4612" s="12" t="inlineStr">
        <is>
          <t>PCM: power control module</t>
        </is>
      </c>
      <c r="G4612" s="12" t="inlineStr">
        <is>
          <t>JB-Black-start genset-DI01</t>
        </is>
      </c>
      <c r="H4612" s="12" t="inlineStr">
        <is>
          <t>Black-start genset (proposed; requires study)</t>
        </is>
      </c>
      <c r="I4612" s="12" t="inlineStr">
        <is>
          <t>Instrumentation</t>
        </is>
      </c>
      <c r="J4612" s="12" t="inlineStr">
        <is>
          <t>Instrumentation PLTC / TC-ER 300 V, #18 twisted shielded pairs, overall shield</t>
        </is>
      </c>
      <c r="K4612" s="12" t="inlineStr">
        <is>
          <t>PLTC|24 pr|18</t>
        </is>
      </c>
      <c r="L4612" s="12" t="inlineStr">
        <is>
          <t>24 pr</t>
        </is>
      </c>
      <c r="M4612" s="12" t="inlineStr">
        <is>
          <t>18</t>
        </is>
      </c>
      <c r="N4612" s="12" t="n">
        <v>1</v>
      </c>
      <c r="O4612" s="12" t="n">
        <v>1</v>
      </c>
      <c r="P4612" s="12" t="n"/>
      <c r="Q4612" s="12" t="n"/>
      <c r="R4612" s="12" t="n"/>
      <c r="S4612" s="12" t="inlineStr">
        <is>
          <t>Duct bank</t>
        </is>
      </c>
      <c r="T4612" s="15" t="n">
        <v>590</v>
      </c>
      <c r="U4612" s="15" t="n">
        <v>32</v>
      </c>
      <c r="V4612" s="15">
        <f>ROUNDUP((T4612+U4612+2*'Read Me'!$B$13)*(1+'Read Me'!$B$12),-1)</f>
        <v/>
      </c>
      <c r="W4612" s="15">
        <f>V4612*N4612*O4612</f>
        <v/>
      </c>
      <c r="X4612" s="12">
        <f>IF(LEFT(I4612,2)="MV",2*N4612*IF(L4612="1/C",O4612,1),0)</f>
        <v/>
      </c>
      <c r="Y4612" s="12">
        <f>IF(OR(LEFT(K4612,4)="LVAX",LEFT(K4612,6)="MV15AX",LEFT(K4612,4)="CTAX",LEFT(K4612,2)="W|"),2*N4612*O4612,0)</f>
        <v/>
      </c>
      <c r="Z4612" s="12" t="inlineStr"/>
      <c r="AA4612" s="12">
        <f>N4612*O4612</f>
        <v/>
      </c>
    </row>
    <row r="4613">
      <c r="A4613" s="12" t="inlineStr">
        <is>
          <t>I-I-0010</t>
        </is>
      </c>
      <c r="B4613" s="12" t="inlineStr">
        <is>
          <t>I</t>
        </is>
      </c>
      <c r="C4613" s="12" t="inlineStr">
        <is>
          <t>Modular / portable power</t>
        </is>
      </c>
      <c r="D4613" s="12" t="inlineStr">
        <is>
          <t>Analog instrument to JB JB-Black-start genset-AI01: 20 x 1 pr (field cables)</t>
        </is>
      </c>
      <c r="E4613" s="12" t="inlineStr"/>
      <c r="F4613" s="12" t="inlineStr">
        <is>
          <t>Black-start genset (proposed; requires study)</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PLTC|1 pr|16</t>
        </is>
      </c>
      <c r="L4613" s="12" t="inlineStr">
        <is>
          <t>1 pr</t>
        </is>
      </c>
      <c r="M4613" s="12" t="inlineStr">
        <is>
          <t>16</t>
        </is>
      </c>
      <c r="N4613" s="12" t="n">
        <v>20</v>
      </c>
      <c r="O4613" s="12" t="n">
        <v>1</v>
      </c>
      <c r="P4613" s="12" t="n"/>
      <c r="Q4613" s="12" t="n"/>
      <c r="R4613" s="12" t="n"/>
      <c r="S4613" s="12" t="inlineStr">
        <is>
          <t>Tray / conduit</t>
        </is>
      </c>
      <c r="T4613" s="15" t="n">
        <v>59</v>
      </c>
      <c r="U4613" s="15" t="n">
        <v>10</v>
      </c>
      <c r="V4613" s="15">
        <f>ROUNDUP((T4613+U4613+2*'Read Me'!$B$13)*(1+'Read Me'!$B$12),-1)</f>
        <v/>
      </c>
      <c r="W4613" s="15">
        <f>V4613*N4613*O4613</f>
        <v/>
      </c>
      <c r="X4613" s="12">
        <f>IF(LEFT(I4613,2)="MV",2*N4613*IF(L4613="1/C",O4613,1),0)</f>
        <v/>
      </c>
      <c r="Y4613" s="12">
        <f>IF(OR(LEFT(K4613,4)="LVAX",LEFT(K4613,6)="MV15AX",LEFT(K4613,4)="CTAX",LEFT(K4613,2)="W|"),2*N4613*O4613,0)</f>
        <v/>
      </c>
      <c r="Z4613" s="12" t="inlineStr">
        <is>
          <t>device-to-JB field wiring, one cable per device</t>
        </is>
      </c>
      <c r="AA4613" s="12">
        <f>N4613*O4613</f>
        <v/>
      </c>
    </row>
    <row r="4614">
      <c r="A4614" s="12" t="inlineStr">
        <is>
          <t>I-I-0011</t>
        </is>
      </c>
      <c r="B4614" s="12" t="inlineStr">
        <is>
          <t>I</t>
        </is>
      </c>
      <c r="C4614" s="12" t="inlineStr">
        <is>
          <t>Modular / portable power</t>
        </is>
      </c>
      <c r="D4614" s="12" t="inlineStr">
        <is>
          <t>Home run JB-Black-start genset-AI01 to the control / marshalling room</t>
        </is>
      </c>
      <c r="E4614" s="12" t="inlineStr"/>
      <c r="F4614" s="12" t="inlineStr">
        <is>
          <t>PCM: power control module</t>
        </is>
      </c>
      <c r="G4614" s="12" t="inlineStr">
        <is>
          <t>JB-Black-start genset-AI01</t>
        </is>
      </c>
      <c r="H4614" s="12" t="inlineStr">
        <is>
          <t>Black-start genset (proposed; requires study)</t>
        </is>
      </c>
      <c r="I4614" s="12" t="inlineStr">
        <is>
          <t>Instrumentation</t>
        </is>
      </c>
      <c r="J4614" s="12" t="inlineStr">
        <is>
          <t>Instrumentation PLTC / TC-ER 300 V, #18 twisted shielded pairs, overall shield</t>
        </is>
      </c>
      <c r="K4614" s="12" t="inlineStr">
        <is>
          <t>PLTC|24 pr|18</t>
        </is>
      </c>
      <c r="L4614" s="12" t="inlineStr">
        <is>
          <t>24 pr</t>
        </is>
      </c>
      <c r="M4614" s="12" t="inlineStr">
        <is>
          <t>18</t>
        </is>
      </c>
      <c r="N4614" s="12" t="n">
        <v>1</v>
      </c>
      <c r="O4614" s="12" t="n">
        <v>1</v>
      </c>
      <c r="P4614" s="12" t="n"/>
      <c r="Q4614" s="12" t="n"/>
      <c r="R4614" s="12" t="n"/>
      <c r="S4614" s="12" t="inlineStr">
        <is>
          <t>Duct bank</t>
        </is>
      </c>
      <c r="T4614" s="15" t="n">
        <v>590</v>
      </c>
      <c r="U4614" s="15" t="n">
        <v>40</v>
      </c>
      <c r="V4614" s="15">
        <f>ROUNDUP((T4614+U4614+2*'Read Me'!$B$13)*(1+'Read Me'!$B$12),-1)</f>
        <v/>
      </c>
      <c r="W4614" s="15">
        <f>V4614*N4614*O4614</f>
        <v/>
      </c>
      <c r="X4614" s="12">
        <f>IF(LEFT(I4614,2)="MV",2*N4614*IF(L4614="1/C",O4614,1),0)</f>
        <v/>
      </c>
      <c r="Y4614" s="12">
        <f>IF(OR(LEFT(K4614,4)="LVAX",LEFT(K4614,6)="MV15AX",LEFT(K4614,4)="CTAX",LEFT(K4614,2)="W|"),2*N4614*O4614,0)</f>
        <v/>
      </c>
      <c r="Z4614" s="12" t="inlineStr"/>
      <c r="AA4614" s="12">
        <f>N4614*O4614</f>
        <v/>
      </c>
    </row>
    <row r="4615">
      <c r="A4615" s="12" t="inlineStr">
        <is>
          <t>I-I-0012</t>
        </is>
      </c>
      <c r="B4615" s="12" t="inlineStr">
        <is>
          <t>I</t>
        </is>
      </c>
      <c r="C4615" s="12" t="inlineStr">
        <is>
          <t>Modular / portable power</t>
        </is>
      </c>
      <c r="D4615" s="12" t="inlineStr">
        <is>
          <t>Discrete device to JB JB-Black-start genset-DI01: 20 x 1 pr (field cables)</t>
        </is>
      </c>
      <c r="E4615" s="12" t="inlineStr"/>
      <c r="F4615" s="12" t="inlineStr">
        <is>
          <t>Black-start genset (proposed; requires study)</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PLTC|1 pr|16</t>
        </is>
      </c>
      <c r="L4615" s="12" t="inlineStr">
        <is>
          <t>1 pr</t>
        </is>
      </c>
      <c r="M4615" s="12" t="inlineStr">
        <is>
          <t>16</t>
        </is>
      </c>
      <c r="N4615" s="12" t="n">
        <v>20</v>
      </c>
      <c r="O4615" s="12" t="n">
        <v>1</v>
      </c>
      <c r="P4615" s="12" t="n"/>
      <c r="Q4615" s="12" t="n"/>
      <c r="R4615" s="12" t="n"/>
      <c r="S4615" s="12" t="inlineStr">
        <is>
          <t>Tray / conduit</t>
        </is>
      </c>
      <c r="T4615" s="15" t="n">
        <v>59</v>
      </c>
      <c r="U4615" s="15" t="n">
        <v>10</v>
      </c>
      <c r="V4615" s="15">
        <f>ROUNDUP((T4615+U4615+2*'Read Me'!$B$13)*(1+'Read Me'!$B$12),-1)</f>
        <v/>
      </c>
      <c r="W4615" s="15">
        <f>V4615*N4615*O4615</f>
        <v/>
      </c>
      <c r="X4615" s="12">
        <f>IF(LEFT(I4615,2)="MV",2*N4615*IF(L4615="1/C",O4615,1),0)</f>
        <v/>
      </c>
      <c r="Y4615" s="12">
        <f>IF(OR(LEFT(K4615,4)="LVAX",LEFT(K4615,6)="MV15AX",LEFT(K4615,4)="CTAX",LEFT(K4615,2)="W|"),2*N4615*O4615,0)</f>
        <v/>
      </c>
      <c r="Z4615" s="12" t="inlineStr">
        <is>
          <t>device-to-JB field wiring, one cable per device</t>
        </is>
      </c>
      <c r="AA4615" s="12">
        <f>N4615*O4615</f>
        <v/>
      </c>
    </row>
    <row r="4616">
      <c r="A4616" s="12" t="inlineStr">
        <is>
          <t>I-I-0013</t>
        </is>
      </c>
      <c r="B4616" s="12" t="inlineStr">
        <is>
          <t>I</t>
        </is>
      </c>
      <c r="C4616" s="12" t="inlineStr">
        <is>
          <t>Modular / portable power</t>
        </is>
      </c>
      <c r="D4616" s="12" t="inlineStr">
        <is>
          <t>Home run JB-Black-start genset-DI01 to the control / marshalling room</t>
        </is>
      </c>
      <c r="E4616" s="12" t="inlineStr"/>
      <c r="F4616" s="12" t="inlineStr">
        <is>
          <t>PCM: power control module</t>
        </is>
      </c>
      <c r="G4616" s="12" t="inlineStr">
        <is>
          <t>JB-Black-start genset-DI01</t>
        </is>
      </c>
      <c r="H4616" s="12" t="inlineStr">
        <is>
          <t>Black-start genset (proposed; requires study)</t>
        </is>
      </c>
      <c r="I4616" s="12" t="inlineStr">
        <is>
          <t>Instrumentation</t>
        </is>
      </c>
      <c r="J4616" s="12" t="inlineStr">
        <is>
          <t>Instrumentation PLTC / TC-ER 300 V, #18 twisted shielded pairs, overall shield</t>
        </is>
      </c>
      <c r="K4616" s="12" t="inlineStr">
        <is>
          <t>PLTC|24 pr|18</t>
        </is>
      </c>
      <c r="L4616" s="12" t="inlineStr">
        <is>
          <t>24 pr</t>
        </is>
      </c>
      <c r="M4616" s="12" t="inlineStr">
        <is>
          <t>18</t>
        </is>
      </c>
      <c r="N4616" s="12" t="n">
        <v>1</v>
      </c>
      <c r="O4616" s="12" t="n">
        <v>1</v>
      </c>
      <c r="P4616" s="12" t="n"/>
      <c r="Q4616" s="12" t="n"/>
      <c r="R4616" s="12" t="n"/>
      <c r="S4616" s="12" t="inlineStr">
        <is>
          <t>Duct bank</t>
        </is>
      </c>
      <c r="T4616" s="15" t="n">
        <v>590</v>
      </c>
      <c r="U4616" s="15" t="n">
        <v>40</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I-I-0014</t>
        </is>
      </c>
      <c r="B4617" s="12" t="inlineStr">
        <is>
          <t>I</t>
        </is>
      </c>
      <c r="C4617" s="12" t="inlineStr">
        <is>
          <t>Modular / portable power</t>
        </is>
      </c>
      <c r="D4617" s="12" t="inlineStr">
        <is>
          <t>CGE-1 instrumentation</t>
        </is>
      </c>
      <c r="E4617" s="12" t="inlineStr">
        <is>
          <t>CGE-SWG</t>
        </is>
      </c>
      <c r="F4617" s="12" t="inlineStr">
        <is>
          <t>CGE-SWG: 13.8 kV switchgear container (engine breakers, site feeder)</t>
        </is>
      </c>
      <c r="G4617" s="12" t="inlineStr">
        <is>
          <t>CGE-1</t>
        </is>
      </c>
      <c r="H4617" s="12" t="inlineStr">
        <is>
          <t>CGE-1: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65</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I-I-0015</t>
        </is>
      </c>
      <c r="B4618" s="12" t="inlineStr">
        <is>
          <t>I</t>
        </is>
      </c>
      <c r="C4618" s="12" t="inlineStr">
        <is>
          <t>Modular / portable power</t>
        </is>
      </c>
      <c r="D4618" s="12" t="inlineStr">
        <is>
          <t>CGE-2 instrumentation</t>
        </is>
      </c>
      <c r="E4618" s="12" t="inlineStr">
        <is>
          <t>CGE-SWG</t>
        </is>
      </c>
      <c r="F4618" s="12" t="inlineStr">
        <is>
          <t>CGE-SWG: 13.8 kV switchgear container (engine breakers, site feeder)</t>
        </is>
      </c>
      <c r="G4618" s="12" t="inlineStr">
        <is>
          <t>CGE-2</t>
        </is>
      </c>
      <c r="H4618" s="12" t="inlineStr">
        <is>
          <t>CGE-2: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47</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I-I-0016</t>
        </is>
      </c>
      <c r="B4619" s="12" t="inlineStr">
        <is>
          <t>I</t>
        </is>
      </c>
      <c r="C4619" s="12" t="inlineStr">
        <is>
          <t>Modular / portable power</t>
        </is>
      </c>
      <c r="D4619" s="12" t="inlineStr">
        <is>
          <t>CGE-3 instrumentation</t>
        </is>
      </c>
      <c r="E4619" s="12" t="inlineStr">
        <is>
          <t>CGE-SWG</t>
        </is>
      </c>
      <c r="F4619" s="12" t="inlineStr">
        <is>
          <t>CGE-SWG: 13.8 kV switchgear container (engine breakers, site feeder)</t>
        </is>
      </c>
      <c r="G4619" s="12" t="inlineStr">
        <is>
          <t>CGE-3</t>
        </is>
      </c>
      <c r="H4619" s="12" t="inlineStr">
        <is>
          <t>CGE-3: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46</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I-I-0017</t>
        </is>
      </c>
      <c r="B4620" s="12" t="inlineStr">
        <is>
          <t>I</t>
        </is>
      </c>
      <c r="C4620" s="12" t="inlineStr">
        <is>
          <t>Modular / portable power</t>
        </is>
      </c>
      <c r="D4620" s="12" t="inlineStr">
        <is>
          <t>CGE-4 instrumentation</t>
        </is>
      </c>
      <c r="E4620" s="12" t="inlineStr">
        <is>
          <t>CGE-SWG</t>
        </is>
      </c>
      <c r="F4620" s="12" t="inlineStr">
        <is>
          <t>CGE-SWG: 13.8 kV switchgear container (engine breakers, site feeder)</t>
        </is>
      </c>
      <c r="G4620" s="12" t="inlineStr">
        <is>
          <t>CGE-4</t>
        </is>
      </c>
      <c r="H4620" s="12" t="inlineStr">
        <is>
          <t>CGE-4: containerized gas-engine generator ~4.4 MW, 13.8 kV (40 ft engi</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29</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I-I-0018</t>
        </is>
      </c>
      <c r="B4621" s="12" t="inlineStr">
        <is>
          <t>I</t>
        </is>
      </c>
      <c r="C4621" s="12" t="inlineStr">
        <is>
          <t>Modular / portable power</t>
        </is>
      </c>
      <c r="D4621" s="12" t="inlineStr">
        <is>
          <t>CGE-AUX monitoring: temperatures, gas relay, oil level</t>
        </is>
      </c>
      <c r="E4621" s="12" t="inlineStr">
        <is>
          <t>CGE-SWG</t>
        </is>
      </c>
      <c r="F4621" s="12" t="inlineStr">
        <is>
          <t>CGE-SWG: 13.8 kV switchgear container (engine breakers, site feeder)</t>
        </is>
      </c>
      <c r="G4621" s="12" t="inlineStr">
        <is>
          <t>CGE-AUX</t>
        </is>
      </c>
      <c r="H4621" s="12" t="inlineStr">
        <is>
          <t>CGE-AUX: 13.8 / 0.48 kV auxiliary transformer (cooling containers, rad</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12</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I-I-0019</t>
        </is>
      </c>
      <c r="B4622" s="12" t="inlineStr">
        <is>
          <t>I</t>
        </is>
      </c>
      <c r="C4622" s="12" t="inlineStr">
        <is>
          <t>Modular / portable power</t>
        </is>
      </c>
      <c r="D4622" s="12" t="inlineStr">
        <is>
          <t>CGE-GSU monitoring: temperatures, gas relay, oil level</t>
        </is>
      </c>
      <c r="E4622" s="12" t="inlineStr">
        <is>
          <t>CGE-SWG</t>
        </is>
      </c>
      <c r="F4622" s="12" t="inlineStr">
        <is>
          <t>CGE-SWG: 13.8 kV switchgear container (engine breakers, site feeder)</t>
        </is>
      </c>
      <c r="G4622" s="12" t="inlineStr">
        <is>
          <t>CGE-GSU</t>
        </is>
      </c>
      <c r="H4622" s="12" t="inlineStr">
        <is>
          <t>CGE-GSU: 13.8 / 34.5 kV step-up, ~20 MVA (containerized engines)</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10</v>
      </c>
      <c r="U4622" s="15" t="n">
        <v>32</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I-I-0020</t>
        </is>
      </c>
      <c r="B4623" s="12" t="inlineStr">
        <is>
          <t>I</t>
        </is>
      </c>
      <c r="C4623" s="12" t="inlineStr">
        <is>
          <t>Modular / portable power</t>
        </is>
      </c>
      <c r="D4623" s="12" t="inlineStr">
        <is>
          <t>CHP-1 instrumentation (incl. heat-recovery temperatures)</t>
        </is>
      </c>
      <c r="E4623" s="12" t="inlineStr">
        <is>
          <t>CHP-SWG</t>
        </is>
      </c>
      <c r="F4623" s="12" t="inlineStr">
        <is>
          <t>CHP-SWG: 13.8 kV switchgear container (4 engine breakers, site feeder)</t>
        </is>
      </c>
      <c r="G4623" s="12" t="inlineStr">
        <is>
          <t>CHP-1</t>
        </is>
      </c>
      <c r="H4623" s="12" t="inlineStr">
        <is>
          <t>CHP-1: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46</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I-I-0021</t>
        </is>
      </c>
      <c r="B4624" s="12" t="inlineStr">
        <is>
          <t>I</t>
        </is>
      </c>
      <c r="C4624" s="12" t="inlineStr">
        <is>
          <t>Modular / portable power</t>
        </is>
      </c>
      <c r="D4624" s="12" t="inlineStr">
        <is>
          <t>CHP-2 instrumentation (incl. heat-recovery temperatures)</t>
        </is>
      </c>
      <c r="E4624" s="12" t="inlineStr">
        <is>
          <t>CHP-SWG</t>
        </is>
      </c>
      <c r="F4624" s="12" t="inlineStr">
        <is>
          <t>CHP-SWG: 13.8 kV switchgear container (4 engine breakers, site feeder)</t>
        </is>
      </c>
      <c r="G4624" s="12" t="inlineStr">
        <is>
          <t>CHP-2</t>
        </is>
      </c>
      <c r="H4624" s="12" t="inlineStr">
        <is>
          <t>CHP-2: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58</v>
      </c>
      <c r="U4624" s="15" t="n">
        <v>32</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I-I-0022</t>
        </is>
      </c>
      <c r="B4625" s="12" t="inlineStr">
        <is>
          <t>I</t>
        </is>
      </c>
      <c r="C4625" s="12" t="inlineStr">
        <is>
          <t>Modular / portable power</t>
        </is>
      </c>
      <c r="D4625" s="12" t="inlineStr">
        <is>
          <t>CHP-3 instrumentation (incl. heat-recovery temperatures)</t>
        </is>
      </c>
      <c r="E4625" s="12" t="inlineStr">
        <is>
          <t>CHP-SWG</t>
        </is>
      </c>
      <c r="F4625" s="12" t="inlineStr">
        <is>
          <t>CHP-SWG: 13.8 kV switchgear container (4 engine breakers, site feeder)</t>
        </is>
      </c>
      <c r="G4625" s="12" t="inlineStr">
        <is>
          <t>CHP-3</t>
        </is>
      </c>
      <c r="H4625" s="12" t="inlineStr">
        <is>
          <t>CHP-3: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33</v>
      </c>
      <c r="U4625" s="15" t="n">
        <v>33</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I-I-0023</t>
        </is>
      </c>
      <c r="B4626" s="12" t="inlineStr">
        <is>
          <t>I</t>
        </is>
      </c>
      <c r="C4626" s="12" t="inlineStr">
        <is>
          <t>Modular / portable power</t>
        </is>
      </c>
      <c r="D4626" s="12" t="inlineStr">
        <is>
          <t>CHP-4 instrumentation (incl. heat-recovery temperatures)</t>
        </is>
      </c>
      <c r="E4626" s="12" t="inlineStr">
        <is>
          <t>CHP-SWG</t>
        </is>
      </c>
      <c r="F4626" s="12" t="inlineStr">
        <is>
          <t>CHP-SWG: 13.8 kV switchgear container (4 engine breakers, site feeder)</t>
        </is>
      </c>
      <c r="G4626" s="12" t="inlineStr">
        <is>
          <t>CHP-4</t>
        </is>
      </c>
      <c r="H4626" s="12" t="inlineStr">
        <is>
          <t>CHP-4: gas-engine generator ~2.5 MW with exhaust heat recovery, 13.8 k</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20</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I-I-0024</t>
        </is>
      </c>
      <c r="B4627" s="12" t="inlineStr">
        <is>
          <t>I</t>
        </is>
      </c>
      <c r="C4627" s="12" t="inlineStr">
        <is>
          <t>Modular / portable power</t>
        </is>
      </c>
      <c r="D4627" s="12" t="inlineStr">
        <is>
          <t>CHP-AUX monitoring: temperatures, gas relay, oil level</t>
        </is>
      </c>
      <c r="E4627" s="12" t="inlineStr">
        <is>
          <t>CHP-SWG</t>
        </is>
      </c>
      <c r="F4627" s="12" t="inlineStr">
        <is>
          <t>CHP-SWG: 13.8 kV switchgear container (4 engine breakers, site feeder)</t>
        </is>
      </c>
      <c r="G4627" s="12" t="inlineStr">
        <is>
          <t>CHP-AUX</t>
        </is>
      </c>
      <c r="H4627" s="12" t="inlineStr">
        <is>
          <t>CHP-AUX: 13.8 / 0.48 kV, 750 kVA auxiliary pad-mount (engine auxiliari</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I-I-0025</t>
        </is>
      </c>
      <c r="B4628" s="12" t="inlineStr">
        <is>
          <t>I</t>
        </is>
      </c>
      <c r="C4628" s="12" t="inlineStr">
        <is>
          <t>Modular / portable power</t>
        </is>
      </c>
      <c r="D4628" s="12" t="inlineStr">
        <is>
          <t>CHP-HR heat-recovery instrumentation (flows, temperatures, valves)</t>
        </is>
      </c>
      <c r="E4628" s="12" t="inlineStr">
        <is>
          <t>CHP-SWG</t>
        </is>
      </c>
      <c r="F4628" s="12" t="inlineStr">
        <is>
          <t>CHP-SWG: 13.8 kV switchgear container (4 engine breakers, site feeder)</t>
        </is>
      </c>
      <c r="G4628" s="12" t="inlineStr">
        <is>
          <t>CHP-HR</t>
        </is>
      </c>
      <c r="H4628" s="12" t="inlineStr">
        <is>
          <t>CHP-HR: exhaust heat-recovery rack (4 exhaust heat exchangers and stac</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40</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I-I-0026</t>
        </is>
      </c>
      <c r="B4629" s="12" t="inlineStr">
        <is>
          <t>I</t>
        </is>
      </c>
      <c r="C4629" s="12" t="inlineStr">
        <is>
          <t>Modular / portable power</t>
        </is>
      </c>
      <c r="D4629" s="12" t="inlineStr">
        <is>
          <t>Instrumentation</t>
        </is>
      </c>
      <c r="E4629" s="12" t="inlineStr"/>
      <c r="F4629" s="12" t="inlineStr">
        <is>
          <t>PCM: power control module</t>
        </is>
      </c>
      <c r="G4629" s="12" t="inlineStr"/>
      <c r="H4629" s="12" t="inlineStr">
        <is>
          <t>CONDITIONAL: BESS black-start alternative</t>
        </is>
      </c>
      <c r="I4629" s="12" t="inlineStr">
        <is>
          <t>Instrumentation</t>
        </is>
      </c>
      <c r="J4629" s="12" t="inlineStr">
        <is>
          <t>Instrumentation PLTC / TC-ER 300 V, #18 twisted shielded pairs, overall shield</t>
        </is>
      </c>
      <c r="K4629" s="12" t="inlineStr">
        <is>
          <t>PLTC|4 pr|18</t>
        </is>
      </c>
      <c r="L4629" s="12" t="inlineStr">
        <is>
          <t>4 pr</t>
        </is>
      </c>
      <c r="M4629" s="12" t="inlineStr">
        <is>
          <t>18</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I-I-0027</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I-I-0028</t>
        </is>
      </c>
      <c r="B4631" s="12" t="inlineStr">
        <is>
          <t>I</t>
        </is>
      </c>
      <c r="C4631" s="12" t="inlineStr">
        <is>
          <t>Modular / portable power</t>
        </is>
      </c>
      <c r="D4631" s="12" t="inlineStr">
        <is>
          <t>Thermocouples</t>
        </is>
      </c>
      <c r="E4631" s="12" t="inlineStr"/>
      <c r="F4631" s="12" t="inlineStr">
        <is>
          <t>PCM: power control module</t>
        </is>
      </c>
      <c r="G4631" s="12" t="inlineStr"/>
      <c r="H4631" s="12" t="inlineStr">
        <is>
          <t>CONDITIONAL: BESS black-start alternative</t>
        </is>
      </c>
      <c r="I4631" s="12" t="inlineStr">
        <is>
          <t>Instrumentation</t>
        </is>
      </c>
      <c r="J4631" s="12" t="inlineStr">
        <is>
          <t>Thermocouple extension KX, #16 shielded pairs, PLTC</t>
        </is>
      </c>
      <c r="K4631" s="12" t="inlineStr">
        <is>
          <t>TCX|12 pr|16</t>
        </is>
      </c>
      <c r="L4631" s="12" t="inlineStr">
        <is>
          <t>12 pr</t>
        </is>
      </c>
      <c r="M4631" s="12" t="inlineStr">
        <is>
          <t>16</t>
        </is>
      </c>
      <c r="N4631" s="12" t="n">
        <v>1</v>
      </c>
      <c r="O4631" s="12" t="n">
        <v>1</v>
      </c>
      <c r="P4631" s="12" t="n"/>
      <c r="Q4631" s="12" t="n"/>
      <c r="R4631" s="12" t="n"/>
      <c r="S4631" s="12" t="inlineStr">
        <is>
          <t>Duct bank</t>
        </is>
      </c>
      <c r="T4631" s="15" t="n">
        <v>516</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I-I-0029</t>
        </is>
      </c>
      <c r="B4632" s="12" t="inlineStr">
        <is>
          <t>I</t>
        </is>
      </c>
      <c r="C4632" s="12" t="inlineStr">
        <is>
          <t>Modular / portable power</t>
        </is>
      </c>
      <c r="D4632" s="12" t="inlineStr">
        <is>
          <t>Instrumentation</t>
        </is>
      </c>
      <c r="E4632" s="12" t="inlineStr"/>
      <c r="F4632" s="12" t="inlineStr">
        <is>
          <t>SC-1 PCM + 15 kV GCB</t>
        </is>
      </c>
      <c r="G4632" s="12" t="inlineStr"/>
      <c r="H4632" s="12" t="inlineStr">
        <is>
          <t>CONDITIONAL: SC-1 inlet chiller / evaporative cooler</t>
        </is>
      </c>
      <c r="I4632" s="12" t="inlineStr">
        <is>
          <t>Instrumentation</t>
        </is>
      </c>
      <c r="J4632" s="12" t="inlineStr">
        <is>
          <t>Instrumentation PLTC / TC-ER 300 V, #18 twisted shielded pairs, overall shield</t>
        </is>
      </c>
      <c r="K4632" s="12" t="inlineStr">
        <is>
          <t>PLTC|4 pr|18</t>
        </is>
      </c>
      <c r="L4632" s="12" t="inlineStr">
        <is>
          <t>4 pr</t>
        </is>
      </c>
      <c r="M4632" s="12" t="inlineStr">
        <is>
          <t>18</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I-I-0030</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I-I-0031</t>
        </is>
      </c>
      <c r="B4634" s="12" t="inlineStr">
        <is>
          <t>I</t>
        </is>
      </c>
      <c r="C4634" s="12" t="inlineStr">
        <is>
          <t>Modular / portable power</t>
        </is>
      </c>
      <c r="D4634" s="12" t="inlineStr">
        <is>
          <t>Thermocouples</t>
        </is>
      </c>
      <c r="E4634" s="12" t="inlineStr"/>
      <c r="F4634" s="12" t="inlineStr">
        <is>
          <t>SC-1 PCM + 15 kV GCB</t>
        </is>
      </c>
      <c r="G4634" s="12" t="inlineStr"/>
      <c r="H4634" s="12" t="inlineStr">
        <is>
          <t>CONDITIONAL: SC-1 inlet chiller / evaporative cooler</t>
        </is>
      </c>
      <c r="I4634" s="12" t="inlineStr">
        <is>
          <t>Instrumentation</t>
        </is>
      </c>
      <c r="J4634" s="12" t="inlineStr">
        <is>
          <t>Thermocouple extension KX, #16 shielded pairs, PLTC</t>
        </is>
      </c>
      <c r="K4634" s="12" t="inlineStr">
        <is>
          <t>TCX|12 pr|16</t>
        </is>
      </c>
      <c r="L4634" s="12" t="inlineStr">
        <is>
          <t>12 pr</t>
        </is>
      </c>
      <c r="M4634" s="12" t="inlineStr">
        <is>
          <t>16</t>
        </is>
      </c>
      <c r="N4634" s="12" t="n">
        <v>1</v>
      </c>
      <c r="O4634" s="12" t="n">
        <v>1</v>
      </c>
      <c r="P4634" s="12" t="n"/>
      <c r="Q4634" s="12" t="n"/>
      <c r="R4634" s="12" t="n"/>
      <c r="S4634" s="12" t="inlineStr">
        <is>
          <t>Duct bank</t>
        </is>
      </c>
      <c r="T4634" s="15" t="n">
        <v>270</v>
      </c>
      <c r="U4634" s="15" t="n">
        <v>78</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I-I-0032</t>
        </is>
      </c>
      <c r="B4635" s="12" t="inlineStr">
        <is>
          <t>I</t>
        </is>
      </c>
      <c r="C4635" s="12" t="inlineStr">
        <is>
          <t>Modular / portable power</t>
        </is>
      </c>
      <c r="D4635" s="12" t="inlineStr">
        <is>
          <t>Instrumentation</t>
        </is>
      </c>
      <c r="E4635" s="12" t="inlineStr"/>
      <c r="F4635" s="12" t="inlineStr">
        <is>
          <t>SC-2 PCM + 15 kV GCB</t>
        </is>
      </c>
      <c r="G4635" s="12" t="inlineStr"/>
      <c r="H4635" s="12" t="inlineStr">
        <is>
          <t>CONDITIONAL: SC-2 inlet chiller / evaporative cooler</t>
        </is>
      </c>
      <c r="I4635" s="12" t="inlineStr">
        <is>
          <t>Instrumentation</t>
        </is>
      </c>
      <c r="J4635" s="12" t="inlineStr">
        <is>
          <t>Instrumentation PLTC / TC-ER 300 V, #18 twisted shielded pairs, overall shield</t>
        </is>
      </c>
      <c r="K4635" s="12" t="inlineStr">
        <is>
          <t>PLTC|4 pr|18</t>
        </is>
      </c>
      <c r="L4635" s="12" t="inlineStr">
        <is>
          <t>4 pr</t>
        </is>
      </c>
      <c r="M4635" s="12" t="inlineStr">
        <is>
          <t>18</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I-I-0033</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I-I-0034</t>
        </is>
      </c>
      <c r="B4637" s="12" t="inlineStr">
        <is>
          <t>I</t>
        </is>
      </c>
      <c r="C4637" s="12" t="inlineStr">
        <is>
          <t>Modular / portable power</t>
        </is>
      </c>
      <c r="D4637" s="12" t="inlineStr">
        <is>
          <t>Thermocouples</t>
        </is>
      </c>
      <c r="E4637" s="12" t="inlineStr"/>
      <c r="F4637" s="12" t="inlineStr">
        <is>
          <t>SC-2 PCM + 15 kV GCB</t>
        </is>
      </c>
      <c r="G4637" s="12" t="inlineStr"/>
      <c r="H4637" s="12" t="inlineStr">
        <is>
          <t>CONDITIONAL: SC-2 inlet chiller / evaporative cooler</t>
        </is>
      </c>
      <c r="I4637" s="12" t="inlineStr">
        <is>
          <t>Instrumentation</t>
        </is>
      </c>
      <c r="J4637" s="12" t="inlineStr">
        <is>
          <t>Thermocouple extension KX, #16 shielded pairs, PLTC</t>
        </is>
      </c>
      <c r="K4637" s="12" t="inlineStr">
        <is>
          <t>TCX|12 pr|16</t>
        </is>
      </c>
      <c r="L4637" s="12" t="inlineStr">
        <is>
          <t>12 pr</t>
        </is>
      </c>
      <c r="M4637" s="12" t="inlineStr">
        <is>
          <t>16</t>
        </is>
      </c>
      <c r="N4637" s="12" t="n">
        <v>1</v>
      </c>
      <c r="O4637" s="12" t="n">
        <v>1</v>
      </c>
      <c r="P4637" s="12" t="n"/>
      <c r="Q4637" s="12" t="n"/>
      <c r="R4637" s="12" t="n"/>
      <c r="S4637" s="12" t="inlineStr">
        <is>
          <t>Duct bank</t>
        </is>
      </c>
      <c r="T4637" s="15" t="n">
        <v>10</v>
      </c>
      <c r="U4637" s="15" t="n">
        <v>106</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I-I-0035</t>
        </is>
      </c>
      <c r="B4638" s="12" t="inlineStr">
        <is>
          <t>I</t>
        </is>
      </c>
      <c r="C4638" s="12" t="inlineStr">
        <is>
          <t>Modular / portable power</t>
        </is>
      </c>
      <c r="D4638" s="12" t="inlineStr">
        <is>
          <t>Analog instrument to JB JB-Demin tank + trail-AI01: 4 x 1 pr (field cables)</t>
        </is>
      </c>
      <c r="E4638" s="12" t="inlineStr"/>
      <c r="F4638" s="12" t="inlineStr">
        <is>
          <t>Demin tank + trailer pad</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4</v>
      </c>
      <c r="O4638" s="12" t="n">
        <v>1</v>
      </c>
      <c r="P4638" s="12" t="n"/>
      <c r="Q4638" s="12" t="n"/>
      <c r="R4638" s="12" t="n"/>
      <c r="S4638" s="12" t="inlineStr">
        <is>
          <t>Tray / conduit</t>
        </is>
      </c>
      <c r="T4638" s="15" t="n">
        <v>78</v>
      </c>
      <c r="U4638" s="15" t="n">
        <v>10</v>
      </c>
      <c r="V4638" s="15">
        <f>ROUNDUP((T4638+U4638+2*'Read Me'!$B$13)*(1+'Read Me'!$B$12),-1)</f>
        <v/>
      </c>
      <c r="W4638" s="15">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I-I-0036</t>
        </is>
      </c>
      <c r="B4639" s="12" t="inlineStr">
        <is>
          <t>I</t>
        </is>
      </c>
      <c r="C4639" s="12" t="inlineStr">
        <is>
          <t>Modular / portable power</t>
        </is>
      </c>
      <c r="D4639" s="12" t="inlineStr">
        <is>
          <t>Home run JB-Demin tank + trail-AI01 to the control / marshalling room</t>
        </is>
      </c>
      <c r="E4639" s="12" t="inlineStr"/>
      <c r="F4639" s="12" t="inlineStr">
        <is>
          <t>SC-2 PCM + 15 kV GCB</t>
        </is>
      </c>
      <c r="G4639" s="12" t="inlineStr">
        <is>
          <t>JB-Demin tank + trail-AI01</t>
        </is>
      </c>
      <c r="H4639" s="12" t="inlineStr">
        <is>
          <t>Demin tank + trailer pad</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5" t="n">
        <v>8</v>
      </c>
      <c r="U4639" s="15" t="n">
        <v>64</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I-I-0037</t>
        </is>
      </c>
      <c r="B4640" s="12" t="inlineStr">
        <is>
          <t>I</t>
        </is>
      </c>
      <c r="C4640" s="12" t="inlineStr">
        <is>
          <t>Modular / portable power</t>
        </is>
      </c>
      <c r="D4640" s="12" t="inlineStr">
        <is>
          <t>Discrete device to JB JB-Demin tank + trail-DI01: 4 x 1 pr (field cables)</t>
        </is>
      </c>
      <c r="E4640" s="12" t="inlineStr"/>
      <c r="F4640" s="12" t="inlineStr">
        <is>
          <t>Demin tank + trailer pad</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4</v>
      </c>
      <c r="O4640" s="12" t="n">
        <v>1</v>
      </c>
      <c r="P4640" s="12" t="n"/>
      <c r="Q4640" s="12" t="n"/>
      <c r="R4640" s="12" t="n"/>
      <c r="S4640" s="12" t="inlineStr">
        <is>
          <t>Tray / conduit</t>
        </is>
      </c>
      <c r="T4640" s="15" t="n">
        <v>78</v>
      </c>
      <c r="U4640" s="15" t="n">
        <v>10</v>
      </c>
      <c r="V4640" s="15">
        <f>ROUNDUP((T4640+U4640+2*'Read Me'!$B$13)*(1+'Read Me'!$B$12),-1)</f>
        <v/>
      </c>
      <c r="W4640" s="15">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I-I-0038</t>
        </is>
      </c>
      <c r="B4641" s="12" t="inlineStr">
        <is>
          <t>I</t>
        </is>
      </c>
      <c r="C4641" s="12" t="inlineStr">
        <is>
          <t>Modular / portable power</t>
        </is>
      </c>
      <c r="D4641" s="12" t="inlineStr">
        <is>
          <t>Home run JB-Demin tank + trail-DI01 to the control / marshalling room</t>
        </is>
      </c>
      <c r="E4641" s="12" t="inlineStr"/>
      <c r="F4641" s="12" t="inlineStr">
        <is>
          <t>SC-2 PCM + 15 kV GCB</t>
        </is>
      </c>
      <c r="G4641" s="12" t="inlineStr">
        <is>
          <t>JB-Demin tank + trail-DI01</t>
        </is>
      </c>
      <c r="H4641" s="12" t="inlineStr">
        <is>
          <t>Demin tank + trailer pad</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5" t="n">
        <v>8</v>
      </c>
      <c r="U4641" s="15" t="n">
        <v>64</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I-I-0039</t>
        </is>
      </c>
      <c r="B4642" s="12" t="inlineStr">
        <is>
          <t>I</t>
        </is>
      </c>
      <c r="C4642" s="12" t="inlineStr">
        <is>
          <t>Modular / portable power</t>
        </is>
      </c>
      <c r="D4642" s="12" t="inlineStr">
        <is>
          <t>Instrumentation</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Instrumentation PLTC / TC-ER 300 V, #18 twisted shielded pairs, overall shield</t>
        </is>
      </c>
      <c r="K4642" s="12" t="inlineStr">
        <is>
          <t>PLTC|4 pr|18</t>
        </is>
      </c>
      <c r="L4642" s="12" t="inlineStr">
        <is>
          <t>4 pr</t>
        </is>
      </c>
      <c r="M4642" s="12" t="inlineStr">
        <is>
          <t>18</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I-I-0040</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I-I-0041</t>
        </is>
      </c>
      <c r="B4644" s="12" t="inlineStr">
        <is>
          <t>I</t>
        </is>
      </c>
      <c r="C4644" s="12" t="inlineStr">
        <is>
          <t>Modular / portable power</t>
        </is>
      </c>
      <c r="D4644" s="12" t="inlineStr">
        <is>
          <t>Thermocouples</t>
        </is>
      </c>
      <c r="E4644" s="12" t="inlineStr">
        <is>
          <t>PAD-EH</t>
        </is>
      </c>
      <c r="F4644" s="12" t="inlineStr">
        <is>
          <t>PAD-EH 13.8 kV switchgear e-house</t>
        </is>
      </c>
      <c r="G4644" s="12" t="inlineStr"/>
      <c r="H4644" s="12" t="inlineStr">
        <is>
          <t>FC-5..8 inverter / AC cabinet / desulfurizer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Surface</t>
        </is>
      </c>
      <c r="T4644" s="15" t="n">
        <v>198</v>
      </c>
      <c r="U4644" s="15" t="n">
        <v>32</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I-I-0042</t>
        </is>
      </c>
      <c r="B4645" s="12" t="inlineStr">
        <is>
          <t>I</t>
        </is>
      </c>
      <c r="C4645" s="12" t="inlineStr">
        <is>
          <t>Modular / portable power</t>
        </is>
      </c>
      <c r="D4645" s="12" t="inlineStr">
        <is>
          <t>Analog instrument to JB JB-FC-5-AI01: 10 x 1 pr (field cables)</t>
        </is>
      </c>
      <c r="E4645" s="12" t="inlineStr">
        <is>
          <t>FC-5</t>
        </is>
      </c>
      <c r="F4645" s="12" t="inlineStr">
        <is>
          <t>FC-5: SOFC module (200-300 kW class)</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PLTC|1 pr|16</t>
        </is>
      </c>
      <c r="L4645" s="12" t="inlineStr">
        <is>
          <t>1 pr</t>
        </is>
      </c>
      <c r="M4645" s="12" t="inlineStr">
        <is>
          <t>16</t>
        </is>
      </c>
      <c r="N4645" s="12" t="n">
        <v>10</v>
      </c>
      <c r="O4645" s="12" t="n">
        <v>1</v>
      </c>
      <c r="P4645" s="12" t="n"/>
      <c r="Q4645" s="12" t="n"/>
      <c r="R4645" s="12" t="n"/>
      <c r="S4645" s="12" t="inlineStr">
        <is>
          <t>Tray / conduit</t>
        </is>
      </c>
      <c r="T4645" s="15" t="n">
        <v>45</v>
      </c>
      <c r="U4645" s="15" t="n">
        <v>10</v>
      </c>
      <c r="V4645" s="15">
        <f>ROUNDUP((T4645+U4645+2*'Read Me'!$B$13)*(1+'Read Me'!$B$12),-1)</f>
        <v/>
      </c>
      <c r="W4645" s="15">
        <f>V4645*N4645*O4645</f>
        <v/>
      </c>
      <c r="X4645" s="12">
        <f>IF(LEFT(I4645,2)="MV",2*N4645*IF(L4645="1/C",O4645,1),0)</f>
        <v/>
      </c>
      <c r="Y4645" s="12">
        <f>IF(OR(LEFT(K4645,4)="LVAX",LEFT(K4645,6)="MV15AX",LEFT(K4645,4)="CTAX",LEFT(K4645,2)="W|"),2*N4645*O4645,0)</f>
        <v/>
      </c>
      <c r="Z4645" s="12" t="inlineStr">
        <is>
          <t>device-to-JB field wiring, one cable per device</t>
        </is>
      </c>
      <c r="AA4645" s="12">
        <f>N4645*O4645</f>
        <v/>
      </c>
    </row>
    <row r="4646">
      <c r="A4646" s="12" t="inlineStr">
        <is>
          <t>I-I-0043</t>
        </is>
      </c>
      <c r="B4646" s="12" t="inlineStr">
        <is>
          <t>I</t>
        </is>
      </c>
      <c r="C4646" s="12" t="inlineStr">
        <is>
          <t>Modular / portable power</t>
        </is>
      </c>
      <c r="D4646" s="12" t="inlineStr">
        <is>
          <t>Home run JB-FC-5-AI01 to the control / marshalling room</t>
        </is>
      </c>
      <c r="E4646" s="12" t="inlineStr">
        <is>
          <t>PAD-EH</t>
        </is>
      </c>
      <c r="F4646" s="12" t="inlineStr">
        <is>
          <t>PAD-EH 13.8 kV switchgear e-house</t>
        </is>
      </c>
      <c r="G4646" s="12" t="inlineStr">
        <is>
          <t>JB-FC-5-AI01</t>
        </is>
      </c>
      <c r="H4646" s="12" t="inlineStr">
        <is>
          <t>FC-5: SOFC module (200-300 kW class)</t>
        </is>
      </c>
      <c r="I4646" s="12" t="inlineStr">
        <is>
          <t>Instrumentation</t>
        </is>
      </c>
      <c r="J4646" s="12" t="inlineStr">
        <is>
          <t>Instrumentation PLTC / TC-ER 300 V, #18 twisted shielded pairs, overall shield</t>
        </is>
      </c>
      <c r="K4646" s="12" t="inlineStr">
        <is>
          <t>PLTC|24 pr|18</t>
        </is>
      </c>
      <c r="L4646" s="12" t="inlineStr">
        <is>
          <t>24 pr</t>
        </is>
      </c>
      <c r="M4646" s="12" t="inlineStr">
        <is>
          <t>18</t>
        </is>
      </c>
      <c r="N4646" s="12" t="n">
        <v>1</v>
      </c>
      <c r="O4646" s="12" t="n">
        <v>1</v>
      </c>
      <c r="P4646" s="12" t="n"/>
      <c r="Q4646" s="12" t="n"/>
      <c r="R4646" s="12" t="n"/>
      <c r="S4646" s="12" t="inlineStr">
        <is>
          <t>Surface</t>
        </is>
      </c>
      <c r="T4646" s="15" t="n">
        <v>251</v>
      </c>
      <c r="U4646" s="15" t="n">
        <v>44</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I-I-0044</t>
        </is>
      </c>
      <c r="B4647" s="12" t="inlineStr">
        <is>
          <t>I</t>
        </is>
      </c>
      <c r="C4647" s="12" t="inlineStr">
        <is>
          <t>Modular / portable power</t>
        </is>
      </c>
      <c r="D4647" s="12" t="inlineStr">
        <is>
          <t>Discrete device to JB JB-FC-5-DI01: 10 x 1 pr (field cables)</t>
        </is>
      </c>
      <c r="E4647" s="12" t="inlineStr">
        <is>
          <t>FC-5</t>
        </is>
      </c>
      <c r="F4647" s="12" t="inlineStr">
        <is>
          <t>FC-5: SOFC module (200-300 kW class)</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PLTC|1 pr|16</t>
        </is>
      </c>
      <c r="L4647" s="12" t="inlineStr">
        <is>
          <t>1 pr</t>
        </is>
      </c>
      <c r="M4647" s="12" t="inlineStr">
        <is>
          <t>16</t>
        </is>
      </c>
      <c r="N4647" s="12" t="n">
        <v>10</v>
      </c>
      <c r="O4647" s="12" t="n">
        <v>1</v>
      </c>
      <c r="P4647" s="12" t="n"/>
      <c r="Q4647" s="12" t="n"/>
      <c r="R4647" s="12" t="n"/>
      <c r="S4647" s="12" t="inlineStr">
        <is>
          <t>Tray / conduit</t>
        </is>
      </c>
      <c r="T4647" s="15" t="n">
        <v>45</v>
      </c>
      <c r="U4647" s="15" t="n">
        <v>10</v>
      </c>
      <c r="V4647" s="15">
        <f>ROUNDUP((T4647+U4647+2*'Read Me'!$B$13)*(1+'Read Me'!$B$12),-1)</f>
        <v/>
      </c>
      <c r="W4647" s="15">
        <f>V4647*N4647*O4647</f>
        <v/>
      </c>
      <c r="X4647" s="12">
        <f>IF(LEFT(I4647,2)="MV",2*N4647*IF(L4647="1/C",O4647,1),0)</f>
        <v/>
      </c>
      <c r="Y4647" s="12">
        <f>IF(OR(LEFT(K4647,4)="LVAX",LEFT(K4647,6)="MV15AX",LEFT(K4647,4)="CTAX",LEFT(K4647,2)="W|"),2*N4647*O4647,0)</f>
        <v/>
      </c>
      <c r="Z4647" s="12" t="inlineStr">
        <is>
          <t>device-to-JB field wiring, one cable per device</t>
        </is>
      </c>
      <c r="AA4647" s="12">
        <f>N4647*O4647</f>
        <v/>
      </c>
    </row>
    <row r="4648">
      <c r="A4648" s="12" t="inlineStr">
        <is>
          <t>I-I-0045</t>
        </is>
      </c>
      <c r="B4648" s="12" t="inlineStr">
        <is>
          <t>I</t>
        </is>
      </c>
      <c r="C4648" s="12" t="inlineStr">
        <is>
          <t>Modular / portable power</t>
        </is>
      </c>
      <c r="D4648" s="12" t="inlineStr">
        <is>
          <t>Home run JB-FC-5-DI01 to the control / marshalling room</t>
        </is>
      </c>
      <c r="E4648" s="12" t="inlineStr">
        <is>
          <t>PAD-EH</t>
        </is>
      </c>
      <c r="F4648" s="12" t="inlineStr">
        <is>
          <t>PAD-EH 13.8 kV switchgear e-house</t>
        </is>
      </c>
      <c r="G4648" s="12" t="inlineStr">
        <is>
          <t>JB-FC-5-DI01</t>
        </is>
      </c>
      <c r="H4648" s="12" t="inlineStr">
        <is>
          <t>FC-5: SOFC module (200-300 kW class)</t>
        </is>
      </c>
      <c r="I4648" s="12" t="inlineStr">
        <is>
          <t>Instrumentation</t>
        </is>
      </c>
      <c r="J4648" s="12" t="inlineStr">
        <is>
          <t>Instrumentation PLTC / TC-ER 300 V, #18 twisted shielded pairs, overall shield</t>
        </is>
      </c>
      <c r="K4648" s="12" t="inlineStr">
        <is>
          <t>PLTC|24 pr|18</t>
        </is>
      </c>
      <c r="L4648" s="12" t="inlineStr">
        <is>
          <t>24 pr</t>
        </is>
      </c>
      <c r="M4648" s="12" t="inlineStr">
        <is>
          <t>18</t>
        </is>
      </c>
      <c r="N4648" s="12" t="n">
        <v>1</v>
      </c>
      <c r="O4648" s="12" t="n">
        <v>1</v>
      </c>
      <c r="P4648" s="12" t="n"/>
      <c r="Q4648" s="12" t="n"/>
      <c r="R4648" s="12" t="n"/>
      <c r="S4648" s="12" t="inlineStr">
        <is>
          <t>Surface</t>
        </is>
      </c>
      <c r="T4648" s="15" t="n">
        <v>251</v>
      </c>
      <c r="U4648" s="15" t="n">
        <v>44</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I-I-0046</t>
        </is>
      </c>
      <c r="B4649" s="12" t="inlineStr">
        <is>
          <t>I</t>
        </is>
      </c>
      <c r="C4649" s="12" t="inlineStr">
        <is>
          <t>Modular / portable power</t>
        </is>
      </c>
      <c r="D4649" s="12" t="inlineStr">
        <is>
          <t>Analog instrument to JB JB-FC-6-AI01: 10 x 1 pr (field cables)</t>
        </is>
      </c>
      <c r="E4649" s="12" t="inlineStr">
        <is>
          <t>FC-6</t>
        </is>
      </c>
      <c r="F4649" s="12" t="inlineStr">
        <is>
          <t>FC-6: SOFC module (200-300 kW class)</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10</v>
      </c>
      <c r="O4649" s="12" t="n">
        <v>1</v>
      </c>
      <c r="P4649" s="12" t="n"/>
      <c r="Q4649" s="12" t="n"/>
      <c r="R4649" s="12" t="n"/>
      <c r="S4649" s="12" t="inlineStr">
        <is>
          <t>Tray / conduit</t>
        </is>
      </c>
      <c r="T4649" s="15" t="n">
        <v>45</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I-I-0047</t>
        </is>
      </c>
      <c r="B4650" s="12" t="inlineStr">
        <is>
          <t>I</t>
        </is>
      </c>
      <c r="C4650" s="12" t="inlineStr">
        <is>
          <t>Modular / portable power</t>
        </is>
      </c>
      <c r="D4650" s="12" t="inlineStr">
        <is>
          <t>Home run JB-FC-6-AI01 to the control / marshalling room</t>
        </is>
      </c>
      <c r="E4650" s="12" t="inlineStr">
        <is>
          <t>PAD-EH</t>
        </is>
      </c>
      <c r="F4650" s="12" t="inlineStr">
        <is>
          <t>PAD-EH 13.8 kV switchgear e-house</t>
        </is>
      </c>
      <c r="G4650" s="12" t="inlineStr">
        <is>
          <t>JB-FC-6-AI01</t>
        </is>
      </c>
      <c r="H4650" s="12" t="inlineStr">
        <is>
          <t>FC-6: SOFC module (200-300 kW class)</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Surface</t>
        </is>
      </c>
      <c r="T4650" s="15" t="n">
        <v>251</v>
      </c>
      <c r="U4650" s="15" t="n">
        <v>37</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I-I-0048</t>
        </is>
      </c>
      <c r="B4651" s="12" t="inlineStr">
        <is>
          <t>I</t>
        </is>
      </c>
      <c r="C4651" s="12" t="inlineStr">
        <is>
          <t>Modular / portable power</t>
        </is>
      </c>
      <c r="D4651" s="12" t="inlineStr">
        <is>
          <t>Discrete device to JB JB-FC-6-DI01: 10 x 1 pr (field cables)</t>
        </is>
      </c>
      <c r="E4651" s="12" t="inlineStr">
        <is>
          <t>FC-6</t>
        </is>
      </c>
      <c r="F4651" s="12" t="inlineStr">
        <is>
          <t>FC-6: SOFC module (200-300 kW class)</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10</v>
      </c>
      <c r="O4651" s="12" t="n">
        <v>1</v>
      </c>
      <c r="P4651" s="12" t="n"/>
      <c r="Q4651" s="12" t="n"/>
      <c r="R4651" s="12" t="n"/>
      <c r="S4651" s="12" t="inlineStr">
        <is>
          <t>Tray / conduit</t>
        </is>
      </c>
      <c r="T4651" s="15" t="n">
        <v>45</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I-I-0049</t>
        </is>
      </c>
      <c r="B4652" s="12" t="inlineStr">
        <is>
          <t>I</t>
        </is>
      </c>
      <c r="C4652" s="12" t="inlineStr">
        <is>
          <t>Modular / portable power</t>
        </is>
      </c>
      <c r="D4652" s="12" t="inlineStr">
        <is>
          <t>Home run JB-FC-6-DI01 to the control / marshalling room</t>
        </is>
      </c>
      <c r="E4652" s="12" t="inlineStr">
        <is>
          <t>PAD-EH</t>
        </is>
      </c>
      <c r="F4652" s="12" t="inlineStr">
        <is>
          <t>PAD-EH 13.8 kV switchgear e-house</t>
        </is>
      </c>
      <c r="G4652" s="12" t="inlineStr">
        <is>
          <t>JB-FC-6-DI01</t>
        </is>
      </c>
      <c r="H4652" s="12" t="inlineStr">
        <is>
          <t>FC-6: SOFC module (200-300 kW class)</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Surface</t>
        </is>
      </c>
      <c r="T4652" s="15" t="n">
        <v>251</v>
      </c>
      <c r="U4652" s="15" t="n">
        <v>37</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I-I-0050</t>
        </is>
      </c>
      <c r="B4653" s="12" t="inlineStr">
        <is>
          <t>I</t>
        </is>
      </c>
      <c r="C4653" s="12" t="inlineStr">
        <is>
          <t>Modular / portable power</t>
        </is>
      </c>
      <c r="D4653" s="12" t="inlineStr">
        <is>
          <t>Analog instrument to JB JB-FC-7-AI01: 10 x 1 pr (field cables)</t>
        </is>
      </c>
      <c r="E4653" s="12" t="inlineStr">
        <is>
          <t>FC-7</t>
        </is>
      </c>
      <c r="F4653" s="12" t="inlineStr">
        <is>
          <t>FC-7: SOFC module (200-300 kW class)</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PLTC|1 pr|16</t>
        </is>
      </c>
      <c r="L4653" s="12" t="inlineStr">
        <is>
          <t>1 pr</t>
        </is>
      </c>
      <c r="M4653" s="12" t="inlineStr">
        <is>
          <t>16</t>
        </is>
      </c>
      <c r="N4653" s="12" t="n">
        <v>10</v>
      </c>
      <c r="O4653" s="12" t="n">
        <v>1</v>
      </c>
      <c r="P4653" s="12" t="n"/>
      <c r="Q4653" s="12" t="n"/>
      <c r="R4653" s="12" t="n"/>
      <c r="S4653" s="12" t="inlineStr">
        <is>
          <t>Tray / conduit</t>
        </is>
      </c>
      <c r="T4653" s="15" t="n">
        <v>45</v>
      </c>
      <c r="U4653" s="15" t="n">
        <v>10</v>
      </c>
      <c r="V4653" s="15">
        <f>ROUNDUP((T4653+U4653+2*'Read Me'!$B$13)*(1+'Read Me'!$B$12),-1)</f>
        <v/>
      </c>
      <c r="W4653" s="15">
        <f>V4653*N4653*O4653</f>
        <v/>
      </c>
      <c r="X4653" s="12">
        <f>IF(LEFT(I4653,2)="MV",2*N4653*IF(L4653="1/C",O4653,1),0)</f>
        <v/>
      </c>
      <c r="Y4653" s="12">
        <f>IF(OR(LEFT(K4653,4)="LVAX",LEFT(K4653,6)="MV15AX",LEFT(K4653,4)="CTAX",LEFT(K4653,2)="W|"),2*N4653*O4653,0)</f>
        <v/>
      </c>
      <c r="Z4653" s="12" t="inlineStr">
        <is>
          <t>device-to-JB field wiring, one cable per device</t>
        </is>
      </c>
      <c r="AA4653" s="12">
        <f>N4653*O4653</f>
        <v/>
      </c>
    </row>
    <row r="4654">
      <c r="A4654" s="12" t="inlineStr">
        <is>
          <t>I-I-0051</t>
        </is>
      </c>
      <c r="B4654" s="12" t="inlineStr">
        <is>
          <t>I</t>
        </is>
      </c>
      <c r="C4654" s="12" t="inlineStr">
        <is>
          <t>Modular / portable power</t>
        </is>
      </c>
      <c r="D4654" s="12" t="inlineStr">
        <is>
          <t>Home run JB-FC-7-AI01 to the control / marshalling room</t>
        </is>
      </c>
      <c r="E4654" s="12" t="inlineStr">
        <is>
          <t>PAD-EH</t>
        </is>
      </c>
      <c r="F4654" s="12" t="inlineStr">
        <is>
          <t>PAD-EH 13.8 kV switchgear e-house</t>
        </is>
      </c>
      <c r="G4654" s="12" t="inlineStr">
        <is>
          <t>JB-FC-7-AI01</t>
        </is>
      </c>
      <c r="H4654" s="12" t="inlineStr">
        <is>
          <t>FC-7: SOFC module (200-300 kW class)</t>
        </is>
      </c>
      <c r="I4654" s="12" t="inlineStr">
        <is>
          <t>Instrumentation</t>
        </is>
      </c>
      <c r="J4654" s="12" t="inlineStr">
        <is>
          <t>Instrumentation PLTC / TC-ER 300 V, #18 twisted shielded pairs, overall shield</t>
        </is>
      </c>
      <c r="K4654" s="12" t="inlineStr">
        <is>
          <t>PLTC|24 pr|18</t>
        </is>
      </c>
      <c r="L4654" s="12" t="inlineStr">
        <is>
          <t>24 pr</t>
        </is>
      </c>
      <c r="M4654" s="12" t="inlineStr">
        <is>
          <t>18</t>
        </is>
      </c>
      <c r="N4654" s="12" t="n">
        <v>1</v>
      </c>
      <c r="O4654" s="12" t="n">
        <v>1</v>
      </c>
      <c r="P4654" s="12" t="n"/>
      <c r="Q4654" s="12" t="n"/>
      <c r="R4654" s="12" t="n"/>
      <c r="S4654" s="12" t="inlineStr">
        <is>
          <t>Surface</t>
        </is>
      </c>
      <c r="T4654" s="15" t="n">
        <v>239</v>
      </c>
      <c r="U4654" s="15" t="n">
        <v>37</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I-I-0052</t>
        </is>
      </c>
      <c r="B4655" s="12" t="inlineStr">
        <is>
          <t>I</t>
        </is>
      </c>
      <c r="C4655" s="12" t="inlineStr">
        <is>
          <t>Modular / portable power</t>
        </is>
      </c>
      <c r="D4655" s="12" t="inlineStr">
        <is>
          <t>Discrete device to JB JB-FC-7-DI01: 10 x 1 pr (field cables)</t>
        </is>
      </c>
      <c r="E4655" s="12" t="inlineStr">
        <is>
          <t>FC-7</t>
        </is>
      </c>
      <c r="F4655" s="12" t="inlineStr">
        <is>
          <t>FC-7: SOFC module (200-300 kW class)</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PLTC|1 pr|16</t>
        </is>
      </c>
      <c r="L4655" s="12" t="inlineStr">
        <is>
          <t>1 pr</t>
        </is>
      </c>
      <c r="M4655" s="12" t="inlineStr">
        <is>
          <t>16</t>
        </is>
      </c>
      <c r="N4655" s="12" t="n">
        <v>10</v>
      </c>
      <c r="O4655" s="12" t="n">
        <v>1</v>
      </c>
      <c r="P4655" s="12" t="n"/>
      <c r="Q4655" s="12" t="n"/>
      <c r="R4655" s="12" t="n"/>
      <c r="S4655" s="12" t="inlineStr">
        <is>
          <t>Tray / conduit</t>
        </is>
      </c>
      <c r="T4655" s="15" t="n">
        <v>45</v>
      </c>
      <c r="U4655" s="15" t="n">
        <v>10</v>
      </c>
      <c r="V4655" s="15">
        <f>ROUNDUP((T4655+U4655+2*'Read Me'!$B$13)*(1+'Read Me'!$B$12),-1)</f>
        <v/>
      </c>
      <c r="W4655" s="15">
        <f>V4655*N4655*O4655</f>
        <v/>
      </c>
      <c r="X4655" s="12">
        <f>IF(LEFT(I4655,2)="MV",2*N4655*IF(L4655="1/C",O4655,1),0)</f>
        <v/>
      </c>
      <c r="Y4655" s="12">
        <f>IF(OR(LEFT(K4655,4)="LVAX",LEFT(K4655,6)="MV15AX",LEFT(K4655,4)="CTAX",LEFT(K4655,2)="W|"),2*N4655*O4655,0)</f>
        <v/>
      </c>
      <c r="Z4655" s="12" t="inlineStr">
        <is>
          <t>device-to-JB field wiring, one cable per device</t>
        </is>
      </c>
      <c r="AA4655" s="12">
        <f>N4655*O4655</f>
        <v/>
      </c>
    </row>
    <row r="4656">
      <c r="A4656" s="12" t="inlineStr">
        <is>
          <t>I-I-0053</t>
        </is>
      </c>
      <c r="B4656" s="12" t="inlineStr">
        <is>
          <t>I</t>
        </is>
      </c>
      <c r="C4656" s="12" t="inlineStr">
        <is>
          <t>Modular / portable power</t>
        </is>
      </c>
      <c r="D4656" s="12" t="inlineStr">
        <is>
          <t>Home run JB-FC-7-DI01 to the control / marshalling room</t>
        </is>
      </c>
      <c r="E4656" s="12" t="inlineStr">
        <is>
          <t>PAD-EH</t>
        </is>
      </c>
      <c r="F4656" s="12" t="inlineStr">
        <is>
          <t>PAD-EH 13.8 kV switchgear e-house</t>
        </is>
      </c>
      <c r="G4656" s="12" t="inlineStr">
        <is>
          <t>JB-FC-7-DI01</t>
        </is>
      </c>
      <c r="H4656" s="12" t="inlineStr">
        <is>
          <t>FC-7: SOFC module (200-300 kW class)</t>
        </is>
      </c>
      <c r="I4656" s="12" t="inlineStr">
        <is>
          <t>Instrumentation</t>
        </is>
      </c>
      <c r="J4656" s="12" t="inlineStr">
        <is>
          <t>Instrumentation PLTC / TC-ER 300 V, #18 twisted shielded pairs, overall shield</t>
        </is>
      </c>
      <c r="K4656" s="12" t="inlineStr">
        <is>
          <t>PLTC|24 pr|18</t>
        </is>
      </c>
      <c r="L4656" s="12" t="inlineStr">
        <is>
          <t>24 pr</t>
        </is>
      </c>
      <c r="M4656" s="12" t="inlineStr">
        <is>
          <t>18</t>
        </is>
      </c>
      <c r="N4656" s="12" t="n">
        <v>1</v>
      </c>
      <c r="O4656" s="12" t="n">
        <v>1</v>
      </c>
      <c r="P4656" s="12" t="n"/>
      <c r="Q4656" s="12" t="n"/>
      <c r="R4656" s="12" t="n"/>
      <c r="S4656" s="12" t="inlineStr">
        <is>
          <t>Surface</t>
        </is>
      </c>
      <c r="T4656" s="15" t="n">
        <v>239</v>
      </c>
      <c r="U4656" s="15" t="n">
        <v>37</v>
      </c>
      <c r="V4656" s="15">
        <f>ROUNDUP((T4656+U4656+2*'Read Me'!$B$13)*(1+'Read Me'!$B$12),-1)</f>
        <v/>
      </c>
      <c r="W4656" s="15">
        <f>V4656*N4656*O4656</f>
        <v/>
      </c>
      <c r="X4656" s="12">
        <f>IF(LEFT(I4656,2)="MV",2*N4656*IF(L4656="1/C",O4656,1),0)</f>
        <v/>
      </c>
      <c r="Y4656" s="12">
        <f>IF(OR(LEFT(K4656,4)="LVAX",LEFT(K4656,6)="MV15AX",LEFT(K4656,4)="CTAX",LEFT(K4656,2)="W|"),2*N4656*O4656,0)</f>
        <v/>
      </c>
      <c r="Z4656" s="12" t="inlineStr"/>
      <c r="AA4656" s="12">
        <f>N4656*O4656</f>
        <v/>
      </c>
    </row>
    <row r="4657">
      <c r="A4657" s="12" t="inlineStr">
        <is>
          <t>I-I-0054</t>
        </is>
      </c>
      <c r="B4657" s="12" t="inlineStr">
        <is>
          <t>I</t>
        </is>
      </c>
      <c r="C4657" s="12" t="inlineStr">
        <is>
          <t>Modular / portable power</t>
        </is>
      </c>
      <c r="D4657" s="12" t="inlineStr">
        <is>
          <t>Analog instrument to JB JB-FC-8-AI01: 10 x 1 pr (field cables)</t>
        </is>
      </c>
      <c r="E4657" s="12" t="inlineStr">
        <is>
          <t>FC-8</t>
        </is>
      </c>
      <c r="F4657" s="12" t="inlineStr">
        <is>
          <t>FC-8: SOFC module (200-300 kW class)</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PLTC|1 pr|16</t>
        </is>
      </c>
      <c r="L4657" s="12" t="inlineStr">
        <is>
          <t>1 pr</t>
        </is>
      </c>
      <c r="M4657" s="12" t="inlineStr">
        <is>
          <t>16</t>
        </is>
      </c>
      <c r="N4657" s="12" t="n">
        <v>10</v>
      </c>
      <c r="O4657" s="12" t="n">
        <v>1</v>
      </c>
      <c r="P4657" s="12" t="n"/>
      <c r="Q4657" s="12" t="n"/>
      <c r="R4657" s="12" t="n"/>
      <c r="S4657" s="12" t="inlineStr">
        <is>
          <t>Tray / conduit</t>
        </is>
      </c>
      <c r="T4657" s="15" t="n">
        <v>45</v>
      </c>
      <c r="U4657" s="15" t="n">
        <v>10</v>
      </c>
      <c r="V4657" s="15">
        <f>ROUNDUP((T4657+U4657+2*'Read Me'!$B$13)*(1+'Read Me'!$B$12),-1)</f>
        <v/>
      </c>
      <c r="W4657" s="15">
        <f>V4657*N4657*O4657</f>
        <v/>
      </c>
      <c r="X4657" s="12">
        <f>IF(LEFT(I4657,2)="MV",2*N4657*IF(L4657="1/C",O4657,1),0)</f>
        <v/>
      </c>
      <c r="Y4657" s="12">
        <f>IF(OR(LEFT(K4657,4)="LVAX",LEFT(K4657,6)="MV15AX",LEFT(K4657,4)="CTAX",LEFT(K4657,2)="W|"),2*N4657*O4657,0)</f>
        <v/>
      </c>
      <c r="Z4657" s="12" t="inlineStr">
        <is>
          <t>device-to-JB field wiring, one cable per device</t>
        </is>
      </c>
      <c r="AA4657" s="12">
        <f>N4657*O4657</f>
        <v/>
      </c>
    </row>
    <row r="4658">
      <c r="A4658" s="12" t="inlineStr">
        <is>
          <t>I-I-0055</t>
        </is>
      </c>
      <c r="B4658" s="12" t="inlineStr">
        <is>
          <t>I</t>
        </is>
      </c>
      <c r="C4658" s="12" t="inlineStr">
        <is>
          <t>Modular / portable power</t>
        </is>
      </c>
      <c r="D4658" s="12" t="inlineStr">
        <is>
          <t>Home run JB-FC-8-AI01 to the control / marshalling room</t>
        </is>
      </c>
      <c r="E4658" s="12" t="inlineStr">
        <is>
          <t>PAD-EH</t>
        </is>
      </c>
      <c r="F4658" s="12" t="inlineStr">
        <is>
          <t>PAD-EH 13.8 kV switchgear e-house</t>
        </is>
      </c>
      <c r="G4658" s="12" t="inlineStr">
        <is>
          <t>JB-FC-8-AI01</t>
        </is>
      </c>
      <c r="H4658" s="12" t="inlineStr">
        <is>
          <t>FC-8: SOFC module (200-300 kW class)</t>
        </is>
      </c>
      <c r="I4658" s="12" t="inlineStr">
        <is>
          <t>Instrumentation</t>
        </is>
      </c>
      <c r="J4658" s="12" t="inlineStr">
        <is>
          <t>Instrumentation PLTC / TC-ER 300 V, #18 twisted shielded pairs, overall shield</t>
        </is>
      </c>
      <c r="K4658" s="12" t="inlineStr">
        <is>
          <t>PLTC|24 pr|18</t>
        </is>
      </c>
      <c r="L4658" s="12" t="inlineStr">
        <is>
          <t>24 pr</t>
        </is>
      </c>
      <c r="M4658" s="12" t="inlineStr">
        <is>
          <t>18</t>
        </is>
      </c>
      <c r="N4658" s="12" t="n">
        <v>1</v>
      </c>
      <c r="O4658" s="12" t="n">
        <v>1</v>
      </c>
      <c r="P4658" s="12" t="n"/>
      <c r="Q4658" s="12" t="n"/>
      <c r="R4658" s="12" t="n"/>
      <c r="S4658" s="12" t="inlineStr">
        <is>
          <t>Surface</t>
        </is>
      </c>
      <c r="T4658" s="15" t="n">
        <v>210</v>
      </c>
      <c r="U4658" s="15" t="n">
        <v>39</v>
      </c>
      <c r="V4658" s="15">
        <f>ROUNDUP((T4658+U4658+2*'Read Me'!$B$13)*(1+'Read Me'!$B$12),-1)</f>
        <v/>
      </c>
      <c r="W4658" s="15">
        <f>V4658*N4658*O4658</f>
        <v/>
      </c>
      <c r="X4658" s="12">
        <f>IF(LEFT(I4658,2)="MV",2*N4658*IF(L4658="1/C",O4658,1),0)</f>
        <v/>
      </c>
      <c r="Y4658" s="12">
        <f>IF(OR(LEFT(K4658,4)="LVAX",LEFT(K4658,6)="MV15AX",LEFT(K4658,4)="CTAX",LEFT(K4658,2)="W|"),2*N4658*O4658,0)</f>
        <v/>
      </c>
      <c r="Z4658" s="12" t="inlineStr"/>
      <c r="AA4658" s="12">
        <f>N4658*O4658</f>
        <v/>
      </c>
    </row>
    <row r="4659">
      <c r="A4659" s="12" t="inlineStr">
        <is>
          <t>I-I-0056</t>
        </is>
      </c>
      <c r="B4659" s="12" t="inlineStr">
        <is>
          <t>I</t>
        </is>
      </c>
      <c r="C4659" s="12" t="inlineStr">
        <is>
          <t>Modular / portable power</t>
        </is>
      </c>
      <c r="D4659" s="12" t="inlineStr">
        <is>
          <t>Discrete device to JB JB-FC-8-DI01: 10 x 1 pr (field cables)</t>
        </is>
      </c>
      <c r="E4659" s="12" t="inlineStr">
        <is>
          <t>FC-8</t>
        </is>
      </c>
      <c r="F4659" s="12" t="inlineStr">
        <is>
          <t>FC-8: SOFC module (200-300 kW class)</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PLTC|1 pr|16</t>
        </is>
      </c>
      <c r="L4659" s="12" t="inlineStr">
        <is>
          <t>1 pr</t>
        </is>
      </c>
      <c r="M4659" s="12" t="inlineStr">
        <is>
          <t>16</t>
        </is>
      </c>
      <c r="N4659" s="12" t="n">
        <v>10</v>
      </c>
      <c r="O4659" s="12" t="n">
        <v>1</v>
      </c>
      <c r="P4659" s="12" t="n"/>
      <c r="Q4659" s="12" t="n"/>
      <c r="R4659" s="12" t="n"/>
      <c r="S4659" s="12" t="inlineStr">
        <is>
          <t>Tray / conduit</t>
        </is>
      </c>
      <c r="T4659" s="15" t="n">
        <v>45</v>
      </c>
      <c r="U4659" s="15" t="n">
        <v>10</v>
      </c>
      <c r="V4659" s="15">
        <f>ROUNDUP((T4659+U4659+2*'Read Me'!$B$13)*(1+'Read Me'!$B$12),-1)</f>
        <v/>
      </c>
      <c r="W4659" s="15">
        <f>V4659*N4659*O4659</f>
        <v/>
      </c>
      <c r="X4659" s="12">
        <f>IF(LEFT(I4659,2)="MV",2*N4659*IF(L4659="1/C",O4659,1),0)</f>
        <v/>
      </c>
      <c r="Y4659" s="12">
        <f>IF(OR(LEFT(K4659,4)="LVAX",LEFT(K4659,6)="MV15AX",LEFT(K4659,4)="CTAX",LEFT(K4659,2)="W|"),2*N4659*O4659,0)</f>
        <v/>
      </c>
      <c r="Z4659" s="12" t="inlineStr">
        <is>
          <t>device-to-JB field wiring, one cable per device</t>
        </is>
      </c>
      <c r="AA4659" s="12">
        <f>N4659*O4659</f>
        <v/>
      </c>
    </row>
    <row r="4660">
      <c r="A4660" s="12" t="inlineStr">
        <is>
          <t>I-I-0057</t>
        </is>
      </c>
      <c r="B4660" s="12" t="inlineStr">
        <is>
          <t>I</t>
        </is>
      </c>
      <c r="C4660" s="12" t="inlineStr">
        <is>
          <t>Modular / portable power</t>
        </is>
      </c>
      <c r="D4660" s="12" t="inlineStr">
        <is>
          <t>Home run JB-FC-8-DI01 to the control / marshalling room</t>
        </is>
      </c>
      <c r="E4660" s="12" t="inlineStr">
        <is>
          <t>PAD-EH</t>
        </is>
      </c>
      <c r="F4660" s="12" t="inlineStr">
        <is>
          <t>PAD-EH 13.8 kV switchgear e-house</t>
        </is>
      </c>
      <c r="G4660" s="12" t="inlineStr">
        <is>
          <t>JB-FC-8-DI01</t>
        </is>
      </c>
      <c r="H4660" s="12" t="inlineStr">
        <is>
          <t>FC-8: SOFC module (200-300 kW class)</t>
        </is>
      </c>
      <c r="I4660" s="12" t="inlineStr">
        <is>
          <t>Instrumentation</t>
        </is>
      </c>
      <c r="J4660" s="12" t="inlineStr">
        <is>
          <t>Instrumentation PLTC / TC-ER 300 V, #18 twisted shielded pairs, overall shield</t>
        </is>
      </c>
      <c r="K4660" s="12" t="inlineStr">
        <is>
          <t>PLTC|24 pr|18</t>
        </is>
      </c>
      <c r="L4660" s="12" t="inlineStr">
        <is>
          <t>24 pr</t>
        </is>
      </c>
      <c r="M4660" s="12" t="inlineStr">
        <is>
          <t>18</t>
        </is>
      </c>
      <c r="N4660" s="12" t="n">
        <v>1</v>
      </c>
      <c r="O4660" s="12" t="n">
        <v>1</v>
      </c>
      <c r="P4660" s="12" t="n"/>
      <c r="Q4660" s="12" t="n"/>
      <c r="R4660" s="12" t="n"/>
      <c r="S4660" s="12" t="inlineStr">
        <is>
          <t>Surface</t>
        </is>
      </c>
      <c r="T4660" s="15" t="n">
        <v>210</v>
      </c>
      <c r="U4660" s="15" t="n">
        <v>39</v>
      </c>
      <c r="V4660" s="15">
        <f>ROUNDUP((T4660+U4660+2*'Read Me'!$B$13)*(1+'Read Me'!$B$12),-1)</f>
        <v/>
      </c>
      <c r="W4660" s="15">
        <f>V4660*N4660*O4660</f>
        <v/>
      </c>
      <c r="X4660" s="12">
        <f>IF(LEFT(I4660,2)="MV",2*N4660*IF(L4660="1/C",O4660,1),0)</f>
        <v/>
      </c>
      <c r="Y4660" s="12">
        <f>IF(OR(LEFT(K4660,4)="LVAX",LEFT(K4660,6)="MV15AX",LEFT(K4660,4)="CTAX",LEFT(K4660,2)="W|"),2*N4660*O4660,0)</f>
        <v/>
      </c>
      <c r="Z4660" s="12" t="inlineStr"/>
      <c r="AA4660" s="12">
        <f>N4660*O4660</f>
        <v/>
      </c>
    </row>
    <row r="4661">
      <c r="A4661" s="12" t="inlineStr">
        <is>
          <t>I-I-0058</t>
        </is>
      </c>
      <c r="B4661" s="12" t="inlineStr">
        <is>
          <t>I</t>
        </is>
      </c>
      <c r="C4661" s="12" t="inlineStr">
        <is>
          <t>Modular / portable power</t>
        </is>
      </c>
      <c r="D4661" s="12" t="inlineStr">
        <is>
          <t>Analog instrument to JB JB-Fuel-gas compresso-AI01: 20 x 1 pr (field cables)</t>
        </is>
      </c>
      <c r="E4661" s="12" t="inlineStr"/>
      <c r="F4661" s="12" t="inlineStr">
        <is>
          <t>Fuel-gas compressors 3 x 100% electric</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ITC|1 pr|16</t>
        </is>
      </c>
      <c r="L4661" s="12" t="inlineStr">
        <is>
          <t>1 pr</t>
        </is>
      </c>
      <c r="M4661" s="12" t="inlineStr">
        <is>
          <t>16</t>
        </is>
      </c>
      <c r="N4661" s="12" t="n">
        <v>20</v>
      </c>
      <c r="O4661" s="12" t="n">
        <v>1</v>
      </c>
      <c r="P4661" s="12" t="n"/>
      <c r="Q4661" s="12" t="n"/>
      <c r="R4661" s="12" t="n"/>
      <c r="S4661" s="12" t="inlineStr">
        <is>
          <t>Tray / conduit</t>
        </is>
      </c>
      <c r="T4661" s="15" t="n">
        <v>103</v>
      </c>
      <c r="U4661" s="15" t="n">
        <v>10</v>
      </c>
      <c r="V4661" s="15">
        <f>ROUNDUP((T4661+U4661+2*'Read Me'!$B$13)*(1+'Read Me'!$B$12),-1)</f>
        <v/>
      </c>
      <c r="W4661" s="15">
        <f>V4661*N4661*O4661</f>
        <v/>
      </c>
      <c r="X4661" s="12">
        <f>IF(LEFT(I4661,2)="MV",2*N4661*IF(L4661="1/C",O4661,1),0)</f>
        <v/>
      </c>
      <c r="Y4661" s="12">
        <f>IF(OR(LEFT(K4661,4)="LVAX",LEFT(K4661,6)="MV15AX",LEFT(K4661,4)="CTAX",LEFT(K4661,2)="W|"),2*N4661*O4661,0)</f>
        <v/>
      </c>
      <c r="Z4661" s="12" t="inlineStr">
        <is>
          <t>device-to-JB field wiring, one cable per device</t>
        </is>
      </c>
      <c r="AA4661" s="12">
        <f>N4661*O4661</f>
        <v/>
      </c>
    </row>
    <row r="4662">
      <c r="A4662" s="12" t="inlineStr">
        <is>
          <t>I-I-0059</t>
        </is>
      </c>
      <c r="B4662" s="12" t="inlineStr">
        <is>
          <t>I</t>
        </is>
      </c>
      <c r="C4662" s="12" t="inlineStr">
        <is>
          <t>Modular / portable power</t>
        </is>
      </c>
      <c r="D4662" s="12" t="inlineStr">
        <is>
          <t>Home run JB-Fuel-gas compresso-AI01 to the control / marshalling room</t>
        </is>
      </c>
      <c r="E4662" s="12" t="inlineStr"/>
      <c r="F4662" s="12" t="inlineStr">
        <is>
          <t>SC-2 PCM + 15 kV GCB</t>
        </is>
      </c>
      <c r="G4662" s="12" t="inlineStr">
        <is>
          <t>JB-Fuel-gas compresso-AI01</t>
        </is>
      </c>
      <c r="H4662" s="12" t="inlineStr">
        <is>
          <t>Fuel-gas compressors 3 x 100% electric</t>
        </is>
      </c>
      <c r="I4662" s="12" t="inlineStr">
        <is>
          <t>Instrumentation</t>
        </is>
      </c>
      <c r="J4662" s="12" t="inlineStr">
        <is>
          <t>Instrumentation ITC / PLTC, IS, #18 shielded pairs, blue jacket</t>
        </is>
      </c>
      <c r="K4662" s="12" t="inlineStr">
        <is>
          <t>ITC|24 pr|18</t>
        </is>
      </c>
      <c r="L4662" s="12" t="inlineStr">
        <is>
          <t>24 pr</t>
        </is>
      </c>
      <c r="M4662" s="12" t="inlineStr">
        <is>
          <t>18</t>
        </is>
      </c>
      <c r="N4662" s="12" t="n">
        <v>1</v>
      </c>
      <c r="O4662" s="12" t="n">
        <v>1</v>
      </c>
      <c r="P4662" s="12" t="n"/>
      <c r="Q4662" s="12" t="n"/>
      <c r="R4662" s="12" t="n"/>
      <c r="S4662" s="12" t="inlineStr">
        <is>
          <t>Duct bank</t>
        </is>
      </c>
      <c r="T4662" s="15" t="n">
        <v>8</v>
      </c>
      <c r="U4662" s="15" t="n">
        <v>108</v>
      </c>
      <c r="V4662" s="15">
        <f>ROUNDUP((T4662+U4662+2*'Read Me'!$B$13)*(1+'Read Me'!$B$12),-1)</f>
        <v/>
      </c>
      <c r="W4662" s="15">
        <f>V4662*N4662*O4662</f>
        <v/>
      </c>
      <c r="X4662" s="12">
        <f>IF(LEFT(I4662,2)="MV",2*N4662*IF(L4662="1/C",O4662,1),0)</f>
        <v/>
      </c>
      <c r="Y4662" s="12">
        <f>IF(OR(LEFT(K4662,4)="LVAX",LEFT(K4662,6)="MV15AX",LEFT(K4662,4)="CTAX",LEFT(K4662,2)="W|"),2*N4662*O4662,0)</f>
        <v/>
      </c>
      <c r="Z4662" s="12" t="inlineStr"/>
      <c r="AA4662" s="12">
        <f>N4662*O4662</f>
        <v/>
      </c>
    </row>
    <row r="4663">
      <c r="A4663" s="12" t="inlineStr">
        <is>
          <t>I-I-0060</t>
        </is>
      </c>
      <c r="B4663" s="12" t="inlineStr">
        <is>
          <t>I</t>
        </is>
      </c>
      <c r="C4663" s="12" t="inlineStr">
        <is>
          <t>Modular / portable power</t>
        </is>
      </c>
      <c r="D4663" s="12" t="inlineStr">
        <is>
          <t>Analog instrument to JB JB-Fuel-gas compresso-AI02: 10 x 1 pr (field cables)</t>
        </is>
      </c>
      <c r="E4663" s="12" t="inlineStr"/>
      <c r="F4663" s="12" t="inlineStr">
        <is>
          <t>Fuel-gas compressors 3 x 100% electric</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ITC|1 pr|16</t>
        </is>
      </c>
      <c r="L4663" s="12" t="inlineStr">
        <is>
          <t>1 pr</t>
        </is>
      </c>
      <c r="M4663" s="12" t="inlineStr">
        <is>
          <t>16</t>
        </is>
      </c>
      <c r="N4663" s="12" t="n">
        <v>10</v>
      </c>
      <c r="O4663" s="12" t="n">
        <v>1</v>
      </c>
      <c r="P4663" s="12" t="n"/>
      <c r="Q4663" s="12" t="n"/>
      <c r="R4663" s="12" t="n"/>
      <c r="S4663" s="12" t="inlineStr">
        <is>
          <t>Tray / conduit</t>
        </is>
      </c>
      <c r="T4663" s="15" t="n">
        <v>103</v>
      </c>
      <c r="U4663" s="15" t="n">
        <v>10</v>
      </c>
      <c r="V4663" s="15">
        <f>ROUNDUP((T4663+U4663+2*'Read Me'!$B$13)*(1+'Read Me'!$B$12),-1)</f>
        <v/>
      </c>
      <c r="W4663" s="15">
        <f>V4663*N4663*O4663</f>
        <v/>
      </c>
      <c r="X4663" s="12">
        <f>IF(LEFT(I4663,2)="MV",2*N4663*IF(L4663="1/C",O4663,1),0)</f>
        <v/>
      </c>
      <c r="Y4663" s="12">
        <f>IF(OR(LEFT(K4663,4)="LVAX",LEFT(K4663,6)="MV15AX",LEFT(K4663,4)="CTAX",LEFT(K4663,2)="W|"),2*N4663*O4663,0)</f>
        <v/>
      </c>
      <c r="Z4663" s="12" t="inlineStr">
        <is>
          <t>device-to-JB field wiring, one cable per device</t>
        </is>
      </c>
      <c r="AA4663" s="12">
        <f>N4663*O4663</f>
        <v/>
      </c>
    </row>
    <row r="4664">
      <c r="A4664" s="12" t="inlineStr">
        <is>
          <t>I-I-0061</t>
        </is>
      </c>
      <c r="B4664" s="12" t="inlineStr">
        <is>
          <t>I</t>
        </is>
      </c>
      <c r="C4664" s="12" t="inlineStr">
        <is>
          <t>Modular / portable power</t>
        </is>
      </c>
      <c r="D4664" s="12" t="inlineStr">
        <is>
          <t>Home run JB-Fuel-gas compresso-AI02 to the control / marshalling room</t>
        </is>
      </c>
      <c r="E4664" s="12" t="inlineStr"/>
      <c r="F4664" s="12" t="inlineStr">
        <is>
          <t>SC-2 PCM + 15 kV GCB</t>
        </is>
      </c>
      <c r="G4664" s="12" t="inlineStr">
        <is>
          <t>JB-Fuel-gas compresso-AI02</t>
        </is>
      </c>
      <c r="H4664" s="12" t="inlineStr">
        <is>
          <t>Fuel-gas compressors 3 x 100% electric</t>
        </is>
      </c>
      <c r="I4664" s="12" t="inlineStr">
        <is>
          <t>Instrumentation</t>
        </is>
      </c>
      <c r="J4664" s="12" t="inlineStr">
        <is>
          <t>Instrumentation ITC / PLTC, IS, #18 shielded pairs, blue jacket</t>
        </is>
      </c>
      <c r="K4664" s="12" t="inlineStr">
        <is>
          <t>ITC|24 pr|18</t>
        </is>
      </c>
      <c r="L4664" s="12" t="inlineStr">
        <is>
          <t>24 pr</t>
        </is>
      </c>
      <c r="M4664" s="12" t="inlineStr">
        <is>
          <t>18</t>
        </is>
      </c>
      <c r="N4664" s="12" t="n">
        <v>1</v>
      </c>
      <c r="O4664" s="12" t="n">
        <v>1</v>
      </c>
      <c r="P4664" s="12" t="n"/>
      <c r="Q4664" s="12" t="n"/>
      <c r="R4664" s="12" t="n"/>
      <c r="S4664" s="12" t="inlineStr">
        <is>
          <t>Duct bank</t>
        </is>
      </c>
      <c r="T4664" s="15" t="n">
        <v>8</v>
      </c>
      <c r="U4664" s="15" t="n">
        <v>108</v>
      </c>
      <c r="V4664" s="15">
        <f>ROUNDUP((T4664+U4664+2*'Read Me'!$B$13)*(1+'Read Me'!$B$12),-1)</f>
        <v/>
      </c>
      <c r="W4664" s="15">
        <f>V4664*N4664*O4664</f>
        <v/>
      </c>
      <c r="X4664" s="12">
        <f>IF(LEFT(I4664,2)="MV",2*N4664*IF(L4664="1/C",O4664,1),0)</f>
        <v/>
      </c>
      <c r="Y4664" s="12">
        <f>IF(OR(LEFT(K4664,4)="LVAX",LEFT(K4664,6)="MV15AX",LEFT(K4664,4)="CTAX",LEFT(K4664,2)="W|"),2*N4664*O4664,0)</f>
        <v/>
      </c>
      <c r="Z4664" s="12" t="inlineStr"/>
      <c r="AA4664" s="12">
        <f>N4664*O4664</f>
        <v/>
      </c>
    </row>
    <row r="4665">
      <c r="A4665" s="12" t="inlineStr">
        <is>
          <t>I-I-0062</t>
        </is>
      </c>
      <c r="B4665" s="12" t="inlineStr">
        <is>
          <t>I</t>
        </is>
      </c>
      <c r="C4665" s="12" t="inlineStr">
        <is>
          <t>Modular / portable power</t>
        </is>
      </c>
      <c r="D4665" s="12" t="inlineStr">
        <is>
          <t>Discrete device to JB JB-Fuel-gas compresso-DI01: 20 x 1 pr (field cables)</t>
        </is>
      </c>
      <c r="E4665" s="12" t="inlineStr"/>
      <c r="F4665" s="12" t="inlineStr">
        <is>
          <t>Fuel-gas compressors 3 x 100% electric</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ITC|1 pr|16</t>
        </is>
      </c>
      <c r="L4665" s="12" t="inlineStr">
        <is>
          <t>1 pr</t>
        </is>
      </c>
      <c r="M4665" s="12" t="inlineStr">
        <is>
          <t>16</t>
        </is>
      </c>
      <c r="N4665" s="12" t="n">
        <v>20</v>
      </c>
      <c r="O4665" s="12" t="n">
        <v>1</v>
      </c>
      <c r="P4665" s="12" t="n"/>
      <c r="Q4665" s="12" t="n"/>
      <c r="R4665" s="12" t="n"/>
      <c r="S4665" s="12" t="inlineStr">
        <is>
          <t>Tray / conduit</t>
        </is>
      </c>
      <c r="T4665" s="15" t="n">
        <v>103</v>
      </c>
      <c r="U4665" s="15" t="n">
        <v>10</v>
      </c>
      <c r="V4665" s="15">
        <f>ROUNDUP((T4665+U4665+2*'Read Me'!$B$13)*(1+'Read Me'!$B$12),-1)</f>
        <v/>
      </c>
      <c r="W4665" s="15">
        <f>V4665*N4665*O4665</f>
        <v/>
      </c>
      <c r="X4665" s="12">
        <f>IF(LEFT(I4665,2)="MV",2*N4665*IF(L4665="1/C",O4665,1),0)</f>
        <v/>
      </c>
      <c r="Y4665" s="12">
        <f>IF(OR(LEFT(K4665,4)="LVAX",LEFT(K4665,6)="MV15AX",LEFT(K4665,4)="CTAX",LEFT(K4665,2)="W|"),2*N4665*O4665,0)</f>
        <v/>
      </c>
      <c r="Z4665" s="12" t="inlineStr">
        <is>
          <t>device-to-JB field wiring, one cable per device</t>
        </is>
      </c>
      <c r="AA4665" s="12">
        <f>N4665*O4665</f>
        <v/>
      </c>
    </row>
    <row r="4666">
      <c r="A4666" s="12" t="inlineStr">
        <is>
          <t>I-I-0063</t>
        </is>
      </c>
      <c r="B4666" s="12" t="inlineStr">
        <is>
          <t>I</t>
        </is>
      </c>
      <c r="C4666" s="12" t="inlineStr">
        <is>
          <t>Modular / portable power</t>
        </is>
      </c>
      <c r="D4666" s="12" t="inlineStr">
        <is>
          <t>Home run JB-Fuel-gas compresso-DI01 to the control / marshalling room</t>
        </is>
      </c>
      <c r="E4666" s="12" t="inlineStr"/>
      <c r="F4666" s="12" t="inlineStr">
        <is>
          <t>SC-2 PCM + 15 kV GCB</t>
        </is>
      </c>
      <c r="G4666" s="12" t="inlineStr">
        <is>
          <t>JB-Fuel-gas compresso-DI01</t>
        </is>
      </c>
      <c r="H4666" s="12" t="inlineStr">
        <is>
          <t>Fuel-gas compressors 3 x 100% electric</t>
        </is>
      </c>
      <c r="I4666" s="12" t="inlineStr">
        <is>
          <t>Instrumentation</t>
        </is>
      </c>
      <c r="J4666" s="12" t="inlineStr">
        <is>
          <t>Instrumentation ITC / PLTC, IS, #18 shielded pairs, blue jacket</t>
        </is>
      </c>
      <c r="K4666" s="12" t="inlineStr">
        <is>
          <t>ITC|24 pr|18</t>
        </is>
      </c>
      <c r="L4666" s="12" t="inlineStr">
        <is>
          <t>24 pr</t>
        </is>
      </c>
      <c r="M4666" s="12" t="inlineStr">
        <is>
          <t>18</t>
        </is>
      </c>
      <c r="N4666" s="12" t="n">
        <v>1</v>
      </c>
      <c r="O4666" s="12" t="n">
        <v>1</v>
      </c>
      <c r="P4666" s="12" t="n"/>
      <c r="Q4666" s="12" t="n"/>
      <c r="R4666" s="12" t="n"/>
      <c r="S4666" s="12" t="inlineStr">
        <is>
          <t>Duct bank</t>
        </is>
      </c>
      <c r="T4666" s="15" t="n">
        <v>8</v>
      </c>
      <c r="U4666" s="15" t="n">
        <v>108</v>
      </c>
      <c r="V4666" s="15">
        <f>ROUNDUP((T4666+U4666+2*'Read Me'!$B$13)*(1+'Read Me'!$B$12),-1)</f>
        <v/>
      </c>
      <c r="W4666" s="15">
        <f>V4666*N4666*O4666</f>
        <v/>
      </c>
      <c r="X4666" s="12">
        <f>IF(LEFT(I4666,2)="MV",2*N4666*IF(L4666="1/C",O4666,1),0)</f>
        <v/>
      </c>
      <c r="Y4666" s="12">
        <f>IF(OR(LEFT(K4666,4)="LVAX",LEFT(K4666,6)="MV15AX",LEFT(K4666,4)="CTAX",LEFT(K4666,2)="W|"),2*N4666*O4666,0)</f>
        <v/>
      </c>
      <c r="Z4666" s="12" t="inlineStr"/>
      <c r="AA4666" s="12">
        <f>N4666*O4666</f>
        <v/>
      </c>
    </row>
    <row r="4667">
      <c r="A4667" s="12" t="inlineStr">
        <is>
          <t>I-I-0064</t>
        </is>
      </c>
      <c r="B4667" s="12" t="inlineStr">
        <is>
          <t>I</t>
        </is>
      </c>
      <c r="C4667" s="12" t="inlineStr">
        <is>
          <t>Modular / portable power</t>
        </is>
      </c>
      <c r="D4667" s="12" t="inlineStr">
        <is>
          <t>RTD to JB JB-Fuel-gas compresso-RTD01: 10 x 1 tri (field cables)</t>
        </is>
      </c>
      <c r="E4667" s="12" t="inlineStr"/>
      <c r="F4667" s="12" t="inlineStr">
        <is>
          <t>Fuel-gas compressors 3 x 100% electric</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 tri|18</t>
        </is>
      </c>
      <c r="L4667" s="12" t="inlineStr">
        <is>
          <t>1 tri</t>
        </is>
      </c>
      <c r="M4667" s="12" t="inlineStr">
        <is>
          <t>18</t>
        </is>
      </c>
      <c r="N4667" s="12" t="n">
        <v>10</v>
      </c>
      <c r="O4667" s="12" t="n">
        <v>1</v>
      </c>
      <c r="P4667" s="12" t="n"/>
      <c r="Q4667" s="12" t="n"/>
      <c r="R4667" s="12" t="n"/>
      <c r="S4667" s="12" t="inlineStr">
        <is>
          <t>Tray / conduit</t>
        </is>
      </c>
      <c r="T4667" s="15" t="n">
        <v>103</v>
      </c>
      <c r="U4667" s="15" t="n">
        <v>10</v>
      </c>
      <c r="V4667" s="15">
        <f>ROUNDUP((T4667+U4667+2*'Read Me'!$B$13)*(1+'Read Me'!$B$12),-1)</f>
        <v/>
      </c>
      <c r="W4667" s="15">
        <f>V4667*N4667*O4667</f>
        <v/>
      </c>
      <c r="X4667" s="12">
        <f>IF(LEFT(I4667,2)="MV",2*N4667*IF(L4667="1/C",O4667,1),0)</f>
        <v/>
      </c>
      <c r="Y4667" s="12">
        <f>IF(OR(LEFT(K4667,4)="LVAX",LEFT(K4667,6)="MV15AX",LEFT(K4667,4)="CTAX",LEFT(K4667,2)="W|"),2*N4667*O4667,0)</f>
        <v/>
      </c>
      <c r="Z4667" s="12" t="inlineStr">
        <is>
          <t>device-to-JB field wiring, one cable per device</t>
        </is>
      </c>
      <c r="AA4667" s="12">
        <f>N4667*O4667</f>
        <v/>
      </c>
    </row>
    <row r="4668">
      <c r="A4668" s="12" t="inlineStr">
        <is>
          <t>I-I-0065</t>
        </is>
      </c>
      <c r="B4668" s="12" t="inlineStr">
        <is>
          <t>I</t>
        </is>
      </c>
      <c r="C4668" s="12" t="inlineStr">
        <is>
          <t>Modular / portable power</t>
        </is>
      </c>
      <c r="D4668" s="12" t="inlineStr">
        <is>
          <t>Home run JB-Fuel-gas compresso-RTD01 to the control / marshalling room</t>
        </is>
      </c>
      <c r="E4668" s="12" t="inlineStr"/>
      <c r="F4668" s="12" t="inlineStr">
        <is>
          <t>SC-2 PCM + 15 kV GCB</t>
        </is>
      </c>
      <c r="G4668" s="12" t="inlineStr">
        <is>
          <t>JB-Fuel-gas compresso-RTD01</t>
        </is>
      </c>
      <c r="H4668" s="12" t="inlineStr">
        <is>
          <t>Fuel-gas compressors 3 x 100% electric</t>
        </is>
      </c>
      <c r="I4668" s="12" t="inlineStr">
        <is>
          <t>Instrumentation</t>
        </is>
      </c>
      <c r="J4668" s="12" t="inlineStr">
        <is>
          <t>RTD cable, #18 shielded triads, PLTC</t>
        </is>
      </c>
      <c r="K4668" s="12" t="inlineStr">
        <is>
          <t>RTD|12 tri|18</t>
        </is>
      </c>
      <c r="L4668" s="12" t="inlineStr">
        <is>
          <t>12 tri</t>
        </is>
      </c>
      <c r="M4668" s="12" t="inlineStr">
        <is>
          <t>18</t>
        </is>
      </c>
      <c r="N4668" s="12" t="n">
        <v>1</v>
      </c>
      <c r="O4668" s="12" t="n">
        <v>1</v>
      </c>
      <c r="P4668" s="12" t="n"/>
      <c r="Q4668" s="12" t="n"/>
      <c r="R4668" s="12" t="n"/>
      <c r="S4668" s="12" t="inlineStr">
        <is>
          <t>Duct bank</t>
        </is>
      </c>
      <c r="T4668" s="15" t="n">
        <v>8</v>
      </c>
      <c r="U4668" s="15" t="n">
        <v>108</v>
      </c>
      <c r="V4668" s="15">
        <f>ROUNDUP((T4668+U4668+2*'Read Me'!$B$13)*(1+'Read Me'!$B$12),-1)</f>
        <v/>
      </c>
      <c r="W4668" s="15">
        <f>V4668*N4668*O4668</f>
        <v/>
      </c>
      <c r="X4668" s="12">
        <f>IF(LEFT(I4668,2)="MV",2*N4668*IF(L4668="1/C",O4668,1),0)</f>
        <v/>
      </c>
      <c r="Y4668" s="12">
        <f>IF(OR(LEFT(K4668,4)="LVAX",LEFT(K4668,6)="MV15AX",LEFT(K4668,4)="CTAX",LEFT(K4668,2)="W|"),2*N4668*O4668,0)</f>
        <v/>
      </c>
      <c r="Z4668" s="12" t="inlineStr"/>
      <c r="AA4668" s="12">
        <f>N4668*O4668</f>
        <v/>
      </c>
    </row>
    <row r="4669">
      <c r="A4669" s="12" t="inlineStr">
        <is>
          <t>I-I-0066</t>
        </is>
      </c>
      <c r="B4669" s="12" t="inlineStr">
        <is>
          <t>I</t>
        </is>
      </c>
      <c r="C4669" s="12" t="inlineStr">
        <is>
          <t>Modular / portable power</t>
        </is>
      </c>
      <c r="D4669" s="12" t="inlineStr">
        <is>
          <t>RTD to JB JB-Fuel-gas compresso-RTD02: 2 x 1 tri (field cables)</t>
        </is>
      </c>
      <c r="E4669" s="12" t="inlineStr"/>
      <c r="F4669" s="12" t="inlineStr">
        <is>
          <t>Fuel-gas compressors 3 x 100% electric</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 tri|18</t>
        </is>
      </c>
      <c r="L4669" s="12" t="inlineStr">
        <is>
          <t>1 tri</t>
        </is>
      </c>
      <c r="M4669" s="12" t="inlineStr">
        <is>
          <t>18</t>
        </is>
      </c>
      <c r="N4669" s="12" t="n">
        <v>2</v>
      </c>
      <c r="O4669" s="12" t="n">
        <v>1</v>
      </c>
      <c r="P4669" s="12" t="n"/>
      <c r="Q4669" s="12" t="n"/>
      <c r="R4669" s="12" t="n"/>
      <c r="S4669" s="12" t="inlineStr">
        <is>
          <t>Tray / conduit</t>
        </is>
      </c>
      <c r="T4669" s="15" t="n">
        <v>103</v>
      </c>
      <c r="U4669" s="15" t="n">
        <v>10</v>
      </c>
      <c r="V4669" s="15">
        <f>ROUNDUP((T4669+U4669+2*'Read Me'!$B$13)*(1+'Read Me'!$B$12),-1)</f>
        <v/>
      </c>
      <c r="W4669" s="15">
        <f>V4669*N4669*O4669</f>
        <v/>
      </c>
      <c r="X4669" s="12">
        <f>IF(LEFT(I4669,2)="MV",2*N4669*IF(L4669="1/C",O4669,1),0)</f>
        <v/>
      </c>
      <c r="Y4669" s="12">
        <f>IF(OR(LEFT(K4669,4)="LVAX",LEFT(K4669,6)="MV15AX",LEFT(K4669,4)="CTAX",LEFT(K4669,2)="W|"),2*N4669*O4669,0)</f>
        <v/>
      </c>
      <c r="Z4669" s="12" t="inlineStr">
        <is>
          <t>device-to-JB field wiring, one cable per device</t>
        </is>
      </c>
      <c r="AA4669" s="12">
        <f>N4669*O4669</f>
        <v/>
      </c>
    </row>
    <row r="4670">
      <c r="A4670" s="12" t="inlineStr">
        <is>
          <t>I-I-0067</t>
        </is>
      </c>
      <c r="B4670" s="12" t="inlineStr">
        <is>
          <t>I</t>
        </is>
      </c>
      <c r="C4670" s="12" t="inlineStr">
        <is>
          <t>Modular / portable power</t>
        </is>
      </c>
      <c r="D4670" s="12" t="inlineStr">
        <is>
          <t>Home run JB-Fuel-gas compresso-RTD02 to the control / marshalling room</t>
        </is>
      </c>
      <c r="E4670" s="12" t="inlineStr"/>
      <c r="F4670" s="12" t="inlineStr">
        <is>
          <t>SC-2 PCM + 15 kV GCB</t>
        </is>
      </c>
      <c r="G4670" s="12" t="inlineStr">
        <is>
          <t>JB-Fuel-gas compresso-RTD02</t>
        </is>
      </c>
      <c r="H4670" s="12" t="inlineStr">
        <is>
          <t>Fuel-gas compressors 3 x 100% electric</t>
        </is>
      </c>
      <c r="I4670" s="12" t="inlineStr">
        <is>
          <t>Instrumentation</t>
        </is>
      </c>
      <c r="J4670" s="12" t="inlineStr">
        <is>
          <t>RTD cable, #18 shielded triads, PLTC</t>
        </is>
      </c>
      <c r="K4670" s="12" t="inlineStr">
        <is>
          <t>RTD|12 tri|18</t>
        </is>
      </c>
      <c r="L4670" s="12" t="inlineStr">
        <is>
          <t>12 tri</t>
        </is>
      </c>
      <c r="M4670" s="12" t="inlineStr">
        <is>
          <t>18</t>
        </is>
      </c>
      <c r="N4670" s="12" t="n">
        <v>1</v>
      </c>
      <c r="O4670" s="12" t="n">
        <v>1</v>
      </c>
      <c r="P4670" s="12" t="n"/>
      <c r="Q4670" s="12" t="n"/>
      <c r="R4670" s="12" t="n"/>
      <c r="S4670" s="12" t="inlineStr">
        <is>
          <t>Duct bank</t>
        </is>
      </c>
      <c r="T4670" s="15" t="n">
        <v>8</v>
      </c>
      <c r="U4670" s="15" t="n">
        <v>108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I-I-0068</t>
        </is>
      </c>
      <c r="B4671" s="12" t="inlineStr">
        <is>
          <t>I</t>
        </is>
      </c>
      <c r="C4671" s="12" t="inlineStr">
        <is>
          <t>Modular / portable power</t>
        </is>
      </c>
      <c r="D4671" s="12" t="inlineStr">
        <is>
          <t>L7 GB-1.1 instrumentation: gas pressure, temperatures</t>
        </is>
      </c>
      <c r="E4671" s="12" t="inlineStr">
        <is>
          <t>GBC-1</t>
        </is>
      </c>
      <c r="F4671" s="12" t="inlineStr">
        <is>
          <t xml:space="preserve">GBC-1: block GB-1 generator collector box, 480 V outdoor switchboard, </t>
        </is>
      </c>
      <c r="G4671" s="12" t="inlineStr">
        <is>
          <t>GB-1.1</t>
        </is>
      </c>
      <c r="H4671" s="12" t="inlineStr">
        <is>
          <t>GB-1.1: modular gas genset 500 kW, 480 V (block GB-1, unit 1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44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I-I-0069</t>
        </is>
      </c>
      <c r="B4672" s="12" t="inlineStr">
        <is>
          <t>I</t>
        </is>
      </c>
      <c r="C4672" s="12" t="inlineStr">
        <is>
          <t>Modular / portable power</t>
        </is>
      </c>
      <c r="D4672" s="12" t="inlineStr">
        <is>
          <t>L7 GB-1.2 instrumentation: gas pressure, temperatures</t>
        </is>
      </c>
      <c r="E4672" s="12" t="inlineStr">
        <is>
          <t>GBC-1</t>
        </is>
      </c>
      <c r="F4672" s="12" t="inlineStr">
        <is>
          <t xml:space="preserve">GBC-1: block GB-1 generator collector box, 480 V outdoor switchboard, </t>
        </is>
      </c>
      <c r="G4672" s="12" t="inlineStr">
        <is>
          <t>GB-1.2</t>
        </is>
      </c>
      <c r="H4672" s="12" t="inlineStr">
        <is>
          <t>GB-1.2: modular gas genset 500 kW, 480 V (block GB-1, unit 2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34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I-I-0070</t>
        </is>
      </c>
      <c r="B4673" s="12" t="inlineStr">
        <is>
          <t>I</t>
        </is>
      </c>
      <c r="C4673" s="12" t="inlineStr">
        <is>
          <t>Modular / portable power</t>
        </is>
      </c>
      <c r="D4673" s="12" t="inlineStr">
        <is>
          <t>L7 GB-1.3 instrumentation: gas pressure, temperatures</t>
        </is>
      </c>
      <c r="E4673" s="12" t="inlineStr">
        <is>
          <t>GBC-1</t>
        </is>
      </c>
      <c r="F4673" s="12" t="inlineStr">
        <is>
          <t xml:space="preserve">GBC-1: block GB-1 generator collector box, 480 V outdoor switchboard, </t>
        </is>
      </c>
      <c r="G4673" s="12" t="inlineStr">
        <is>
          <t>GB-1.3</t>
        </is>
      </c>
      <c r="H4673" s="12" t="inlineStr">
        <is>
          <t>GB-1.3: modular gas genset 500 kW, 480 V (block GB-1, unit 3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24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I-I-0071</t>
        </is>
      </c>
      <c r="B4674" s="12" t="inlineStr">
        <is>
          <t>I</t>
        </is>
      </c>
      <c r="C4674" s="12" t="inlineStr">
        <is>
          <t>Modular / portable power</t>
        </is>
      </c>
      <c r="D4674" s="12" t="inlineStr">
        <is>
          <t>L7 GB-1.4 instrumentation: gas pressure, temperatures</t>
        </is>
      </c>
      <c r="E4674" s="12" t="inlineStr">
        <is>
          <t>GBC-1</t>
        </is>
      </c>
      <c r="F4674" s="12" t="inlineStr">
        <is>
          <t xml:space="preserve">GBC-1: block GB-1 generator collector box, 480 V outdoor switchboard, </t>
        </is>
      </c>
      <c r="G4674" s="12" t="inlineStr">
        <is>
          <t>GB-1.4</t>
        </is>
      </c>
      <c r="H4674" s="12" t="inlineStr">
        <is>
          <t>GB-1.4: modular gas genset 500 kW, 480 V (block GB-1, unit 4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Surface</t>
        </is>
      </c>
      <c r="T4674" s="15" t="n">
        <v>14</v>
      </c>
      <c r="U4674" s="15" t="n">
        <v>28</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I-I-0072</t>
        </is>
      </c>
      <c r="B4675" s="12" t="inlineStr">
        <is>
          <t>I</t>
        </is>
      </c>
      <c r="C4675" s="12" t="inlineStr">
        <is>
          <t>Modular / portable power</t>
        </is>
      </c>
      <c r="D4675" s="12" t="inlineStr">
        <is>
          <t>L7 GB-1.5 instrumentation: gas pressure, temperatures</t>
        </is>
      </c>
      <c r="E4675" s="12" t="inlineStr">
        <is>
          <t>GBC-1</t>
        </is>
      </c>
      <c r="F4675" s="12" t="inlineStr">
        <is>
          <t xml:space="preserve">GBC-1: block GB-1 generator collector box, 480 V outdoor switchboard, </t>
        </is>
      </c>
      <c r="G4675" s="12" t="inlineStr">
        <is>
          <t>GB-1.5</t>
        </is>
      </c>
      <c r="H4675" s="12" t="inlineStr">
        <is>
          <t>GB-1.5: modular gas genset 500 kW, 480 V (block GB-1, unit 5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Tray</t>
        </is>
      </c>
      <c r="T4675" s="15" t="n">
        <v>0</v>
      </c>
      <c r="U4675" s="15" t="n">
        <v>30</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I-I-0073</t>
        </is>
      </c>
      <c r="B4676" s="12" t="inlineStr">
        <is>
          <t>I</t>
        </is>
      </c>
      <c r="C4676" s="12" t="inlineStr">
        <is>
          <t>Modular / portable power</t>
        </is>
      </c>
      <c r="D4676" s="12" t="inlineStr">
        <is>
          <t>L7 GB-2.1 instrumentation: gas pressure, temperatures</t>
        </is>
      </c>
      <c r="E4676" s="12" t="inlineStr">
        <is>
          <t>GBC-2</t>
        </is>
      </c>
      <c r="F4676" s="12" t="inlineStr">
        <is>
          <t xml:space="preserve">GBC-2: block GB-2 generator collector box, 480 V outdoor switchboard, </t>
        </is>
      </c>
      <c r="G4676" s="12" t="inlineStr">
        <is>
          <t>GB-2.1</t>
        </is>
      </c>
      <c r="H4676" s="12" t="inlineStr">
        <is>
          <t>GB-2.1: modular gas genset 500 kW, 480 V (block GB-2, unit 1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44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I-I-0074</t>
        </is>
      </c>
      <c r="B4677" s="12" t="inlineStr">
        <is>
          <t>I</t>
        </is>
      </c>
      <c r="C4677" s="12" t="inlineStr">
        <is>
          <t>Modular / portable power</t>
        </is>
      </c>
      <c r="D4677" s="12" t="inlineStr">
        <is>
          <t>L7 GB-2.2 instrumentation: gas pressure, temperatures</t>
        </is>
      </c>
      <c r="E4677" s="12" t="inlineStr">
        <is>
          <t>GBC-2</t>
        </is>
      </c>
      <c r="F4677" s="12" t="inlineStr">
        <is>
          <t xml:space="preserve">GBC-2: block GB-2 generator collector box, 480 V outdoor switchboard, </t>
        </is>
      </c>
      <c r="G4677" s="12" t="inlineStr">
        <is>
          <t>GB-2.2</t>
        </is>
      </c>
      <c r="H4677" s="12" t="inlineStr">
        <is>
          <t>GB-2.2: modular gas genset 500 kW, 480 V (block GB-2, unit 2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34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I-I-0075</t>
        </is>
      </c>
      <c r="B4678" s="12" t="inlineStr">
        <is>
          <t>I</t>
        </is>
      </c>
      <c r="C4678" s="12" t="inlineStr">
        <is>
          <t>Modular / portable power</t>
        </is>
      </c>
      <c r="D4678" s="12" t="inlineStr">
        <is>
          <t>L7 GB-2.3 instrumentation: gas pressure, temperatures</t>
        </is>
      </c>
      <c r="E4678" s="12" t="inlineStr">
        <is>
          <t>GBC-2</t>
        </is>
      </c>
      <c r="F4678" s="12" t="inlineStr">
        <is>
          <t xml:space="preserve">GBC-2: block GB-2 generator collector box, 480 V outdoor switchboard, </t>
        </is>
      </c>
      <c r="G4678" s="12" t="inlineStr">
        <is>
          <t>GB-2.3</t>
        </is>
      </c>
      <c r="H4678" s="12" t="inlineStr">
        <is>
          <t>GB-2.3: modular gas genset 500 kW, 480 V (block GB-2, unit 3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24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I-I-0076</t>
        </is>
      </c>
      <c r="B4679" s="12" t="inlineStr">
        <is>
          <t>I</t>
        </is>
      </c>
      <c r="C4679" s="12" t="inlineStr">
        <is>
          <t>Modular / portable power</t>
        </is>
      </c>
      <c r="D4679" s="12" t="inlineStr">
        <is>
          <t>L7 GB-2.4 instrumentation: gas pressure, temperatures</t>
        </is>
      </c>
      <c r="E4679" s="12" t="inlineStr">
        <is>
          <t>GBC-2</t>
        </is>
      </c>
      <c r="F4679" s="12" t="inlineStr">
        <is>
          <t xml:space="preserve">GBC-2: block GB-2 generator collector box, 480 V outdoor switchboard, </t>
        </is>
      </c>
      <c r="G4679" s="12" t="inlineStr">
        <is>
          <t>GB-2.4</t>
        </is>
      </c>
      <c r="H4679" s="12" t="inlineStr">
        <is>
          <t>GB-2.4: modular gas genset 500 kW, 480 V (block GB-2, unit 4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Surface</t>
        </is>
      </c>
      <c r="T4679" s="15" t="n">
        <v>14</v>
      </c>
      <c r="U4679" s="15" t="n">
        <v>28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I-I-0077</t>
        </is>
      </c>
      <c r="B4680" s="12" t="inlineStr">
        <is>
          <t>I</t>
        </is>
      </c>
      <c r="C4680" s="12" t="inlineStr">
        <is>
          <t>Modular / portable power</t>
        </is>
      </c>
      <c r="D4680" s="12" t="inlineStr">
        <is>
          <t>L7 GB-2.5 instrumentation: gas pressure, temperatures</t>
        </is>
      </c>
      <c r="E4680" s="12" t="inlineStr">
        <is>
          <t>GBC-2</t>
        </is>
      </c>
      <c r="F4680" s="12" t="inlineStr">
        <is>
          <t xml:space="preserve">GBC-2: block GB-2 generator collector box, 480 V outdoor switchboard, </t>
        </is>
      </c>
      <c r="G4680" s="12" t="inlineStr">
        <is>
          <t>GB-2.5</t>
        </is>
      </c>
      <c r="H4680" s="12" t="inlineStr">
        <is>
          <t>GB-2.5: modular gas genset 500 kW, 480 V (block GB-2, unit 5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Tray</t>
        </is>
      </c>
      <c r="T4680" s="15" t="n">
        <v>0</v>
      </c>
      <c r="U4680" s="15" t="n">
        <v>30</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I-I-0078</t>
        </is>
      </c>
      <c r="B4681" s="12" t="inlineStr">
        <is>
          <t>I</t>
        </is>
      </c>
      <c r="C4681" s="12" t="inlineStr">
        <is>
          <t>Modular / portable power</t>
        </is>
      </c>
      <c r="D4681" s="12" t="inlineStr">
        <is>
          <t>L7 GB-3.1 instrumentation: gas pressure, temperatures</t>
        </is>
      </c>
      <c r="E4681" s="12" t="inlineStr">
        <is>
          <t>GBC-3</t>
        </is>
      </c>
      <c r="F4681" s="12" t="inlineStr">
        <is>
          <t xml:space="preserve">GBC-3: block GB-3 generator collector box, 480 V outdoor switchboard, </t>
        </is>
      </c>
      <c r="G4681" s="12" t="inlineStr">
        <is>
          <t>GB-3.1</t>
        </is>
      </c>
      <c r="H4681" s="12" t="inlineStr">
        <is>
          <t>GB-3.1: modular gas genset 500 kW, 480 V (block GB-3, unit 1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44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I-I-0079</t>
        </is>
      </c>
      <c r="B4682" s="12" t="inlineStr">
        <is>
          <t>I</t>
        </is>
      </c>
      <c r="C4682" s="12" t="inlineStr">
        <is>
          <t>Modular / portable power</t>
        </is>
      </c>
      <c r="D4682" s="12" t="inlineStr">
        <is>
          <t>L7 GB-3.2 instrumentation: gas pressure, temperatures</t>
        </is>
      </c>
      <c r="E4682" s="12" t="inlineStr">
        <is>
          <t>GBC-3</t>
        </is>
      </c>
      <c r="F4682" s="12" t="inlineStr">
        <is>
          <t xml:space="preserve">GBC-3: block GB-3 generator collector box, 480 V outdoor switchboard, </t>
        </is>
      </c>
      <c r="G4682" s="12" t="inlineStr">
        <is>
          <t>GB-3.2</t>
        </is>
      </c>
      <c r="H4682" s="12" t="inlineStr">
        <is>
          <t>GB-3.2: modular gas genset 500 kW, 480 V (block GB-3, unit 2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34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I-I-0080</t>
        </is>
      </c>
      <c r="B4683" s="12" t="inlineStr">
        <is>
          <t>I</t>
        </is>
      </c>
      <c r="C4683" s="12" t="inlineStr">
        <is>
          <t>Modular / portable power</t>
        </is>
      </c>
      <c r="D4683" s="12" t="inlineStr">
        <is>
          <t>L7 GB-3.3 instrumentation: gas pressure, temperatures</t>
        </is>
      </c>
      <c r="E4683" s="12" t="inlineStr">
        <is>
          <t>GBC-3</t>
        </is>
      </c>
      <c r="F4683" s="12" t="inlineStr">
        <is>
          <t xml:space="preserve">GBC-3: block GB-3 generator collector box, 480 V outdoor switchboard, </t>
        </is>
      </c>
      <c r="G4683" s="12" t="inlineStr">
        <is>
          <t>GB-3.3</t>
        </is>
      </c>
      <c r="H4683" s="12" t="inlineStr">
        <is>
          <t>GB-3.3: modular gas genset 500 kW, 480 V (block GB-3, unit 3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24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I-I-0081</t>
        </is>
      </c>
      <c r="B4684" s="12" t="inlineStr">
        <is>
          <t>I</t>
        </is>
      </c>
      <c r="C4684" s="12" t="inlineStr">
        <is>
          <t>Modular / portable power</t>
        </is>
      </c>
      <c r="D4684" s="12" t="inlineStr">
        <is>
          <t>L7 GB-3.4 instrumentation: gas pressure, temperatures</t>
        </is>
      </c>
      <c r="E4684" s="12" t="inlineStr">
        <is>
          <t>GBC-3</t>
        </is>
      </c>
      <c r="F4684" s="12" t="inlineStr">
        <is>
          <t xml:space="preserve">GBC-3: block GB-3 generator collector box, 480 V outdoor switchboard, </t>
        </is>
      </c>
      <c r="G4684" s="12" t="inlineStr">
        <is>
          <t>GB-3.4</t>
        </is>
      </c>
      <c r="H4684" s="12" t="inlineStr">
        <is>
          <t>GB-3.4: modular gas genset 500 kW, 480 V (block GB-3, unit 4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14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I-I-0082</t>
        </is>
      </c>
      <c r="B4685" s="12" t="inlineStr">
        <is>
          <t>I</t>
        </is>
      </c>
      <c r="C4685" s="12" t="inlineStr">
        <is>
          <t>Modular / portable power</t>
        </is>
      </c>
      <c r="D4685" s="12" t="inlineStr">
        <is>
          <t>L7 GB-3.5 instrumentation: gas pressure, temperatures</t>
        </is>
      </c>
      <c r="E4685" s="12" t="inlineStr">
        <is>
          <t>GBC-3</t>
        </is>
      </c>
      <c r="F4685" s="12" t="inlineStr">
        <is>
          <t xml:space="preserve">GBC-3: block GB-3 generator collector box, 480 V outdoor switchboard, </t>
        </is>
      </c>
      <c r="G4685" s="12" t="inlineStr">
        <is>
          <t>GB-3.5</t>
        </is>
      </c>
      <c r="H4685" s="12" t="inlineStr">
        <is>
          <t>GB-3.5: modular gas genset 500 kW, 480 V (block GB-3, unit 5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Tray</t>
        </is>
      </c>
      <c r="T4685" s="15" t="n">
        <v>0</v>
      </c>
      <c r="U4685" s="15" t="n">
        <v>30</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I-I-0083</t>
        </is>
      </c>
      <c r="B4686" s="12" t="inlineStr">
        <is>
          <t>I</t>
        </is>
      </c>
      <c r="C4686" s="12" t="inlineStr">
        <is>
          <t>Modular / portable power</t>
        </is>
      </c>
      <c r="D4686" s="12" t="inlineStr">
        <is>
          <t>L7 GB-4.1 instrumentation: gas pressure, temperatures</t>
        </is>
      </c>
      <c r="E4686" s="12" t="inlineStr">
        <is>
          <t>GBC-4</t>
        </is>
      </c>
      <c r="F4686" s="12" t="inlineStr">
        <is>
          <t xml:space="preserve">GBC-4: block GB-4 generator collector box, 480 V outdoor switchboard, </t>
        </is>
      </c>
      <c r="G4686" s="12" t="inlineStr">
        <is>
          <t>GB-4.1</t>
        </is>
      </c>
      <c r="H4686" s="12" t="inlineStr">
        <is>
          <t>GB-4.1: modular gas genset 500 kW, 480 V (block GB-4, unit 1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36</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I-I-0084</t>
        </is>
      </c>
      <c r="B4687" s="12" t="inlineStr">
        <is>
          <t>I</t>
        </is>
      </c>
      <c r="C4687" s="12" t="inlineStr">
        <is>
          <t>Modular / portable power</t>
        </is>
      </c>
      <c r="D4687" s="12" t="inlineStr">
        <is>
          <t>L7 GB-4.2 instrumentation: gas pressure, temperatures</t>
        </is>
      </c>
      <c r="E4687" s="12" t="inlineStr">
        <is>
          <t>GBC-4</t>
        </is>
      </c>
      <c r="F4687" s="12" t="inlineStr">
        <is>
          <t xml:space="preserve">GBC-4: block GB-4 generator collector box, 480 V outdoor switchboard, </t>
        </is>
      </c>
      <c r="G4687" s="12" t="inlineStr">
        <is>
          <t>GB-4.2</t>
        </is>
      </c>
      <c r="H4687" s="12" t="inlineStr">
        <is>
          <t>GB-4.2: modular gas genset 500 kW, 480 V (block GB-4, unit 2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34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I-I-0085</t>
        </is>
      </c>
      <c r="B4688" s="12" t="inlineStr">
        <is>
          <t>I</t>
        </is>
      </c>
      <c r="C4688" s="12" t="inlineStr">
        <is>
          <t>Modular / portable power</t>
        </is>
      </c>
      <c r="D4688" s="12" t="inlineStr">
        <is>
          <t>L7 GB-4.3 instrumentation: gas pressure, temperatures</t>
        </is>
      </c>
      <c r="E4688" s="12" t="inlineStr">
        <is>
          <t>GBC-4</t>
        </is>
      </c>
      <c r="F4688" s="12" t="inlineStr">
        <is>
          <t xml:space="preserve">GBC-4: block GB-4 generator collector box, 480 V outdoor switchboard, </t>
        </is>
      </c>
      <c r="G4688" s="12" t="inlineStr">
        <is>
          <t>GB-4.3</t>
        </is>
      </c>
      <c r="H4688" s="12" t="inlineStr">
        <is>
          <t>GB-4.3: modular gas genset 500 kW, 480 V (block GB-4, unit 3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24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I-I-0086</t>
        </is>
      </c>
      <c r="B4689" s="12" t="inlineStr">
        <is>
          <t>I</t>
        </is>
      </c>
      <c r="C4689" s="12" t="inlineStr">
        <is>
          <t>Modular / portable power</t>
        </is>
      </c>
      <c r="D4689" s="12" t="inlineStr">
        <is>
          <t>L7 GB-4.4 instrumentation: gas pressure, temperatures</t>
        </is>
      </c>
      <c r="E4689" s="12" t="inlineStr">
        <is>
          <t>GBC-4</t>
        </is>
      </c>
      <c r="F4689" s="12" t="inlineStr">
        <is>
          <t xml:space="preserve">GBC-4: block GB-4 generator collector box, 480 V outdoor switchboard, </t>
        </is>
      </c>
      <c r="G4689" s="12" t="inlineStr">
        <is>
          <t>GB-4.4</t>
        </is>
      </c>
      <c r="H4689" s="12" t="inlineStr">
        <is>
          <t>GB-4.4: modular gas genset 500 kW, 480 V (block GB-4, unit 4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14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I-I-0087</t>
        </is>
      </c>
      <c r="B4690" s="12" t="inlineStr">
        <is>
          <t>I</t>
        </is>
      </c>
      <c r="C4690" s="12" t="inlineStr">
        <is>
          <t>Modular / portable power</t>
        </is>
      </c>
      <c r="D4690" s="12" t="inlineStr">
        <is>
          <t>L7 GB-4.5 instrumentation: gas pressure, temperatures</t>
        </is>
      </c>
      <c r="E4690" s="12" t="inlineStr">
        <is>
          <t>GBC-4</t>
        </is>
      </c>
      <c r="F4690" s="12" t="inlineStr">
        <is>
          <t xml:space="preserve">GBC-4: block GB-4 generator collector box, 480 V outdoor switchboard, </t>
        </is>
      </c>
      <c r="G4690" s="12" t="inlineStr">
        <is>
          <t>GB-4.5</t>
        </is>
      </c>
      <c r="H4690" s="12" t="inlineStr">
        <is>
          <t>GB-4.5: modular gas genset 500 kW, 480 V (block GB-4, unit 5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Tray</t>
        </is>
      </c>
      <c r="T4690" s="15" t="n">
        <v>0</v>
      </c>
      <c r="U4690" s="15" t="n">
        <v>30</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I-I-0088</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I-I-0089</t>
        </is>
      </c>
      <c r="B4692" s="12" t="inlineStr">
        <is>
          <t>I</t>
        </is>
      </c>
      <c r="C4692" s="12" t="inlineStr">
        <is>
          <t>Modular / portable power</t>
        </is>
      </c>
      <c r="D4692" s="12" t="inlineStr">
        <is>
          <t>Instrumentation</t>
        </is>
      </c>
      <c r="E4692" s="12" t="inlineStr"/>
      <c r="F4692" s="12" t="inlineStr">
        <is>
          <t>PCM: power control module</t>
        </is>
      </c>
      <c r="G4692" s="12" t="inlineStr"/>
      <c r="H4692" s="12" t="inlineStr">
        <is>
          <t>Gas conditioning skid</t>
        </is>
      </c>
      <c r="I4692" s="12" t="inlineStr">
        <is>
          <t>Instrumentation</t>
        </is>
      </c>
      <c r="J4692" s="12" t="inlineStr">
        <is>
          <t>Instrumentation ITC / PLTC, IS, #18 shielded pairs, blue jacket</t>
        </is>
      </c>
      <c r="K4692" s="12" t="inlineStr">
        <is>
          <t>ITC|12 pr|18</t>
        </is>
      </c>
      <c r="L4692" s="12" t="inlineStr">
        <is>
          <t>12 pr</t>
        </is>
      </c>
      <c r="M4692" s="12" t="inlineStr">
        <is>
          <t>18</t>
        </is>
      </c>
      <c r="N4692" s="12" t="n">
        <v>1</v>
      </c>
      <c r="O4692" s="12" t="n">
        <v>1</v>
      </c>
      <c r="P4692" s="12" t="n"/>
      <c r="Q4692" s="12" t="n"/>
      <c r="R4692" s="12" t="n"/>
      <c r="S4692" s="12" t="inlineStr">
        <is>
          <t>Duct bank</t>
        </is>
      </c>
      <c r="T4692" s="15" t="n">
        <v>258</v>
      </c>
      <c r="U4692" s="15" t="n">
        <v>172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I-I-0090</t>
        </is>
      </c>
      <c r="B4693" s="12" t="inlineStr">
        <is>
          <t>I</t>
        </is>
      </c>
      <c r="C4693" s="12" t="inlineStr">
        <is>
          <t>Modular / portable power</t>
        </is>
      </c>
      <c r="D4693" s="12" t="inlineStr">
        <is>
          <t>IG-GSU monitoring: temperatures, gas relay, oil level</t>
        </is>
      </c>
      <c r="E4693" s="12" t="inlineStr">
        <is>
          <t>IG-1</t>
        </is>
      </c>
      <c r="F4693" s="12" t="inlineStr">
        <is>
          <t>IG-1: industrial gas-turbine installation, SGT-800 / H-25 class (~50 M</t>
        </is>
      </c>
      <c r="G4693" s="12" t="inlineStr">
        <is>
          <t>IG-GSU</t>
        </is>
      </c>
      <c r="H4693" s="12" t="inlineStr">
        <is>
          <t>IG-GSU: 13.8 / 34.5 kV step-up, ~60 MVA (IG-1 unit step-up)</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Duct bank</t>
        </is>
      </c>
      <c r="T4693" s="15" t="n">
        <v>26</v>
      </c>
      <c r="U4693" s="15" t="n">
        <v>32</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I-I-0091</t>
        </is>
      </c>
      <c r="B4694" s="12" t="inlineStr">
        <is>
          <t>I</t>
        </is>
      </c>
      <c r="C4694" s="12" t="inlineStr">
        <is>
          <t>Modular / portable power</t>
        </is>
      </c>
      <c r="D4694" s="12" t="inlineStr">
        <is>
          <t>Analog instrument to JB JB-MOB-1 gas regulato-AI01: 20 x 1 pr (field cables)</t>
        </is>
      </c>
      <c r="E4694" s="12" t="inlineStr"/>
      <c r="F4694" s="12" t="inlineStr">
        <is>
          <t>MOB-1 gas regulator / meter skid (flexible hose to the trailer)</t>
        </is>
      </c>
      <c r="G4694" s="12" t="inlineStr">
        <is>
          <t>JB-MOB-1 gas regulato-AI01</t>
        </is>
      </c>
      <c r="H4694" s="12" t="inlineStr">
        <is>
          <t>MOB-1 gas regulator / meter skid (flexible hose to the trailer)</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5" t="n">
        <v>40</v>
      </c>
      <c r="U4694" s="15" t="n">
        <v>10</v>
      </c>
      <c r="V4694" s="15">
        <f>ROUNDUP((T4694+U4694+2*'Read Me'!$B$13)*(1+'Read Me'!$B$12),-1)</f>
        <v/>
      </c>
      <c r="W4694" s="15">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I-I-0092</t>
        </is>
      </c>
      <c r="B4695" s="12" t="inlineStr">
        <is>
          <t>I</t>
        </is>
      </c>
      <c r="C4695" s="12" t="inlineStr">
        <is>
          <t>Modular / portable power</t>
        </is>
      </c>
      <c r="D4695" s="12" t="inlineStr">
        <is>
          <t>Home run JB-MOB-1 gas regulato-AI01 to the control / marshalling room</t>
        </is>
      </c>
      <c r="E4695" s="12" t="inlineStr">
        <is>
          <t>PAD-EH</t>
        </is>
      </c>
      <c r="F4695" s="12" t="inlineStr">
        <is>
          <t>PAD-EH 13.8 kV switchgear e-house</t>
        </is>
      </c>
      <c r="G4695" s="12" t="inlineStr">
        <is>
          <t>JB-MOB-1 gas regulato-AI01</t>
        </is>
      </c>
      <c r="H4695" s="12" t="inlineStr">
        <is>
          <t>MOB-1 gas regulator / meter skid (flexible hose to the trailer)</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5" t="n">
        <v>284</v>
      </c>
      <c r="U4695" s="15" t="n">
        <v>92</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I-I-0093</t>
        </is>
      </c>
      <c r="B4696" s="12" t="inlineStr">
        <is>
          <t>I</t>
        </is>
      </c>
      <c r="C4696" s="12" t="inlineStr">
        <is>
          <t>Modular / portable power</t>
        </is>
      </c>
      <c r="D4696" s="12" t="inlineStr">
        <is>
          <t>Discrete device to JB JB-MOB-1 gas regulato-DI01: 20 x 1 pr (field cables)</t>
        </is>
      </c>
      <c r="E4696" s="12" t="inlineStr"/>
      <c r="F4696" s="12" t="inlineStr">
        <is>
          <t>MOB-1 gas regulator / meter skid (flexible hose to the trailer)</t>
        </is>
      </c>
      <c r="G4696" s="12" t="inlineStr">
        <is>
          <t>JB-MOB-1 gas regulato-DI01</t>
        </is>
      </c>
      <c r="H4696" s="12" t="inlineStr">
        <is>
          <t>MOB-1 gas regulator / meter skid (flexible hose to the trailer)</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5" t="n">
        <v>40</v>
      </c>
      <c r="U4696" s="15" t="n">
        <v>10</v>
      </c>
      <c r="V4696" s="15">
        <f>ROUNDUP((T4696+U4696+2*'Read Me'!$B$13)*(1+'Read Me'!$B$12),-1)</f>
        <v/>
      </c>
      <c r="W4696" s="15">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I-I-0094</t>
        </is>
      </c>
      <c r="B4697" s="12" t="inlineStr">
        <is>
          <t>I</t>
        </is>
      </c>
      <c r="C4697" s="12" t="inlineStr">
        <is>
          <t>Modular / portable power</t>
        </is>
      </c>
      <c r="D4697" s="12" t="inlineStr">
        <is>
          <t>Home run JB-MOB-1 gas regulato-DI01 to the control / marshalling room</t>
        </is>
      </c>
      <c r="E4697" s="12" t="inlineStr">
        <is>
          <t>PAD-EH</t>
        </is>
      </c>
      <c r="F4697" s="12" t="inlineStr">
        <is>
          <t>PAD-EH 13.8 kV switchgear e-house</t>
        </is>
      </c>
      <c r="G4697" s="12" t="inlineStr">
        <is>
          <t>JB-MOB-1 gas regulato-DI01</t>
        </is>
      </c>
      <c r="H4697" s="12" t="inlineStr">
        <is>
          <t>MOB-1 gas regulator / meter skid (flexible hose to the trailer)</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5" t="n">
        <v>284</v>
      </c>
      <c r="U4697" s="15" t="n">
        <v>92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I-I-0095</t>
        </is>
      </c>
      <c r="B4698" s="12" t="inlineStr">
        <is>
          <t>I</t>
        </is>
      </c>
      <c r="C4698" s="12" t="inlineStr">
        <is>
          <t>Modular / portable power</t>
        </is>
      </c>
      <c r="D4698" s="12" t="inlineStr">
        <is>
          <t>Analog instrument to JB JB-MOB-1-AI01: 20 x 1 pr (field cables)</t>
        </is>
      </c>
      <c r="E4698" s="12" t="inlineStr">
        <is>
          <t>MOB-1</t>
        </is>
      </c>
      <c r="F4698" s="12" t="inlineStr">
        <is>
          <t>MOB-1: trailer genset</t>
        </is>
      </c>
      <c r="G4698" s="12" t="inlineStr">
        <is>
          <t>JB-MOB-1-AI01</t>
        </is>
      </c>
      <c r="H4698" s="12" t="inlineStr">
        <is>
          <t>MOB-1: trailer genset</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5" t="n">
        <v>66</v>
      </c>
      <c r="U4698" s="15" t="n">
        <v>10</v>
      </c>
      <c r="V4698" s="15">
        <f>ROUNDUP((T4698+U4698+2*'Read Me'!$B$13)*(1+'Read Me'!$B$12),-1)</f>
        <v/>
      </c>
      <c r="W4698" s="15">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I-I-0096</t>
        </is>
      </c>
      <c r="B4699" s="12" t="inlineStr">
        <is>
          <t>I</t>
        </is>
      </c>
      <c r="C4699" s="12" t="inlineStr">
        <is>
          <t>Modular / portable power</t>
        </is>
      </c>
      <c r="D4699" s="12" t="inlineStr">
        <is>
          <t>Home run JB-MOB-1-AI01 to the control / marshalling room</t>
        </is>
      </c>
      <c r="E4699" s="12" t="inlineStr">
        <is>
          <t>PAD-EH</t>
        </is>
      </c>
      <c r="F4699" s="12" t="inlineStr">
        <is>
          <t>PAD-EH 13.8 kV switchgear e-house</t>
        </is>
      </c>
      <c r="G4699" s="12" t="inlineStr">
        <is>
          <t>JB-MOB-1-AI01</t>
        </is>
      </c>
      <c r="H4699" s="12" t="inlineStr">
        <is>
          <t>MOB-1: trailer genset</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5" t="n">
        <v>266</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I-I-0097</t>
        </is>
      </c>
      <c r="B4700" s="12" t="inlineStr">
        <is>
          <t>I</t>
        </is>
      </c>
      <c r="C4700" s="12" t="inlineStr">
        <is>
          <t>Modular / portable power</t>
        </is>
      </c>
      <c r="D4700" s="12" t="inlineStr">
        <is>
          <t>Discrete device to JB JB-MOB-1-DI01: 20 x 1 pr (field cables)</t>
        </is>
      </c>
      <c r="E4700" s="12" t="inlineStr">
        <is>
          <t>MOB-1</t>
        </is>
      </c>
      <c r="F4700" s="12" t="inlineStr">
        <is>
          <t>MOB-1: trailer genset</t>
        </is>
      </c>
      <c r="G4700" s="12" t="inlineStr">
        <is>
          <t>JB-MOB-1-DI01</t>
        </is>
      </c>
      <c r="H4700" s="12" t="inlineStr">
        <is>
          <t>MOB-1: trailer genset</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5" t="n">
        <v>66</v>
      </c>
      <c r="U4700" s="15" t="n">
        <v>10</v>
      </c>
      <c r="V4700" s="15">
        <f>ROUNDUP((T4700+U4700+2*'Read Me'!$B$13)*(1+'Read Me'!$B$12),-1)</f>
        <v/>
      </c>
      <c r="W4700" s="15">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I-I-0098</t>
        </is>
      </c>
      <c r="B4701" s="12" t="inlineStr">
        <is>
          <t>I</t>
        </is>
      </c>
      <c r="C4701" s="12" t="inlineStr">
        <is>
          <t>Modular / portable power</t>
        </is>
      </c>
      <c r="D4701" s="12" t="inlineStr">
        <is>
          <t>Home run JB-MOB-1-DI01 to the control / marshalling room</t>
        </is>
      </c>
      <c r="E4701" s="12" t="inlineStr">
        <is>
          <t>PAD-EH</t>
        </is>
      </c>
      <c r="F4701" s="12" t="inlineStr">
        <is>
          <t>PAD-EH 13.8 kV switchgear e-house</t>
        </is>
      </c>
      <c r="G4701" s="12" t="inlineStr">
        <is>
          <t>JB-MOB-1-DI01</t>
        </is>
      </c>
      <c r="H4701" s="12" t="inlineStr">
        <is>
          <t>MOB-1: trailer genset</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5" t="n">
        <v>266</v>
      </c>
      <c r="U4701" s="15" t="n">
        <v>32</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I-I-0099</t>
        </is>
      </c>
      <c r="B4702" s="12" t="inlineStr">
        <is>
          <t>I</t>
        </is>
      </c>
      <c r="C4702" s="12" t="inlineStr">
        <is>
          <t>Modular / portable power</t>
        </is>
      </c>
      <c r="D4702" s="12" t="inlineStr">
        <is>
          <t>MOD-GT1 monitoring: temperatures, gas relay, oil level</t>
        </is>
      </c>
      <c r="E4702" s="12" t="inlineStr">
        <is>
          <t>MOD-EH</t>
        </is>
      </c>
      <c r="F4702" s="12" t="inlineStr">
        <is>
          <t>MOD-EH: 34.5 kV modular collector e-house (2 bus sections + 13.8 kV st</t>
        </is>
      </c>
      <c r="G4702" s="12" t="inlineStr">
        <is>
          <t>MOD-GT1</t>
        </is>
      </c>
      <c r="H4702" s="12" t="inlineStr">
        <is>
          <t>MOD-GT1: 34.5 kV zigzag grounding transformer, MOD-EH bus 1</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Riser</t>
        </is>
      </c>
      <c r="T4702" s="15" t="n">
        <v>4</v>
      </c>
      <c r="U4702" s="15" t="n">
        <v>32</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I-I-0100</t>
        </is>
      </c>
      <c r="B4703" s="12" t="inlineStr">
        <is>
          <t>I</t>
        </is>
      </c>
      <c r="C4703" s="12" t="inlineStr">
        <is>
          <t>Modular / portable power</t>
        </is>
      </c>
      <c r="D4703" s="12" t="inlineStr">
        <is>
          <t>MOD-GT2 monitoring: temperatures, gas relay, oil level</t>
        </is>
      </c>
      <c r="E4703" s="12" t="inlineStr">
        <is>
          <t>MOD-EH</t>
        </is>
      </c>
      <c r="F4703" s="12" t="inlineStr">
        <is>
          <t>MOD-EH: 34.5 kV modular collector e-house (2 bus sections + 13.8 kV st</t>
        </is>
      </c>
      <c r="G4703" s="12" t="inlineStr">
        <is>
          <t>MOD-GT2</t>
        </is>
      </c>
      <c r="H4703" s="12" t="inlineStr">
        <is>
          <t>MOD-GT2: 34.5 kV zigzag grounding transformer, MOD-EH bus 2</t>
        </is>
      </c>
      <c r="I4703" s="12" t="inlineStr">
        <is>
          <t>Instrumentation</t>
        </is>
      </c>
      <c r="J4703" s="12" t="inlineStr">
        <is>
          <t>Instrumentation ITC / PLTC, IS, #18 shielded pairs, blue jacket</t>
        </is>
      </c>
      <c r="K4703" s="12" t="inlineStr">
        <is>
          <t>ITC|4 pr|18</t>
        </is>
      </c>
      <c r="L4703" s="12" t="inlineStr">
        <is>
          <t>4 pr</t>
        </is>
      </c>
      <c r="M4703" s="12" t="inlineStr">
        <is>
          <t>18</t>
        </is>
      </c>
      <c r="N4703" s="12" t="n">
        <v>1</v>
      </c>
      <c r="O4703" s="12" t="n">
        <v>1</v>
      </c>
      <c r="P4703" s="12" t="n"/>
      <c r="Q4703" s="12" t="n"/>
      <c r="R4703" s="12" t="n"/>
      <c r="S4703" s="12" t="inlineStr">
        <is>
          <t>Riser</t>
        </is>
      </c>
      <c r="T4703" s="15" t="n">
        <v>4</v>
      </c>
      <c r="U4703" s="15" t="n">
        <v>32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I-I-0101</t>
        </is>
      </c>
      <c r="B4704" s="12" t="inlineStr">
        <is>
          <t>I</t>
        </is>
      </c>
      <c r="C4704" s="12" t="inlineStr">
        <is>
          <t>Modular / portable power</t>
        </is>
      </c>
      <c r="D4704" s="12" t="inlineStr">
        <is>
          <t>Instrumentation</t>
        </is>
      </c>
      <c r="E4704" s="12" t="inlineStr"/>
      <c r="F4704" s="12" t="inlineStr">
        <is>
          <t>PCM: power control module</t>
        </is>
      </c>
      <c r="G4704" s="12" t="inlineStr"/>
      <c r="H4704" s="12" t="inlineStr">
        <is>
          <t>MOD-LV 480 V board + 480 V : 13.8 kV step-up</t>
        </is>
      </c>
      <c r="I4704" s="12" t="inlineStr">
        <is>
          <t>Instrumentation</t>
        </is>
      </c>
      <c r="J4704" s="12" t="inlineStr">
        <is>
          <t>Instrumentation PLTC / TC-ER 300 V, #18 twisted shielded pairs, overall shield</t>
        </is>
      </c>
      <c r="K4704" s="12" t="inlineStr">
        <is>
          <t>PLTC|4 pr|18</t>
        </is>
      </c>
      <c r="L4704" s="12" t="inlineStr">
        <is>
          <t>4 pr</t>
        </is>
      </c>
      <c r="M4704" s="12" t="inlineStr">
        <is>
          <t>18</t>
        </is>
      </c>
      <c r="N4704" s="12" t="n">
        <v>1</v>
      </c>
      <c r="O4704" s="12" t="n">
        <v>1</v>
      </c>
      <c r="P4704" s="12" t="n"/>
      <c r="Q4704" s="12" t="n"/>
      <c r="R4704" s="12" t="n"/>
      <c r="S4704" s="12" t="inlineStr">
        <is>
          <t>Duct bank</t>
        </is>
      </c>
      <c r="T4704" s="15" t="n">
        <v>723</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I-I-0102</t>
        </is>
      </c>
      <c r="B4705" s="12" t="inlineStr">
        <is>
          <t>I</t>
        </is>
      </c>
      <c r="C4705" s="12" t="inlineStr">
        <is>
          <t>Modular / portable power</t>
        </is>
      </c>
      <c r="D4705" s="12" t="inlineStr">
        <is>
          <t>MOD-SST monitoring: temperatures, gas relay, oil level</t>
        </is>
      </c>
      <c r="E4705" s="12" t="inlineStr">
        <is>
          <t>MOD-EH</t>
        </is>
      </c>
      <c r="F4705" s="12" t="inlineStr">
        <is>
          <t>MOD-EH: 34.5 kV modular collector e-house (2 bus sections + 13.8 kV st</t>
        </is>
      </c>
      <c r="G4705" s="12" t="inlineStr">
        <is>
          <t>MOD-SST</t>
        </is>
      </c>
      <c r="H4705" s="12" t="inlineStr">
        <is>
          <t>MOD-SST: 34.5 / 13.8 kV station-service transformer, ~10 MVA (yard sta</t>
        </is>
      </c>
      <c r="I4705" s="12" t="inlineStr">
        <is>
          <t>Instrumentation</t>
        </is>
      </c>
      <c r="J4705" s="12" t="inlineStr">
        <is>
          <t>Instrumentation ITC / PLTC, IS, #18 shielded pairs, blue jacket</t>
        </is>
      </c>
      <c r="K4705" s="12" t="inlineStr">
        <is>
          <t>ITC|4 pr|18</t>
        </is>
      </c>
      <c r="L4705" s="12" t="inlineStr">
        <is>
          <t>4 pr</t>
        </is>
      </c>
      <c r="M4705" s="12" t="inlineStr">
        <is>
          <t>18</t>
        </is>
      </c>
      <c r="N4705" s="12" t="n">
        <v>1</v>
      </c>
      <c r="O4705" s="12" t="n">
        <v>1</v>
      </c>
      <c r="P4705" s="12" t="n"/>
      <c r="Q4705" s="12" t="n"/>
      <c r="R4705" s="12" t="n"/>
      <c r="S4705" s="12" t="inlineStr">
        <is>
          <t>Duct bank</t>
        </is>
      </c>
      <c r="T4705" s="15" t="n">
        <v>237</v>
      </c>
      <c r="U4705" s="15" t="n">
        <v>32</v>
      </c>
      <c r="V4705" s="15">
        <f>ROUNDUP((T4705+U4705+2*'Read Me'!$B$13)*(1+'Read Me'!$B$12),-1)</f>
        <v/>
      </c>
      <c r="W4705" s="15">
        <f>V4705*N4705*O4705</f>
        <v/>
      </c>
      <c r="X4705" s="12">
        <f>IF(LEFT(I4705,2)="MV",2*N4705*IF(L4705="1/C",O4705,1),0)</f>
        <v/>
      </c>
      <c r="Y4705" s="12">
        <f>IF(OR(LEFT(K4705,4)="LVAX",LEFT(K4705,6)="MV15AX",LEFT(K4705,4)="CTAX",LEFT(K4705,2)="W|"),2*N4705*O4705,0)</f>
        <v/>
      </c>
      <c r="Z4705" s="12" t="inlineStr"/>
      <c r="AA4705" s="12">
        <f>N4705*O4705</f>
        <v/>
      </c>
    </row>
    <row r="4706">
      <c r="A4706" s="12" t="inlineStr">
        <is>
          <t>I-I-0103</t>
        </is>
      </c>
      <c r="B4706" s="12" t="inlineStr">
        <is>
          <t>I</t>
        </is>
      </c>
      <c r="C4706" s="12" t="inlineStr">
        <is>
          <t>Modular / portable power</t>
        </is>
      </c>
      <c r="D4706" s="12" t="inlineStr">
        <is>
          <t>Analog instrument to JB JB-MT-4..6 480 V swit-AI01: 6 x 1 pr (field cables)</t>
        </is>
      </c>
      <c r="E4706" s="12" t="inlineStr"/>
      <c r="F4706" s="12" t="inlineStr">
        <is>
          <t>MT-4..6 480 V switchboard</t>
        </is>
      </c>
      <c r="G4706" s="12" t="inlineStr">
        <is>
          <t>JB-MT-4..6 480 V swit-AI01</t>
        </is>
      </c>
      <c r="H4706" s="12" t="inlineStr">
        <is>
          <t>MT-4..6 480 V switchboard</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6</v>
      </c>
      <c r="O4706" s="12" t="n">
        <v>1</v>
      </c>
      <c r="P4706" s="12" t="n"/>
      <c r="Q4706" s="12" t="n"/>
      <c r="R4706" s="12" t="n"/>
      <c r="S4706" s="12" t="inlineStr">
        <is>
          <t>Tray / conduit</t>
        </is>
      </c>
      <c r="T4706" s="15" t="n">
        <v>44</v>
      </c>
      <c r="U4706" s="15" t="n">
        <v>10</v>
      </c>
      <c r="V4706" s="15">
        <f>ROUNDUP((T4706+U4706+2*'Read Me'!$B$13)*(1+'Read Me'!$B$12),-1)</f>
        <v/>
      </c>
      <c r="W4706" s="15">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I-I-0104</t>
        </is>
      </c>
      <c r="B4707" s="12" t="inlineStr">
        <is>
          <t>I</t>
        </is>
      </c>
      <c r="C4707" s="12" t="inlineStr">
        <is>
          <t>Modular / portable power</t>
        </is>
      </c>
      <c r="D4707" s="12" t="inlineStr">
        <is>
          <t>Home run JB-MT-4..6 480 V swit-AI01 to the control / marshalling room</t>
        </is>
      </c>
      <c r="E4707" s="12" t="inlineStr">
        <is>
          <t>PAD-EH</t>
        </is>
      </c>
      <c r="F4707" s="12" t="inlineStr">
        <is>
          <t>PAD-EH 13.8 kV switchgear e-house</t>
        </is>
      </c>
      <c r="G4707" s="12" t="inlineStr">
        <is>
          <t>JB-MT-4..6 480 V swit-AI01</t>
        </is>
      </c>
      <c r="H4707" s="12" t="inlineStr">
        <is>
          <t>MT-4..6 480 V switchboard</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5" t="n">
        <v>234</v>
      </c>
      <c r="U4707" s="15" t="n">
        <v>37</v>
      </c>
      <c r="V4707" s="15">
        <f>ROUNDUP((T4707+U4707+2*'Read Me'!$B$13)*(1+'Read Me'!$B$12),-1)</f>
        <v/>
      </c>
      <c r="W4707" s="15">
        <f>V4707*N4707*O4707</f>
        <v/>
      </c>
      <c r="X4707" s="12">
        <f>IF(LEFT(I4707,2)="MV",2*N4707*IF(L4707="1/C",O4707,1),0)</f>
        <v/>
      </c>
      <c r="Y4707" s="12">
        <f>IF(OR(LEFT(K4707,4)="LVAX",LEFT(K4707,6)="MV15AX",LEFT(K4707,4)="CTAX",LEFT(K4707,2)="W|"),2*N4707*O4707,0)</f>
        <v/>
      </c>
      <c r="Z4707" s="12" t="inlineStr"/>
      <c r="AA4707" s="12">
        <f>N4707*O4707</f>
        <v/>
      </c>
    </row>
    <row r="4708">
      <c r="A4708" s="12" t="inlineStr">
        <is>
          <t>I-I-0105</t>
        </is>
      </c>
      <c r="B4708" s="12" t="inlineStr">
        <is>
          <t>I</t>
        </is>
      </c>
      <c r="C4708" s="12" t="inlineStr">
        <is>
          <t>Modular / portable power</t>
        </is>
      </c>
      <c r="D4708" s="12" t="inlineStr">
        <is>
          <t>Discrete device to JB JB-MT-4..6 480 V swit-DI01: 6 x 1 pr (field cables)</t>
        </is>
      </c>
      <c r="E4708" s="12" t="inlineStr"/>
      <c r="F4708" s="12" t="inlineStr">
        <is>
          <t>MT-4..6 480 V switchboard</t>
        </is>
      </c>
      <c r="G4708" s="12" t="inlineStr">
        <is>
          <t>JB-MT-4..6 480 V swit-DI01</t>
        </is>
      </c>
      <c r="H4708" s="12" t="inlineStr">
        <is>
          <t>MT-4..6 480 V switchboard</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6</v>
      </c>
      <c r="O4708" s="12" t="n">
        <v>1</v>
      </c>
      <c r="P4708" s="12" t="n"/>
      <c r="Q4708" s="12" t="n"/>
      <c r="R4708" s="12" t="n"/>
      <c r="S4708" s="12" t="inlineStr">
        <is>
          <t>Tray / conduit</t>
        </is>
      </c>
      <c r="T4708" s="15" t="n">
        <v>44</v>
      </c>
      <c r="U4708" s="15" t="n">
        <v>10</v>
      </c>
      <c r="V4708" s="15">
        <f>ROUNDUP((T4708+U4708+2*'Read Me'!$B$13)*(1+'Read Me'!$B$12),-1)</f>
        <v/>
      </c>
      <c r="W4708" s="15">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I-I-0106</t>
        </is>
      </c>
      <c r="B4709" s="12" t="inlineStr">
        <is>
          <t>I</t>
        </is>
      </c>
      <c r="C4709" s="12" t="inlineStr">
        <is>
          <t>Modular / portable power</t>
        </is>
      </c>
      <c r="D4709" s="12" t="inlineStr">
        <is>
          <t>Home run JB-MT-4..6 480 V swit-DI01 to the control / marshalling room</t>
        </is>
      </c>
      <c r="E4709" s="12" t="inlineStr">
        <is>
          <t>PAD-EH</t>
        </is>
      </c>
      <c r="F4709" s="12" t="inlineStr">
        <is>
          <t>PAD-EH 13.8 kV switchgear e-house</t>
        </is>
      </c>
      <c r="G4709" s="12" t="inlineStr">
        <is>
          <t>JB-MT-4..6 480 V swit-DI01</t>
        </is>
      </c>
      <c r="H4709" s="12" t="inlineStr">
        <is>
          <t>MT-4..6 480 V switchboard</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5" t="n">
        <v>234</v>
      </c>
      <c r="U4709" s="15" t="n">
        <v>37</v>
      </c>
      <c r="V4709" s="15">
        <f>ROUNDUP((T4709+U4709+2*'Read Me'!$B$13)*(1+'Read Me'!$B$12),-1)</f>
        <v/>
      </c>
      <c r="W4709" s="15">
        <f>V4709*N4709*O4709</f>
        <v/>
      </c>
      <c r="X4709" s="12">
        <f>IF(LEFT(I4709,2)="MV",2*N4709*IF(L4709="1/C",O4709,1),0)</f>
        <v/>
      </c>
      <c r="Y4709" s="12">
        <f>IF(OR(LEFT(K4709,4)="LVAX",LEFT(K4709,6)="MV15AX",LEFT(K4709,4)="CTAX",LEFT(K4709,2)="W|"),2*N4709*O4709,0)</f>
        <v/>
      </c>
      <c r="Z4709" s="12" t="inlineStr"/>
      <c r="AA4709" s="12">
        <f>N4709*O4709</f>
        <v/>
      </c>
    </row>
    <row r="4710">
      <c r="A4710" s="12" t="inlineStr">
        <is>
          <t>I-I-0107</t>
        </is>
      </c>
      <c r="B4710" s="12" t="inlineStr">
        <is>
          <t>I</t>
        </is>
      </c>
      <c r="C4710" s="12" t="inlineStr">
        <is>
          <t>Modular / portable power</t>
        </is>
      </c>
      <c r="D4710" s="12" t="inlineStr">
        <is>
          <t>Analog instrument to JB JB-MT-4-AI01: 6 x 1 pr (field cables)</t>
        </is>
      </c>
      <c r="E4710" s="12" t="inlineStr">
        <is>
          <t>MT-4</t>
        </is>
      </c>
      <c r="F4710" s="12" t="inlineStr">
        <is>
          <t>MT-4: microturbine 1 MW (1 MW package class)</t>
        </is>
      </c>
      <c r="G4710" s="12" t="inlineStr">
        <is>
          <t>JB-MT-4-AI01</t>
        </is>
      </c>
      <c r="H4710" s="12" t="inlineStr">
        <is>
          <t>MT-4: microturbine 1 MW (1 MW package class)</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6</v>
      </c>
      <c r="O4710" s="12" t="n">
        <v>1</v>
      </c>
      <c r="P4710" s="12" t="n"/>
      <c r="Q4710" s="12" t="n"/>
      <c r="R4710" s="12" t="n"/>
      <c r="S4710" s="12" t="inlineStr">
        <is>
          <t>Tray / conduit</t>
        </is>
      </c>
      <c r="T4710" s="15" t="n">
        <v>47</v>
      </c>
      <c r="U4710" s="15" t="n">
        <v>10</v>
      </c>
      <c r="V4710" s="15">
        <f>ROUNDUP((T4710+U4710+2*'Read Me'!$B$13)*(1+'Read Me'!$B$12),-1)</f>
        <v/>
      </c>
      <c r="W4710" s="15">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I-I-0108</t>
        </is>
      </c>
      <c r="B4711" s="12" t="inlineStr">
        <is>
          <t>I</t>
        </is>
      </c>
      <c r="C4711" s="12" t="inlineStr">
        <is>
          <t>Modular / portable power</t>
        </is>
      </c>
      <c r="D4711" s="12" t="inlineStr">
        <is>
          <t>Home run JB-MT-4-AI01 to the control / marshalling room</t>
        </is>
      </c>
      <c r="E4711" s="12" t="inlineStr">
        <is>
          <t>PAD-EH</t>
        </is>
      </c>
      <c r="F4711" s="12" t="inlineStr">
        <is>
          <t>PAD-EH 13.8 kV switchgear e-house</t>
        </is>
      </c>
      <c r="G4711" s="12" t="inlineStr">
        <is>
          <t>JB-MT-4-AI01</t>
        </is>
      </c>
      <c r="H4711" s="12" t="inlineStr">
        <is>
          <t>MT-4: microturbine 1 MW (1 MW package class)</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5" t="n">
        <v>318</v>
      </c>
      <c r="U4711" s="15" t="n">
        <v>33</v>
      </c>
      <c r="V4711" s="15">
        <f>ROUNDUP((T4711+U4711+2*'Read Me'!$B$13)*(1+'Read Me'!$B$12),-1)</f>
        <v/>
      </c>
      <c r="W4711" s="15">
        <f>V4711*N4711*O4711</f>
        <v/>
      </c>
      <c r="X4711" s="12">
        <f>IF(LEFT(I4711,2)="MV",2*N4711*IF(L4711="1/C",O4711,1),0)</f>
        <v/>
      </c>
      <c r="Y4711" s="12">
        <f>IF(OR(LEFT(K4711,4)="LVAX",LEFT(K4711,6)="MV15AX",LEFT(K4711,4)="CTAX",LEFT(K4711,2)="W|"),2*N4711*O4711,0)</f>
        <v/>
      </c>
      <c r="Z4711" s="12" t="inlineStr"/>
      <c r="AA4711" s="12">
        <f>N4711*O4711</f>
        <v/>
      </c>
    </row>
    <row r="4712">
      <c r="A4712" s="12" t="inlineStr">
        <is>
          <t>I-I-0109</t>
        </is>
      </c>
      <c r="B4712" s="12" t="inlineStr">
        <is>
          <t>I</t>
        </is>
      </c>
      <c r="C4712" s="12" t="inlineStr">
        <is>
          <t>Modular / portable power</t>
        </is>
      </c>
      <c r="D4712" s="12" t="inlineStr">
        <is>
          <t>Discrete device to JB JB-MT-4-DI01: 6 x 1 pr (field cables)</t>
        </is>
      </c>
      <c r="E4712" s="12" t="inlineStr">
        <is>
          <t>MT-4</t>
        </is>
      </c>
      <c r="F4712" s="12" t="inlineStr">
        <is>
          <t>MT-4: microturbine 1 MW (1 MW package class)</t>
        </is>
      </c>
      <c r="G4712" s="12" t="inlineStr">
        <is>
          <t>JB-MT-4-DI01</t>
        </is>
      </c>
      <c r="H4712" s="12" t="inlineStr">
        <is>
          <t>MT-4: microturbine 1 MW (1 MW package class)</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6</v>
      </c>
      <c r="O4712" s="12" t="n">
        <v>1</v>
      </c>
      <c r="P4712" s="12" t="n"/>
      <c r="Q4712" s="12" t="n"/>
      <c r="R4712" s="12" t="n"/>
      <c r="S4712" s="12" t="inlineStr">
        <is>
          <t>Tray / conduit</t>
        </is>
      </c>
      <c r="T4712" s="15" t="n">
        <v>47</v>
      </c>
      <c r="U4712" s="15" t="n">
        <v>10</v>
      </c>
      <c r="V4712" s="15">
        <f>ROUNDUP((T4712+U4712+2*'Read Me'!$B$13)*(1+'Read Me'!$B$12),-1)</f>
        <v/>
      </c>
      <c r="W4712" s="15">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I-I-0110</t>
        </is>
      </c>
      <c r="B4713" s="12" t="inlineStr">
        <is>
          <t>I</t>
        </is>
      </c>
      <c r="C4713" s="12" t="inlineStr">
        <is>
          <t>Modular / portable power</t>
        </is>
      </c>
      <c r="D4713" s="12" t="inlineStr">
        <is>
          <t>Home run JB-MT-4-DI01 to the control / marshalling room</t>
        </is>
      </c>
      <c r="E4713" s="12" t="inlineStr">
        <is>
          <t>PAD-EH</t>
        </is>
      </c>
      <c r="F4713" s="12" t="inlineStr">
        <is>
          <t>PAD-EH 13.8 kV switchgear e-house</t>
        </is>
      </c>
      <c r="G4713" s="12" t="inlineStr">
        <is>
          <t>JB-MT-4-DI01</t>
        </is>
      </c>
      <c r="H4713" s="12" t="inlineStr">
        <is>
          <t>MT-4: microturbine 1 MW (1 MW package class)</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5" t="n">
        <v>318</v>
      </c>
      <c r="U4713" s="15" t="n">
        <v>33</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I-I-0111</t>
        </is>
      </c>
      <c r="B4714" s="12" t="inlineStr">
        <is>
          <t>I</t>
        </is>
      </c>
      <c r="C4714" s="12" t="inlineStr">
        <is>
          <t>Modular / portable power</t>
        </is>
      </c>
      <c r="D4714" s="12" t="inlineStr">
        <is>
          <t>Analog instrument to JB JB-MT-5-AI01: 6 x 1 pr (field cables)</t>
        </is>
      </c>
      <c r="E4714" s="12" t="inlineStr">
        <is>
          <t>MT-5</t>
        </is>
      </c>
      <c r="F4714" s="12" t="inlineStr">
        <is>
          <t>MT-5: microturbine 1 MW (1 MW package class)</t>
        </is>
      </c>
      <c r="G4714" s="12" t="inlineStr">
        <is>
          <t>JB-MT-5-AI01</t>
        </is>
      </c>
      <c r="H4714" s="12" t="inlineStr">
        <is>
          <t>MT-5: microturbine 1 MW (1 MW package class)</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6</v>
      </c>
      <c r="O4714" s="12" t="n">
        <v>1</v>
      </c>
      <c r="P4714" s="12" t="n"/>
      <c r="Q4714" s="12" t="n"/>
      <c r="R4714" s="12" t="n"/>
      <c r="S4714" s="12" t="inlineStr">
        <is>
          <t>Tray / conduit</t>
        </is>
      </c>
      <c r="T4714" s="15" t="n">
        <v>47</v>
      </c>
      <c r="U4714" s="15" t="n">
        <v>10</v>
      </c>
      <c r="V4714" s="15">
        <f>ROUNDUP((T4714+U4714+2*'Read Me'!$B$13)*(1+'Read Me'!$B$12),-1)</f>
        <v/>
      </c>
      <c r="W4714" s="15">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I-I-0112</t>
        </is>
      </c>
      <c r="B4715" s="12" t="inlineStr">
        <is>
          <t>I</t>
        </is>
      </c>
      <c r="C4715" s="12" t="inlineStr">
        <is>
          <t>Modular / portable power</t>
        </is>
      </c>
      <c r="D4715" s="12" t="inlineStr">
        <is>
          <t>Home run JB-MT-5-AI01 to the control / marshalling room</t>
        </is>
      </c>
      <c r="E4715" s="12" t="inlineStr">
        <is>
          <t>PAD-EH</t>
        </is>
      </c>
      <c r="F4715" s="12" t="inlineStr">
        <is>
          <t>PAD-EH 13.8 kV switchgear e-house</t>
        </is>
      </c>
      <c r="G4715" s="12" t="inlineStr">
        <is>
          <t>JB-MT-5-AI01</t>
        </is>
      </c>
      <c r="H4715" s="12" t="inlineStr">
        <is>
          <t>MT-5: microturbine 1 MW (1 MW package class)</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5" t="n">
        <v>304</v>
      </c>
      <c r="U4715" s="15" t="n">
        <v>33</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I-I-0113</t>
        </is>
      </c>
      <c r="B4716" s="12" t="inlineStr">
        <is>
          <t>I</t>
        </is>
      </c>
      <c r="C4716" s="12" t="inlineStr">
        <is>
          <t>Modular / portable power</t>
        </is>
      </c>
      <c r="D4716" s="12" t="inlineStr">
        <is>
          <t>Discrete device to JB JB-MT-5-DI01: 6 x 1 pr (field cables)</t>
        </is>
      </c>
      <c r="E4716" s="12" t="inlineStr">
        <is>
          <t>MT-5</t>
        </is>
      </c>
      <c r="F4716" s="12" t="inlineStr">
        <is>
          <t>MT-5: microturbine 1 MW (1 MW package class)</t>
        </is>
      </c>
      <c r="G4716" s="12" t="inlineStr">
        <is>
          <t>JB-MT-5-DI01</t>
        </is>
      </c>
      <c r="H4716" s="12" t="inlineStr">
        <is>
          <t>MT-5: microturbine 1 MW (1 MW package class)</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6</v>
      </c>
      <c r="O4716" s="12" t="n">
        <v>1</v>
      </c>
      <c r="P4716" s="12" t="n"/>
      <c r="Q4716" s="12" t="n"/>
      <c r="R4716" s="12" t="n"/>
      <c r="S4716" s="12" t="inlineStr">
        <is>
          <t>Tray / conduit</t>
        </is>
      </c>
      <c r="T4716" s="15" t="n">
        <v>47</v>
      </c>
      <c r="U4716" s="15" t="n">
        <v>10</v>
      </c>
      <c r="V4716" s="15">
        <f>ROUNDUP((T4716+U4716+2*'Read Me'!$B$13)*(1+'Read Me'!$B$12),-1)</f>
        <v/>
      </c>
      <c r="W4716" s="15">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I-I-0114</t>
        </is>
      </c>
      <c r="B4717" s="12" t="inlineStr">
        <is>
          <t>I</t>
        </is>
      </c>
      <c r="C4717" s="12" t="inlineStr">
        <is>
          <t>Modular / portable power</t>
        </is>
      </c>
      <c r="D4717" s="12" t="inlineStr">
        <is>
          <t>Home run JB-MT-5-DI01 to the control / marshalling room</t>
        </is>
      </c>
      <c r="E4717" s="12" t="inlineStr">
        <is>
          <t>PAD-EH</t>
        </is>
      </c>
      <c r="F4717" s="12" t="inlineStr">
        <is>
          <t>PAD-EH 13.8 kV switchgear e-house</t>
        </is>
      </c>
      <c r="G4717" s="12" t="inlineStr">
        <is>
          <t>JB-MT-5-DI01</t>
        </is>
      </c>
      <c r="H4717" s="12" t="inlineStr">
        <is>
          <t>MT-5: microturbine 1 MW (1 MW package class)</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5" t="n">
        <v>304</v>
      </c>
      <c r="U4717" s="15" t="n">
        <v>33</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I-I-0115</t>
        </is>
      </c>
      <c r="B4718" s="12" t="inlineStr">
        <is>
          <t>I</t>
        </is>
      </c>
      <c r="C4718" s="12" t="inlineStr">
        <is>
          <t>Modular / portable power</t>
        </is>
      </c>
      <c r="D4718" s="12" t="inlineStr">
        <is>
          <t>Analog instrument to JB JB-MT-6-AI01: 6 x 1 pr (field cables)</t>
        </is>
      </c>
      <c r="E4718" s="12" t="inlineStr">
        <is>
          <t>MT-6</t>
        </is>
      </c>
      <c r="F4718" s="12" t="inlineStr">
        <is>
          <t>MT-6: microturbine 1 MW (1 MW package class)</t>
        </is>
      </c>
      <c r="G4718" s="12" t="inlineStr">
        <is>
          <t>JB-MT-6-AI01</t>
        </is>
      </c>
      <c r="H4718" s="12" t="inlineStr">
        <is>
          <t>MT-6: microturbine 1 MW (1 MW package class)</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6</v>
      </c>
      <c r="O4718" s="12" t="n">
        <v>1</v>
      </c>
      <c r="P4718" s="12" t="n"/>
      <c r="Q4718" s="12" t="n"/>
      <c r="R4718" s="12" t="n"/>
      <c r="S4718" s="12" t="inlineStr">
        <is>
          <t>Tray / conduit</t>
        </is>
      </c>
      <c r="T4718" s="15" t="n">
        <v>47</v>
      </c>
      <c r="U4718" s="15" t="n">
        <v>10</v>
      </c>
      <c r="V4718" s="15">
        <f>ROUNDUP((T4718+U4718+2*'Read Me'!$B$13)*(1+'Read Me'!$B$12),-1)</f>
        <v/>
      </c>
      <c r="W4718" s="15">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I-I-0116</t>
        </is>
      </c>
      <c r="B4719" s="12" t="inlineStr">
        <is>
          <t>I</t>
        </is>
      </c>
      <c r="C4719" s="12" t="inlineStr">
        <is>
          <t>Modular / portable power</t>
        </is>
      </c>
      <c r="D4719" s="12" t="inlineStr">
        <is>
          <t>Home run JB-MT-6-AI01 to the control / marshalling room</t>
        </is>
      </c>
      <c r="E4719" s="12" t="inlineStr">
        <is>
          <t>PAD-EH</t>
        </is>
      </c>
      <c r="F4719" s="12" t="inlineStr">
        <is>
          <t>PAD-EH 13.8 kV switchgear e-house</t>
        </is>
      </c>
      <c r="G4719" s="12" t="inlineStr">
        <is>
          <t>JB-MT-6-AI01</t>
        </is>
      </c>
      <c r="H4719" s="12" t="inlineStr">
        <is>
          <t>MT-6: microturbine 1 MW (1 MW package class)</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5" t="n">
        <v>234</v>
      </c>
      <c r="U4719" s="15" t="n">
        <v>38</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I-I-0117</t>
        </is>
      </c>
      <c r="B4720" s="12" t="inlineStr">
        <is>
          <t>I</t>
        </is>
      </c>
      <c r="C4720" s="12" t="inlineStr">
        <is>
          <t>Modular / portable power</t>
        </is>
      </c>
      <c r="D4720" s="12" t="inlineStr">
        <is>
          <t>Discrete device to JB JB-MT-6-DI01: 6 x 1 pr (field cables)</t>
        </is>
      </c>
      <c r="E4720" s="12" t="inlineStr">
        <is>
          <t>MT-6</t>
        </is>
      </c>
      <c r="F4720" s="12" t="inlineStr">
        <is>
          <t>MT-6: microturbine 1 MW (1 MW package class)</t>
        </is>
      </c>
      <c r="G4720" s="12" t="inlineStr">
        <is>
          <t>JB-MT-6-DI01</t>
        </is>
      </c>
      <c r="H4720" s="12" t="inlineStr">
        <is>
          <t>MT-6: microturbine 1 MW (1 MW package class)</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6</v>
      </c>
      <c r="O4720" s="12" t="n">
        <v>1</v>
      </c>
      <c r="P4720" s="12" t="n"/>
      <c r="Q4720" s="12" t="n"/>
      <c r="R4720" s="12" t="n"/>
      <c r="S4720" s="12" t="inlineStr">
        <is>
          <t>Tray / conduit</t>
        </is>
      </c>
      <c r="T4720" s="15" t="n">
        <v>47</v>
      </c>
      <c r="U4720" s="15" t="n">
        <v>10</v>
      </c>
      <c r="V4720" s="15">
        <f>ROUNDUP((T4720+U4720+2*'Read Me'!$B$13)*(1+'Read Me'!$B$12),-1)</f>
        <v/>
      </c>
      <c r="W4720" s="15">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I-I-0118</t>
        </is>
      </c>
      <c r="B4721" s="12" t="inlineStr">
        <is>
          <t>I</t>
        </is>
      </c>
      <c r="C4721" s="12" t="inlineStr">
        <is>
          <t>Modular / portable power</t>
        </is>
      </c>
      <c r="D4721" s="12" t="inlineStr">
        <is>
          <t>Home run JB-MT-6-DI01 to the control / marshalling room</t>
        </is>
      </c>
      <c r="E4721" s="12" t="inlineStr">
        <is>
          <t>PAD-EH</t>
        </is>
      </c>
      <c r="F4721" s="12" t="inlineStr">
        <is>
          <t>PAD-EH 13.8 kV switchgear e-house</t>
        </is>
      </c>
      <c r="G4721" s="12" t="inlineStr">
        <is>
          <t>JB-MT-6-DI01</t>
        </is>
      </c>
      <c r="H4721" s="12" t="inlineStr">
        <is>
          <t>MT-6: microturbine 1 MW (1 MW package class)</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5" t="n">
        <v>234</v>
      </c>
      <c r="U4721" s="15" t="n">
        <v>38</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I-I-0119</t>
        </is>
      </c>
      <c r="B4722" s="12" t="inlineStr">
        <is>
          <t>I</t>
        </is>
      </c>
      <c r="C4722" s="12" t="inlineStr">
        <is>
          <t>Modular / portable power</t>
        </is>
      </c>
      <c r="D4722" s="12" t="inlineStr">
        <is>
          <t>MT-TX monitoring: temperatures, gas relay, oil level</t>
        </is>
      </c>
      <c r="E4722" s="12" t="inlineStr"/>
      <c r="F4722" s="12" t="inlineStr">
        <is>
          <t>MT-4..6 480 V switchboard</t>
        </is>
      </c>
      <c r="G4722" s="12" t="inlineStr">
        <is>
          <t>MT-TX</t>
        </is>
      </c>
      <c r="H4722" s="12" t="inlineStr">
        <is>
          <t>MT-TX: 480 V : 13.8 kV, ~3.75 MVA pad-mount (microturbine site)</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0</v>
      </c>
      <c r="U4722" s="15" t="n">
        <v>36</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I-I-0120</t>
        </is>
      </c>
      <c r="B4723" s="12" t="inlineStr">
        <is>
          <t>I</t>
        </is>
      </c>
      <c r="C4723" s="12" t="inlineStr">
        <is>
          <t>Modular / portable power</t>
        </is>
      </c>
      <c r="D4723" s="12" t="inlineStr">
        <is>
          <t>MTG-1 instrumentation</t>
        </is>
      </c>
      <c r="E4723" s="12" t="inlineStr">
        <is>
          <t>MTG-SWG</t>
        </is>
      </c>
      <c r="F4723" s="12" t="inlineStr">
        <is>
          <t>MTG-SWG: 13.8 kV switchgear e-house (2 generator breakers, site feeder</t>
        </is>
      </c>
      <c r="G4723" s="12" t="inlineStr">
        <is>
          <t>MTG-1</t>
        </is>
      </c>
      <c r="H4723" s="12" t="inlineStr">
        <is>
          <t xml:space="preserve">MTG-1: mid-size industrial gas-turbine generator package ~16 MW, 13.8 </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37</v>
      </c>
      <c r="U4723" s="15" t="n">
        <v>34</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I-I-0121</t>
        </is>
      </c>
      <c r="B4724" s="12" t="inlineStr">
        <is>
          <t>I</t>
        </is>
      </c>
      <c r="C4724" s="12" t="inlineStr">
        <is>
          <t>Modular / portable power</t>
        </is>
      </c>
      <c r="D4724" s="12" t="inlineStr">
        <is>
          <t>MTG-2 instrumentation</t>
        </is>
      </c>
      <c r="E4724" s="12" t="inlineStr">
        <is>
          <t>MTG-SWG</t>
        </is>
      </c>
      <c r="F4724" s="12" t="inlineStr">
        <is>
          <t>MTG-SWG: 13.8 kV switchgear e-house (2 generator breakers, site feeder</t>
        </is>
      </c>
      <c r="G4724" s="12" t="inlineStr">
        <is>
          <t>MTG-2</t>
        </is>
      </c>
      <c r="H4724" s="12" t="inlineStr">
        <is>
          <t xml:space="preserve">MTG-2: mid-size industrial gas-turbine generator package ~16 MW, 13.8 </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Duct bank</t>
        </is>
      </c>
      <c r="T4724" s="15" t="n">
        <v>7</v>
      </c>
      <c r="U4724" s="15" t="n">
        <v>34</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I-I-0122</t>
        </is>
      </c>
      <c r="B4725" s="12" t="inlineStr">
        <is>
          <t>I</t>
        </is>
      </c>
      <c r="C4725" s="12" t="inlineStr">
        <is>
          <t>Modular / portable power</t>
        </is>
      </c>
      <c r="D4725" s="12" t="inlineStr">
        <is>
          <t>MTG-AUX monitoring: temperatures, gas relay, oil level</t>
        </is>
      </c>
      <c r="E4725" s="12" t="inlineStr">
        <is>
          <t>MTG-SWG</t>
        </is>
      </c>
      <c r="F4725" s="12" t="inlineStr">
        <is>
          <t>MTG-SWG: 13.8 kV switchgear e-house (2 generator breakers, site feeder</t>
        </is>
      </c>
      <c r="G4725" s="12" t="inlineStr">
        <is>
          <t>MTG-AUX</t>
        </is>
      </c>
      <c r="H4725" s="12" t="inlineStr">
        <is>
          <t>MTG-AUX: 13.8 / 0.48 kV auxiliary transformer</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Duct bank</t>
        </is>
      </c>
      <c r="T4725" s="15" t="n">
        <v>34</v>
      </c>
      <c r="U4725" s="15" t="n">
        <v>32</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I-I-0123</t>
        </is>
      </c>
      <c r="B4726" s="12" t="inlineStr">
        <is>
          <t>I</t>
        </is>
      </c>
      <c r="C4726" s="12" t="inlineStr">
        <is>
          <t>Modular / portable power</t>
        </is>
      </c>
      <c r="D4726" s="12" t="inlineStr">
        <is>
          <t>MTG-FG skid instrumentation (IS)</t>
        </is>
      </c>
      <c r="E4726" s="12" t="inlineStr">
        <is>
          <t>MTG-CB</t>
        </is>
      </c>
      <c r="F4726" s="12" t="inlineStr">
        <is>
          <t>MTG-CB: control and MCC building (unit controls, 480 V MCC)</t>
        </is>
      </c>
      <c r="G4726" s="12" t="inlineStr">
        <is>
          <t>MTG-FG</t>
        </is>
      </c>
      <c r="H4726" s="12" t="inlineStr">
        <is>
          <t>MTG-FG: fuel-gas conditioning skid (scrubber, filter-separator, heater</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Duct bank</t>
        </is>
      </c>
      <c r="T4726" s="15" t="n">
        <v>36</v>
      </c>
      <c r="U4726" s="15" t="n">
        <v>102</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I-I-0124</t>
        </is>
      </c>
      <c r="B4727" s="12" t="inlineStr">
        <is>
          <t>I</t>
        </is>
      </c>
      <c r="C4727" s="12" t="inlineStr">
        <is>
          <t>Modular / portable power</t>
        </is>
      </c>
      <c r="D4727" s="12" t="inlineStr">
        <is>
          <t>MTG-GSU monitoring: temperatures, gas relay, oil level</t>
        </is>
      </c>
      <c r="E4727" s="12" t="inlineStr">
        <is>
          <t>MTG-SWG</t>
        </is>
      </c>
      <c r="F4727" s="12" t="inlineStr">
        <is>
          <t>MTG-SWG: 13.8 kV switchgear e-house (2 generator breakers, site feeder</t>
        </is>
      </c>
      <c r="G4727" s="12" t="inlineStr">
        <is>
          <t>MTG-GSU</t>
        </is>
      </c>
      <c r="H4727" s="12" t="inlineStr">
        <is>
          <t>MTG-GSU: 13.8 / 34.5 kV step-up, ~40 MVA (mid-size turbines)</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Duct bank</t>
        </is>
      </c>
      <c r="T4727" s="15" t="n">
        <v>12</v>
      </c>
      <c r="U4727" s="15" t="n">
        <v>32</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I-I-0125</t>
        </is>
      </c>
      <c r="B4728" s="12" t="inlineStr">
        <is>
          <t>I</t>
        </is>
      </c>
      <c r="C4728" s="12" t="inlineStr">
        <is>
          <t>Modular / portable power</t>
        </is>
      </c>
      <c r="D4728" s="12" t="inlineStr">
        <is>
          <t>PAD-GSU monitoring: temperatures, gas relay, oil level</t>
        </is>
      </c>
      <c r="E4728" s="12" t="inlineStr">
        <is>
          <t>PAD-EH</t>
        </is>
      </c>
      <c r="F4728" s="12" t="inlineStr">
        <is>
          <t>PAD-EH 13.8 kV switchgear e-house</t>
        </is>
      </c>
      <c r="G4728" s="12" t="inlineStr">
        <is>
          <t>PAD-GSU</t>
        </is>
      </c>
      <c r="H4728" s="12" t="inlineStr">
        <is>
          <t>PAD-GSU: 13.8 / 34.5 kV step-up, ~60 MVA (PAD-EH: TM-1, CHP site, MT-T</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44</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I-I-0126</t>
        </is>
      </c>
      <c r="B4729" s="12" t="inlineStr">
        <is>
          <t>I</t>
        </is>
      </c>
      <c r="C4729" s="12" t="inlineStr">
        <is>
          <t>Modular / portable power</t>
        </is>
      </c>
      <c r="D4729" s="12" t="inlineStr">
        <is>
          <t>PGS-1 instrumentation</t>
        </is>
      </c>
      <c r="E4729" s="12" t="inlineStr">
        <is>
          <t>PGS-SWG</t>
        </is>
      </c>
      <c r="F4729" s="12" t="inlineStr">
        <is>
          <t>PGS-SWG: 480 V paralleling switchgear (8 generator breakers, 2 transfo</t>
        </is>
      </c>
      <c r="G4729" s="12" t="inlineStr">
        <is>
          <t>PGS-1</t>
        </is>
      </c>
      <c r="H4729" s="12" t="inlineStr">
        <is>
          <t>PGS-1: enclosed gas genset 1 MW, 480 V (paralleled, unit 1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Riser</t>
        </is>
      </c>
      <c r="T4729" s="15" t="n">
        <v>4</v>
      </c>
      <c r="U4729" s="15" t="n">
        <v>27</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I-I-0127</t>
        </is>
      </c>
      <c r="B4730" s="12" t="inlineStr">
        <is>
          <t>I</t>
        </is>
      </c>
      <c r="C4730" s="12" t="inlineStr">
        <is>
          <t>Modular / portable power</t>
        </is>
      </c>
      <c r="D4730" s="12" t="inlineStr">
        <is>
          <t>PGS-2 instrumentation</t>
        </is>
      </c>
      <c r="E4730" s="12" t="inlineStr">
        <is>
          <t>PGS-SWG</t>
        </is>
      </c>
      <c r="F4730" s="12" t="inlineStr">
        <is>
          <t>PGS-SWG: 480 V paralleling switchgear (8 generator breakers, 2 transfo</t>
        </is>
      </c>
      <c r="G4730" s="12" t="inlineStr">
        <is>
          <t>PGS-2</t>
        </is>
      </c>
      <c r="H4730" s="12" t="inlineStr">
        <is>
          <t>PGS-2: enclosed gas genset 1 MW, 480 V (paralleled, unit 2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Riser</t>
        </is>
      </c>
      <c r="T4730" s="15" t="n">
        <v>4</v>
      </c>
      <c r="U4730" s="15" t="n">
        <v>27</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I-I-0128</t>
        </is>
      </c>
      <c r="B4731" s="12" t="inlineStr">
        <is>
          <t>I</t>
        </is>
      </c>
      <c r="C4731" s="12" t="inlineStr">
        <is>
          <t>Modular / portable power</t>
        </is>
      </c>
      <c r="D4731" s="12" t="inlineStr">
        <is>
          <t>PGS-3 instrumentation</t>
        </is>
      </c>
      <c r="E4731" s="12" t="inlineStr">
        <is>
          <t>PGS-SWG</t>
        </is>
      </c>
      <c r="F4731" s="12" t="inlineStr">
        <is>
          <t>PGS-SWG: 480 V paralleling switchgear (8 generator breakers, 2 transfo</t>
        </is>
      </c>
      <c r="G4731" s="12" t="inlineStr">
        <is>
          <t>PGS-3</t>
        </is>
      </c>
      <c r="H4731" s="12" t="inlineStr">
        <is>
          <t>PGS-3: enclosed gas genset 1 MW, 480 V (paralleled, unit 3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Riser</t>
        </is>
      </c>
      <c r="T4731" s="15" t="n">
        <v>4</v>
      </c>
      <c r="U4731" s="15" t="n">
        <v>27</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I-I-0129</t>
        </is>
      </c>
      <c r="B4732" s="12" t="inlineStr">
        <is>
          <t>I</t>
        </is>
      </c>
      <c r="C4732" s="12" t="inlineStr">
        <is>
          <t>Modular / portable power</t>
        </is>
      </c>
      <c r="D4732" s="12" t="inlineStr">
        <is>
          <t>PGS-4 instrumentation</t>
        </is>
      </c>
      <c r="E4732" s="12" t="inlineStr">
        <is>
          <t>PGS-SWG</t>
        </is>
      </c>
      <c r="F4732" s="12" t="inlineStr">
        <is>
          <t>PGS-SWG: 480 V paralleling switchgear (8 generator breakers, 2 transfo</t>
        </is>
      </c>
      <c r="G4732" s="12" t="inlineStr">
        <is>
          <t>PGS-4</t>
        </is>
      </c>
      <c r="H4732" s="12" t="inlineStr">
        <is>
          <t>PGS-4: enclosed gas genset 1 MW, 480 V (paralleled, unit 4 of 8)</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Riser</t>
        </is>
      </c>
      <c r="T4732" s="15" t="n">
        <v>4</v>
      </c>
      <c r="U4732" s="15" t="n">
        <v>27</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I-I-0130</t>
        </is>
      </c>
      <c r="B4733" s="12" t="inlineStr">
        <is>
          <t>I</t>
        </is>
      </c>
      <c r="C4733" s="12" t="inlineStr">
        <is>
          <t>Modular / portable power</t>
        </is>
      </c>
      <c r="D4733" s="12" t="inlineStr">
        <is>
          <t>PGS-5 instrumentation</t>
        </is>
      </c>
      <c r="E4733" s="12" t="inlineStr">
        <is>
          <t>PGS-SWG</t>
        </is>
      </c>
      <c r="F4733" s="12" t="inlineStr">
        <is>
          <t>PGS-SWG: 480 V paralleling switchgear (8 generator breakers, 2 transfo</t>
        </is>
      </c>
      <c r="G4733" s="12" t="inlineStr">
        <is>
          <t>PGS-5</t>
        </is>
      </c>
      <c r="H4733" s="12" t="inlineStr">
        <is>
          <t>PGS-5: enclosed gas genset 1 MW, 480 V (paralleled, unit 5 of 8)</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16</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I-I-0131</t>
        </is>
      </c>
      <c r="B4734" s="12" t="inlineStr">
        <is>
          <t>I</t>
        </is>
      </c>
      <c r="C4734" s="12" t="inlineStr">
        <is>
          <t>Modular / portable power</t>
        </is>
      </c>
      <c r="D4734" s="12" t="inlineStr">
        <is>
          <t>PGS-6 instrumentation</t>
        </is>
      </c>
      <c r="E4734" s="12" t="inlineStr">
        <is>
          <t>PGS-SWG</t>
        </is>
      </c>
      <c r="F4734" s="12" t="inlineStr">
        <is>
          <t>PGS-SWG: 480 V paralleling switchgear (8 generator breakers, 2 transfo</t>
        </is>
      </c>
      <c r="G4734" s="12" t="inlineStr">
        <is>
          <t>PGS-6</t>
        </is>
      </c>
      <c r="H4734" s="12" t="inlineStr">
        <is>
          <t>PGS-6: enclosed gas genset 1 MW, 480 V (paralleled, unit 6 of 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28</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I-I-0132</t>
        </is>
      </c>
      <c r="B4735" s="12" t="inlineStr">
        <is>
          <t>I</t>
        </is>
      </c>
      <c r="C4735" s="12" t="inlineStr">
        <is>
          <t>Modular / portable power</t>
        </is>
      </c>
      <c r="D4735" s="12" t="inlineStr">
        <is>
          <t>PGS-7 instrumentation</t>
        </is>
      </c>
      <c r="E4735" s="12" t="inlineStr">
        <is>
          <t>PGS-SWG</t>
        </is>
      </c>
      <c r="F4735" s="12" t="inlineStr">
        <is>
          <t>PGS-SWG: 480 V paralleling switchgear (8 generator breakers, 2 transfo</t>
        </is>
      </c>
      <c r="G4735" s="12" t="inlineStr">
        <is>
          <t>PGS-7</t>
        </is>
      </c>
      <c r="H4735" s="12" t="inlineStr">
        <is>
          <t>PGS-7: enclosed gas genset 1 MW, 480 V (paralleled, unit 7 of 8)</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40</v>
      </c>
      <c r="U4735" s="15" t="n">
        <v>32</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I-I-0133</t>
        </is>
      </c>
      <c r="B4736" s="12" t="inlineStr">
        <is>
          <t>I</t>
        </is>
      </c>
      <c r="C4736" s="12" t="inlineStr">
        <is>
          <t>Modular / portable power</t>
        </is>
      </c>
      <c r="D4736" s="12" t="inlineStr">
        <is>
          <t>PGS-8 instrumentation</t>
        </is>
      </c>
      <c r="E4736" s="12" t="inlineStr">
        <is>
          <t>PGS-SWG</t>
        </is>
      </c>
      <c r="F4736" s="12" t="inlineStr">
        <is>
          <t>PGS-SWG: 480 V paralleling switchgear (8 generator breakers, 2 transfo</t>
        </is>
      </c>
      <c r="G4736" s="12" t="inlineStr">
        <is>
          <t>PGS-8</t>
        </is>
      </c>
      <c r="H4736" s="12" t="inlineStr">
        <is>
          <t>PGS-8: enclosed gas genset 1 MW, 480 V (paralleled, unit 8 of 8)</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52</v>
      </c>
      <c r="U4736" s="15" t="n">
        <v>32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I-I-0134</t>
        </is>
      </c>
      <c r="B4737" s="12" t="inlineStr">
        <is>
          <t>I</t>
        </is>
      </c>
      <c r="C4737" s="12" t="inlineStr">
        <is>
          <t>Modular / portable power</t>
        </is>
      </c>
      <c r="D4737" s="12" t="inlineStr">
        <is>
          <t>PGS-SWG bus / breaker monitoring (internal)</t>
        </is>
      </c>
      <c r="E4737" s="12" t="inlineStr">
        <is>
          <t>PGS-SWG</t>
        </is>
      </c>
      <c r="F4737" s="12" t="inlineStr">
        <is>
          <t>PGS-SWG: 480 V paralleling switchgear (8 generator breakers, 2 transfo</t>
        </is>
      </c>
      <c r="G4737" s="12" t="inlineStr">
        <is>
          <t>PGS-SWG</t>
        </is>
      </c>
      <c r="H4737" s="12" t="inlineStr">
        <is>
          <t>PGS-SWG: 480 V paralleling switchgear (8 generator breakers, 2 transfo</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Tray</t>
        </is>
      </c>
      <c r="T4737" s="15" t="n">
        <v>60</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I-I-0135</t>
        </is>
      </c>
      <c r="B4738" s="12" t="inlineStr">
        <is>
          <t>I</t>
        </is>
      </c>
      <c r="C4738" s="12" t="inlineStr">
        <is>
          <t>Modular / portable power</t>
        </is>
      </c>
      <c r="D4738" s="12" t="inlineStr">
        <is>
          <t>PGS-TX1 monitoring: temperatures, gas relay, oil level</t>
        </is>
      </c>
      <c r="E4738" s="12" t="inlineStr">
        <is>
          <t>PGS-SWG</t>
        </is>
      </c>
      <c r="F4738" s="12" t="inlineStr">
        <is>
          <t>PGS-SWG: 480 V paralleling switchgear (8 generator breakers, 2 transfo</t>
        </is>
      </c>
      <c r="G4738" s="12" t="inlineStr">
        <is>
          <t>PGS-TX1</t>
        </is>
      </c>
      <c r="H4738" s="12" t="inlineStr">
        <is>
          <t>PGS-TX1: 480 V : 34.5 kV, ~5 MVA loop-feed pad-mount (gensets 1-4)</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Surface</t>
        </is>
      </c>
      <c r="T4738" s="15" t="n">
        <v>75</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I-I-0136</t>
        </is>
      </c>
      <c r="B4739" s="12" t="inlineStr">
        <is>
          <t>I</t>
        </is>
      </c>
      <c r="C4739" s="12" t="inlineStr">
        <is>
          <t>Modular / portable power</t>
        </is>
      </c>
      <c r="D4739" s="12" t="inlineStr">
        <is>
          <t>PGS-TX2 monitoring: temperatures, gas relay, oil level</t>
        </is>
      </c>
      <c r="E4739" s="12" t="inlineStr">
        <is>
          <t>PGS-SWG</t>
        </is>
      </c>
      <c r="F4739" s="12" t="inlineStr">
        <is>
          <t>PGS-SWG: 480 V paralleling switchgear (8 generator breakers, 2 transfo</t>
        </is>
      </c>
      <c r="G4739" s="12" t="inlineStr">
        <is>
          <t>PGS-TX2</t>
        </is>
      </c>
      <c r="H4739" s="12" t="inlineStr">
        <is>
          <t>PGS-TX2: 480 V : 34.5 kV, ~5 MVA loop-feed pad-mount (gensets 5-8)</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Surface</t>
        </is>
      </c>
      <c r="T4739" s="15" t="n">
        <v>46</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I-I-0137</t>
        </is>
      </c>
      <c r="B4740" s="12" t="inlineStr">
        <is>
          <t>I</t>
        </is>
      </c>
      <c r="C4740" s="12" t="inlineStr">
        <is>
          <t>Modular / portable power</t>
        </is>
      </c>
      <c r="D4740" s="12" t="inlineStr">
        <is>
          <t>PK-GT1 monitoring: temperatures, gas relay, oil level</t>
        </is>
      </c>
      <c r="E4740" s="12" t="inlineStr">
        <is>
          <t>SWG-PK</t>
        </is>
      </c>
      <c r="F4740" s="12" t="inlineStr">
        <is>
          <t>SWG-PK: 34.5 kV park collector switchgear (2 bus sections, tie; 8 feed</t>
        </is>
      </c>
      <c r="G4740" s="12" t="inlineStr">
        <is>
          <t>PK-GT1</t>
        </is>
      </c>
      <c r="H4740" s="12" t="inlineStr">
        <is>
          <t>PK-GT1: 34.5 kV zigzag grounding transformer, SWG-PK bus A</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Duct bank</t>
        </is>
      </c>
      <c r="T4740" s="15" t="n">
        <v>60</v>
      </c>
      <c r="U4740" s="15" t="n">
        <v>38</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I-I-0138</t>
        </is>
      </c>
      <c r="B4741" s="12" t="inlineStr">
        <is>
          <t>I</t>
        </is>
      </c>
      <c r="C4741" s="12" t="inlineStr">
        <is>
          <t>Modular / portable power</t>
        </is>
      </c>
      <c r="D4741" s="12" t="inlineStr">
        <is>
          <t>PK-GT2 monitoring: temperatures, gas relay, oil level</t>
        </is>
      </c>
      <c r="E4741" s="12" t="inlineStr">
        <is>
          <t>SWG-PK</t>
        </is>
      </c>
      <c r="F4741" s="12" t="inlineStr">
        <is>
          <t>SWG-PK: 34.5 kV park collector switchgear (2 bus sections, tie; 8 feed</t>
        </is>
      </c>
      <c r="G4741" s="12" t="inlineStr">
        <is>
          <t>PK-GT2</t>
        </is>
      </c>
      <c r="H4741" s="12" t="inlineStr">
        <is>
          <t>PK-GT2: 34.5 kV zigzag grounding transformer, SWG-PK bus B</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Duct bank</t>
        </is>
      </c>
      <c r="T4741" s="15" t="n">
        <v>72</v>
      </c>
      <c r="U4741" s="15" t="n">
        <v>42</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I-I-0139</t>
        </is>
      </c>
      <c r="B4742" s="12" t="inlineStr">
        <is>
          <t>I</t>
        </is>
      </c>
      <c r="C4742" s="12" t="inlineStr">
        <is>
          <t>Modular / portable power</t>
        </is>
      </c>
      <c r="D4742" s="12" t="inlineStr">
        <is>
          <t>Analog instrument to JB JB-RICE 1 SCR + oxida-AI01: 10 x 1 pr (field cables)</t>
        </is>
      </c>
      <c r="E4742" s="12" t="inlineStr"/>
      <c r="F4742" s="12" t="inlineStr">
        <is>
          <t>RICE 1 SCR + oxidation catalyst and stack</t>
        </is>
      </c>
      <c r="G4742" s="12" t="inlineStr">
        <is>
          <t>JB-RICE 1 SCR + oxida-AI01</t>
        </is>
      </c>
      <c r="H4742" s="12" t="inlineStr">
        <is>
          <t>RICE 1 SCR + oxidation catalyst and stack</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10</v>
      </c>
      <c r="O4742" s="12" t="n">
        <v>1</v>
      </c>
      <c r="P4742" s="12" t="n"/>
      <c r="Q4742" s="12" t="n"/>
      <c r="R4742" s="12" t="n"/>
      <c r="S4742" s="12" t="inlineStr">
        <is>
          <t>Tray / conduit</t>
        </is>
      </c>
      <c r="T4742" s="15" t="n">
        <v>92</v>
      </c>
      <c r="U4742" s="15" t="n">
        <v>10</v>
      </c>
      <c r="V4742" s="15">
        <f>ROUNDUP((T4742+U4742+2*'Read Me'!$B$13)*(1+'Read Me'!$B$12),-1)</f>
        <v/>
      </c>
      <c r="W4742" s="15">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I-I-0140</t>
        </is>
      </c>
      <c r="B4743" s="12" t="inlineStr">
        <is>
          <t>I</t>
        </is>
      </c>
      <c r="C4743" s="12" t="inlineStr">
        <is>
          <t>Modular / portable power</t>
        </is>
      </c>
      <c r="D4743" s="12" t="inlineStr">
        <is>
          <t>Home run JB-RICE 1 SCR + oxida-AI01 to the control / marshalling room</t>
        </is>
      </c>
      <c r="E4743" s="12" t="inlineStr"/>
      <c r="F4743" s="12" t="inlineStr">
        <is>
          <t>PCM: power control module</t>
        </is>
      </c>
      <c r="G4743" s="12" t="inlineStr">
        <is>
          <t>JB-RICE 1 SCR + oxida-AI01</t>
        </is>
      </c>
      <c r="H4743" s="12" t="inlineStr">
        <is>
          <t>RICE 1 SCR + oxidation catalyst and stack</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Duct bank</t>
        </is>
      </c>
      <c r="T4743" s="15" t="n">
        <v>436</v>
      </c>
      <c r="U4743" s="15" t="n">
        <v>160</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I-I-0141</t>
        </is>
      </c>
      <c r="B4744" s="12" t="inlineStr">
        <is>
          <t>I</t>
        </is>
      </c>
      <c r="C4744" s="12" t="inlineStr">
        <is>
          <t>Modular / portable power</t>
        </is>
      </c>
      <c r="D4744" s="12" t="inlineStr">
        <is>
          <t>Discrete device to JB JB-RICE 1 SCR + oxida-DI01: 6 x 1 pr (field cables)</t>
        </is>
      </c>
      <c r="E4744" s="12" t="inlineStr"/>
      <c r="F4744" s="12" t="inlineStr">
        <is>
          <t>RICE 1 SCR + oxidation catalyst and stack</t>
        </is>
      </c>
      <c r="G4744" s="12" t="inlineStr">
        <is>
          <t>JB-RICE 1 SCR + oxida-DI01</t>
        </is>
      </c>
      <c r="H4744" s="12" t="inlineStr">
        <is>
          <t>RICE 1 SCR + oxidation catalyst and stack</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6</v>
      </c>
      <c r="O4744" s="12" t="n">
        <v>1</v>
      </c>
      <c r="P4744" s="12" t="n"/>
      <c r="Q4744" s="12" t="n"/>
      <c r="R4744" s="12" t="n"/>
      <c r="S4744" s="12" t="inlineStr">
        <is>
          <t>Tray / conduit</t>
        </is>
      </c>
      <c r="T4744" s="15" t="n">
        <v>92</v>
      </c>
      <c r="U4744" s="15" t="n">
        <v>10</v>
      </c>
      <c r="V4744" s="15">
        <f>ROUNDUP((T4744+U4744+2*'Read Me'!$B$13)*(1+'Read Me'!$B$12),-1)</f>
        <v/>
      </c>
      <c r="W4744" s="15">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I-I-0142</t>
        </is>
      </c>
      <c r="B4745" s="12" t="inlineStr">
        <is>
          <t>I</t>
        </is>
      </c>
      <c r="C4745" s="12" t="inlineStr">
        <is>
          <t>Modular / portable power</t>
        </is>
      </c>
      <c r="D4745" s="12" t="inlineStr">
        <is>
          <t>Home run JB-RICE 1 SCR + oxida-DI01 to the control / marshalling room</t>
        </is>
      </c>
      <c r="E4745" s="12" t="inlineStr"/>
      <c r="F4745" s="12" t="inlineStr">
        <is>
          <t>PCM: power control module</t>
        </is>
      </c>
      <c r="G4745" s="12" t="inlineStr">
        <is>
          <t>JB-RICE 1 SCR + oxida-DI01</t>
        </is>
      </c>
      <c r="H4745" s="12" t="inlineStr">
        <is>
          <t>RICE 1 SCR + oxidation catalyst and stack</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Duct bank</t>
        </is>
      </c>
      <c r="T4745" s="15" t="n">
        <v>436</v>
      </c>
      <c r="U4745" s="15" t="n">
        <v>160</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I-I-0143</t>
        </is>
      </c>
      <c r="B4746" s="12" t="inlineStr">
        <is>
          <t>I</t>
        </is>
      </c>
      <c r="C4746" s="12" t="inlineStr">
        <is>
          <t>Modular / portable power</t>
        </is>
      </c>
      <c r="D4746" s="12" t="inlineStr">
        <is>
          <t>Analog instrument to JB JB-RICE 1 radiators (-AI01: 5 x 1 pr (field cables)</t>
        </is>
      </c>
      <c r="E4746" s="12" t="inlineStr"/>
      <c r="F4746" s="12" t="inlineStr">
        <is>
          <t>RICE 1 radiators (5)</t>
        </is>
      </c>
      <c r="G4746" s="12" t="inlineStr">
        <is>
          <t>JB-RICE 1 radiators (-AI01</t>
        </is>
      </c>
      <c r="H4746" s="12" t="inlineStr">
        <is>
          <t>RICE 1 radiators (5)</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5</v>
      </c>
      <c r="O4746" s="12" t="n">
        <v>1</v>
      </c>
      <c r="P4746" s="12" t="n"/>
      <c r="Q4746" s="12" t="n"/>
      <c r="R4746" s="12" t="n"/>
      <c r="S4746" s="12" t="inlineStr">
        <is>
          <t>Tray / conduit</t>
        </is>
      </c>
      <c r="T4746" s="15" t="n">
        <v>80</v>
      </c>
      <c r="U4746" s="15" t="n">
        <v>10</v>
      </c>
      <c r="V4746" s="15">
        <f>ROUNDUP((T4746+U4746+2*'Read Me'!$B$13)*(1+'Read Me'!$B$12),-1)</f>
        <v/>
      </c>
      <c r="W4746" s="15">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I-I-0144</t>
        </is>
      </c>
      <c r="B4747" s="12" t="inlineStr">
        <is>
          <t>I</t>
        </is>
      </c>
      <c r="C4747" s="12" t="inlineStr">
        <is>
          <t>Modular / portable power</t>
        </is>
      </c>
      <c r="D4747" s="12" t="inlineStr">
        <is>
          <t>Home run JB-RICE 1 radiators (-AI01 to the control / marshalling room</t>
        </is>
      </c>
      <c r="E4747" s="12" t="inlineStr"/>
      <c r="F4747" s="12" t="inlineStr">
        <is>
          <t>PCM: power control module</t>
        </is>
      </c>
      <c r="G4747" s="12" t="inlineStr">
        <is>
          <t>JB-RICE 1 radiators (-AI01</t>
        </is>
      </c>
      <c r="H4747" s="12" t="inlineStr">
        <is>
          <t>RICE 1 radiators (5)</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5" t="n">
        <v>711</v>
      </c>
      <c r="U4747" s="15" t="n">
        <v>139</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I-I-0145</t>
        </is>
      </c>
      <c r="B4748" s="12" t="inlineStr">
        <is>
          <t>I</t>
        </is>
      </c>
      <c r="C4748" s="12" t="inlineStr">
        <is>
          <t>Modular / portable power</t>
        </is>
      </c>
      <c r="D4748" s="12" t="inlineStr">
        <is>
          <t>Discrete device to JB JB-RICE 1 radiators (-DI01: 10 x 1 pr (field cables)</t>
        </is>
      </c>
      <c r="E4748" s="12" t="inlineStr"/>
      <c r="F4748" s="12" t="inlineStr">
        <is>
          <t>RICE 1 radiators (5)</t>
        </is>
      </c>
      <c r="G4748" s="12" t="inlineStr">
        <is>
          <t>JB-RICE 1 radiators (-DI01</t>
        </is>
      </c>
      <c r="H4748" s="12" t="inlineStr">
        <is>
          <t>RICE 1 radiators (5)</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10</v>
      </c>
      <c r="O4748" s="12" t="n">
        <v>1</v>
      </c>
      <c r="P4748" s="12" t="n"/>
      <c r="Q4748" s="12" t="n"/>
      <c r="R4748" s="12" t="n"/>
      <c r="S4748" s="12" t="inlineStr">
        <is>
          <t>Tray / conduit</t>
        </is>
      </c>
      <c r="T4748" s="15" t="n">
        <v>80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I-I-0146</t>
        </is>
      </c>
      <c r="B4749" s="12" t="inlineStr">
        <is>
          <t>I</t>
        </is>
      </c>
      <c r="C4749" s="12" t="inlineStr">
        <is>
          <t>Modular / portable power</t>
        </is>
      </c>
      <c r="D4749" s="12" t="inlineStr">
        <is>
          <t>Home run JB-RICE 1 radiators (-DI01 to the control / marshalling room</t>
        </is>
      </c>
      <c r="E4749" s="12" t="inlineStr"/>
      <c r="F4749" s="12" t="inlineStr">
        <is>
          <t>PCM: power control module</t>
        </is>
      </c>
      <c r="G4749" s="12" t="inlineStr">
        <is>
          <t>JB-RICE 1 radiators (-DI01</t>
        </is>
      </c>
      <c r="H4749" s="12" t="inlineStr">
        <is>
          <t>RICE 1 radiators (5)</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5" t="n">
        <v>711</v>
      </c>
      <c r="U4749" s="15" t="n">
        <v>139</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I-I-0147</t>
        </is>
      </c>
      <c r="B4750" s="12" t="inlineStr">
        <is>
          <t>I</t>
        </is>
      </c>
      <c r="C4750" s="12" t="inlineStr">
        <is>
          <t>Modular / portable power</t>
        </is>
      </c>
      <c r="D4750" s="12" t="inlineStr">
        <is>
          <t>Analog instrument to JB JB-RICE 2 SCR + oxida-AI01: 10 x 1 pr (field cables)</t>
        </is>
      </c>
      <c r="E4750" s="12" t="inlineStr"/>
      <c r="F4750" s="12" t="inlineStr">
        <is>
          <t>RICE 2 SCR + oxidation catalyst and stack</t>
        </is>
      </c>
      <c r="G4750" s="12" t="inlineStr">
        <is>
          <t>JB-RICE 2 SCR + oxida-AI01</t>
        </is>
      </c>
      <c r="H4750" s="12" t="inlineStr">
        <is>
          <t>RICE 2 SCR + oxidation catalyst and stack</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10</v>
      </c>
      <c r="O4750" s="12" t="n">
        <v>1</v>
      </c>
      <c r="P4750" s="12" t="n"/>
      <c r="Q4750" s="12" t="n"/>
      <c r="R4750" s="12" t="n"/>
      <c r="S4750" s="12" t="inlineStr">
        <is>
          <t>Tray / conduit</t>
        </is>
      </c>
      <c r="T4750" s="15" t="n">
        <v>92</v>
      </c>
      <c r="U4750" s="15" t="n">
        <v>10</v>
      </c>
      <c r="V4750" s="15">
        <f>ROUNDUP((T4750+U4750+2*'Read Me'!$B$13)*(1+'Read Me'!$B$12),-1)</f>
        <v/>
      </c>
      <c r="W4750" s="15">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I-I-0148</t>
        </is>
      </c>
      <c r="B4751" s="12" t="inlineStr">
        <is>
          <t>I</t>
        </is>
      </c>
      <c r="C4751" s="12" t="inlineStr">
        <is>
          <t>Modular / portable power</t>
        </is>
      </c>
      <c r="D4751" s="12" t="inlineStr">
        <is>
          <t>Home run JB-RICE 2 SCR + oxida-AI01 to the control / marshalling room</t>
        </is>
      </c>
      <c r="E4751" s="12" t="inlineStr"/>
      <c r="F4751" s="12" t="inlineStr">
        <is>
          <t>PCM: power control module</t>
        </is>
      </c>
      <c r="G4751" s="12" t="inlineStr">
        <is>
          <t>JB-RICE 2 SCR + oxida-AI01</t>
        </is>
      </c>
      <c r="H4751" s="12" t="inlineStr">
        <is>
          <t>RICE 2 SCR + oxidation catalyst and stack</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5" t="n">
        <v>436</v>
      </c>
      <c r="U4751" s="15" t="n">
        <v>132</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I-I-0149</t>
        </is>
      </c>
      <c r="B4752" s="12" t="inlineStr">
        <is>
          <t>I</t>
        </is>
      </c>
      <c r="C4752" s="12" t="inlineStr">
        <is>
          <t>Modular / portable power</t>
        </is>
      </c>
      <c r="D4752" s="12" t="inlineStr">
        <is>
          <t>Discrete device to JB JB-RICE 2 SCR + oxida-DI01: 6 x 1 pr (field cables)</t>
        </is>
      </c>
      <c r="E4752" s="12" t="inlineStr"/>
      <c r="F4752" s="12" t="inlineStr">
        <is>
          <t>RICE 2 SCR + oxidation catalyst and stack</t>
        </is>
      </c>
      <c r="G4752" s="12" t="inlineStr">
        <is>
          <t>JB-RICE 2 SCR + oxida-DI01</t>
        </is>
      </c>
      <c r="H4752" s="12" t="inlineStr">
        <is>
          <t>RICE 2 SCR + oxidation catalyst and stack</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6</v>
      </c>
      <c r="O4752" s="12" t="n">
        <v>1</v>
      </c>
      <c r="P4752" s="12" t="n"/>
      <c r="Q4752" s="12" t="n"/>
      <c r="R4752" s="12" t="n"/>
      <c r="S4752" s="12" t="inlineStr">
        <is>
          <t>Tray / conduit</t>
        </is>
      </c>
      <c r="T4752" s="15" t="n">
        <v>92</v>
      </c>
      <c r="U4752" s="15" t="n">
        <v>10</v>
      </c>
      <c r="V4752" s="15">
        <f>ROUNDUP((T4752+U4752+2*'Read Me'!$B$13)*(1+'Read Me'!$B$12),-1)</f>
        <v/>
      </c>
      <c r="W4752" s="15">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I-I-0150</t>
        </is>
      </c>
      <c r="B4753" s="12" t="inlineStr">
        <is>
          <t>I</t>
        </is>
      </c>
      <c r="C4753" s="12" t="inlineStr">
        <is>
          <t>Modular / portable power</t>
        </is>
      </c>
      <c r="D4753" s="12" t="inlineStr">
        <is>
          <t>Home run JB-RICE 2 SCR + oxida-DI01 to the control / marshalling room</t>
        </is>
      </c>
      <c r="E4753" s="12" t="inlineStr"/>
      <c r="F4753" s="12" t="inlineStr">
        <is>
          <t>PCM: power control module</t>
        </is>
      </c>
      <c r="G4753" s="12" t="inlineStr">
        <is>
          <t>JB-RICE 2 SCR + oxida-DI01</t>
        </is>
      </c>
      <c r="H4753" s="12" t="inlineStr">
        <is>
          <t>RICE 2 SCR + oxidation catalyst and stack</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5" t="n">
        <v>436</v>
      </c>
      <c r="U4753" s="15" t="n">
        <v>132</v>
      </c>
      <c r="V4753" s="15">
        <f>ROUNDUP((T4753+U4753+2*'Read Me'!$B$13)*(1+'Read Me'!$B$12),-1)</f>
        <v/>
      </c>
      <c r="W4753" s="15">
        <f>V4753*N4753*O4753</f>
        <v/>
      </c>
      <c r="X4753" s="12">
        <f>IF(LEFT(I4753,2)="MV",2*N4753*IF(L4753="1/C",O4753,1),0)</f>
        <v/>
      </c>
      <c r="Y4753" s="12">
        <f>IF(OR(LEFT(K4753,4)="LVAX",LEFT(K4753,6)="MV15AX",LEFT(K4753,4)="CTAX",LEFT(K4753,2)="W|"),2*N4753*O4753,0)</f>
        <v/>
      </c>
      <c r="Z4753" s="12" t="inlineStr"/>
      <c r="AA4753" s="12">
        <f>N4753*O4753</f>
        <v/>
      </c>
    </row>
    <row r="4754">
      <c r="A4754" s="12" t="inlineStr">
        <is>
          <t>I-I-0151</t>
        </is>
      </c>
      <c r="B4754" s="12" t="inlineStr">
        <is>
          <t>I</t>
        </is>
      </c>
      <c r="C4754" s="12" t="inlineStr">
        <is>
          <t>Modular / portable power</t>
        </is>
      </c>
      <c r="D4754" s="12" t="inlineStr">
        <is>
          <t>Analog instrument to JB JB-RICE 2 radiators (-AI01: 5 x 1 pr (field cables)</t>
        </is>
      </c>
      <c r="E4754" s="12" t="inlineStr"/>
      <c r="F4754" s="12" t="inlineStr">
        <is>
          <t>RICE 2 radiators (5)</t>
        </is>
      </c>
      <c r="G4754" s="12" t="inlineStr">
        <is>
          <t>JB-RICE 2 radiators (-AI01</t>
        </is>
      </c>
      <c r="H4754" s="12" t="inlineStr">
        <is>
          <t>RICE 2 radiators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5</v>
      </c>
      <c r="O4754" s="12" t="n">
        <v>1</v>
      </c>
      <c r="P4754" s="12" t="n"/>
      <c r="Q4754" s="12" t="n"/>
      <c r="R4754" s="12" t="n"/>
      <c r="S4754" s="12" t="inlineStr">
        <is>
          <t>Tray / conduit</t>
        </is>
      </c>
      <c r="T4754" s="15" t="n">
        <v>80</v>
      </c>
      <c r="U4754" s="15" t="n">
        <v>10</v>
      </c>
      <c r="V4754" s="15">
        <f>ROUNDUP((T4754+U4754+2*'Read Me'!$B$13)*(1+'Read Me'!$B$12),-1)</f>
        <v/>
      </c>
      <c r="W4754" s="15">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I-I-0152</t>
        </is>
      </c>
      <c r="B4755" s="12" t="inlineStr">
        <is>
          <t>I</t>
        </is>
      </c>
      <c r="C4755" s="12" t="inlineStr">
        <is>
          <t>Modular / portable power</t>
        </is>
      </c>
      <c r="D4755" s="12" t="inlineStr">
        <is>
          <t>Home run JB-RICE 2 radiators (-AI01 to the control / marshalling room</t>
        </is>
      </c>
      <c r="E4755" s="12" t="inlineStr"/>
      <c r="F4755" s="12" t="inlineStr">
        <is>
          <t>PCM: power control module</t>
        </is>
      </c>
      <c r="G4755" s="12" t="inlineStr">
        <is>
          <t>JB-RICE 2 radiators (-AI01</t>
        </is>
      </c>
      <c r="H4755" s="12" t="inlineStr">
        <is>
          <t>RICE 2 radiators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5" t="n">
        <v>516</v>
      </c>
      <c r="U4755" s="15" t="n">
        <v>192</v>
      </c>
      <c r="V4755" s="15">
        <f>ROUNDUP((T4755+U4755+2*'Read Me'!$B$13)*(1+'Read Me'!$B$12),-1)</f>
        <v/>
      </c>
      <c r="W4755" s="15">
        <f>V4755*N4755*O4755</f>
        <v/>
      </c>
      <c r="X4755" s="12">
        <f>IF(LEFT(I4755,2)="MV",2*N4755*IF(L4755="1/C",O4755,1),0)</f>
        <v/>
      </c>
      <c r="Y4755" s="12">
        <f>IF(OR(LEFT(K4755,4)="LVAX",LEFT(K4755,6)="MV15AX",LEFT(K4755,4)="CTAX",LEFT(K4755,2)="W|"),2*N4755*O4755,0)</f>
        <v/>
      </c>
      <c r="Z4755" s="12" t="inlineStr"/>
      <c r="AA4755" s="12">
        <f>N4755*O4755</f>
        <v/>
      </c>
    </row>
    <row r="4756">
      <c r="A4756" s="12" t="inlineStr">
        <is>
          <t>I-I-0153</t>
        </is>
      </c>
      <c r="B4756" s="12" t="inlineStr">
        <is>
          <t>I</t>
        </is>
      </c>
      <c r="C4756" s="12" t="inlineStr">
        <is>
          <t>Modular / portable power</t>
        </is>
      </c>
      <c r="D4756" s="12" t="inlineStr">
        <is>
          <t>Discrete device to JB JB-RICE 2 radiators (-DI01: 10 x 1 pr (field cables)</t>
        </is>
      </c>
      <c r="E4756" s="12" t="inlineStr"/>
      <c r="F4756" s="12" t="inlineStr">
        <is>
          <t>RICE 2 radiators (5)</t>
        </is>
      </c>
      <c r="G4756" s="12" t="inlineStr">
        <is>
          <t>JB-RICE 2 radiators (-DI01</t>
        </is>
      </c>
      <c r="H4756" s="12" t="inlineStr">
        <is>
          <t>RICE 2 radiators (5)</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10</v>
      </c>
      <c r="O4756" s="12" t="n">
        <v>1</v>
      </c>
      <c r="P4756" s="12" t="n"/>
      <c r="Q4756" s="12" t="n"/>
      <c r="R4756" s="12" t="n"/>
      <c r="S4756" s="12" t="inlineStr">
        <is>
          <t>Tray / conduit</t>
        </is>
      </c>
      <c r="T4756" s="15" t="n">
        <v>80</v>
      </c>
      <c r="U4756" s="15" t="n">
        <v>10</v>
      </c>
      <c r="V4756" s="15">
        <f>ROUNDUP((T4756+U4756+2*'Read Me'!$B$13)*(1+'Read Me'!$B$12),-1)</f>
        <v/>
      </c>
      <c r="W4756" s="15">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I-I-0154</t>
        </is>
      </c>
      <c r="B4757" s="12" t="inlineStr">
        <is>
          <t>I</t>
        </is>
      </c>
      <c r="C4757" s="12" t="inlineStr">
        <is>
          <t>Modular / portable power</t>
        </is>
      </c>
      <c r="D4757" s="12" t="inlineStr">
        <is>
          <t>Home run JB-RICE 2 radiators (-DI01 to the control / marshalling room</t>
        </is>
      </c>
      <c r="E4757" s="12" t="inlineStr"/>
      <c r="F4757" s="12" t="inlineStr">
        <is>
          <t>PCM: power control module</t>
        </is>
      </c>
      <c r="G4757" s="12" t="inlineStr">
        <is>
          <t>JB-RICE 2 radiators (-DI01</t>
        </is>
      </c>
      <c r="H4757" s="12" t="inlineStr">
        <is>
          <t>RICE 2 radiators (5)</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5" t="n">
        <v>516</v>
      </c>
      <c r="U4757" s="15" t="n">
        <v>192</v>
      </c>
      <c r="V4757" s="15">
        <f>ROUNDUP((T4757+U4757+2*'Read Me'!$B$13)*(1+'Read Me'!$B$12),-1)</f>
        <v/>
      </c>
      <c r="W4757" s="15">
        <f>V4757*N4757*O4757</f>
        <v/>
      </c>
      <c r="X4757" s="12">
        <f>IF(LEFT(I4757,2)="MV",2*N4757*IF(L4757="1/C",O4757,1),0)</f>
        <v/>
      </c>
      <c r="Y4757" s="12">
        <f>IF(OR(LEFT(K4757,4)="LVAX",LEFT(K4757,6)="MV15AX",LEFT(K4757,4)="CTAX",LEFT(K4757,2)="W|"),2*N4757*O4757,0)</f>
        <v/>
      </c>
      <c r="Z4757" s="12" t="inlineStr"/>
      <c r="AA4757" s="12">
        <f>N4757*O4757</f>
        <v/>
      </c>
    </row>
    <row r="4758">
      <c r="A4758" s="12" t="inlineStr">
        <is>
          <t>I-I-0155</t>
        </is>
      </c>
      <c r="B4758" s="12" t="inlineStr">
        <is>
          <t>I</t>
        </is>
      </c>
      <c r="C4758" s="12" t="inlineStr">
        <is>
          <t>Modular / portable power</t>
        </is>
      </c>
      <c r="D4758" s="12" t="inlineStr">
        <is>
          <t>Analog instrument to JB JB-RICE 3 SCR + oxida-AI01: 10 x 1 pr (field cables)</t>
        </is>
      </c>
      <c r="E4758" s="12" t="inlineStr"/>
      <c r="F4758" s="12" t="inlineStr">
        <is>
          <t>RICE 3 SCR + oxidation catalyst and stack</t>
        </is>
      </c>
      <c r="G4758" s="12" t="inlineStr">
        <is>
          <t>JB-RICE 3 SCR + oxida-AI01</t>
        </is>
      </c>
      <c r="H4758" s="12" t="inlineStr">
        <is>
          <t>RICE 3 SCR + oxidation catalyst and stack</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10</v>
      </c>
      <c r="O4758" s="12" t="n">
        <v>1</v>
      </c>
      <c r="P4758" s="12" t="n"/>
      <c r="Q4758" s="12" t="n"/>
      <c r="R4758" s="12" t="n"/>
      <c r="S4758" s="12" t="inlineStr">
        <is>
          <t>Tray / conduit</t>
        </is>
      </c>
      <c r="T4758" s="15" t="n">
        <v>92</v>
      </c>
      <c r="U4758" s="15" t="n">
        <v>10</v>
      </c>
      <c r="V4758" s="15">
        <f>ROUNDUP((T4758+U4758+2*'Read Me'!$B$13)*(1+'Read Me'!$B$12),-1)</f>
        <v/>
      </c>
      <c r="W4758" s="15">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I-I-0156</t>
        </is>
      </c>
      <c r="B4759" s="12" t="inlineStr">
        <is>
          <t>I</t>
        </is>
      </c>
      <c r="C4759" s="12" t="inlineStr">
        <is>
          <t>Modular / portable power</t>
        </is>
      </c>
      <c r="D4759" s="12" t="inlineStr">
        <is>
          <t>Home run JB-RICE 3 SCR + oxida-AI01 to the control / marshalling room</t>
        </is>
      </c>
      <c r="E4759" s="12" t="inlineStr"/>
      <c r="F4759" s="12" t="inlineStr">
        <is>
          <t>PCM: power control module</t>
        </is>
      </c>
      <c r="G4759" s="12" t="inlineStr">
        <is>
          <t>JB-RICE 3 SCR + oxida-AI01</t>
        </is>
      </c>
      <c r="H4759" s="12" t="inlineStr">
        <is>
          <t>RICE 3 SCR + oxidation catalyst and stack</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5" t="n">
        <v>436</v>
      </c>
      <c r="U4759" s="15" t="n">
        <v>104</v>
      </c>
      <c r="V4759" s="15">
        <f>ROUNDUP((T4759+U4759+2*'Read Me'!$B$13)*(1+'Read Me'!$B$12),-1)</f>
        <v/>
      </c>
      <c r="W4759" s="15">
        <f>V4759*N4759*O4759</f>
        <v/>
      </c>
      <c r="X4759" s="12">
        <f>IF(LEFT(I4759,2)="MV",2*N4759*IF(L4759="1/C",O4759,1),0)</f>
        <v/>
      </c>
      <c r="Y4759" s="12">
        <f>IF(OR(LEFT(K4759,4)="LVAX",LEFT(K4759,6)="MV15AX",LEFT(K4759,4)="CTAX",LEFT(K4759,2)="W|"),2*N4759*O4759,0)</f>
        <v/>
      </c>
      <c r="Z4759" s="12" t="inlineStr"/>
      <c r="AA4759" s="12">
        <f>N4759*O4759</f>
        <v/>
      </c>
    </row>
    <row r="4760">
      <c r="A4760" s="12" t="inlineStr">
        <is>
          <t>I-I-0157</t>
        </is>
      </c>
      <c r="B4760" s="12" t="inlineStr">
        <is>
          <t>I</t>
        </is>
      </c>
      <c r="C4760" s="12" t="inlineStr">
        <is>
          <t>Modular / portable power</t>
        </is>
      </c>
      <c r="D4760" s="12" t="inlineStr">
        <is>
          <t>Discrete device to JB JB-RICE 3 SCR + oxida-DI01: 6 x 1 pr (field cables)</t>
        </is>
      </c>
      <c r="E4760" s="12" t="inlineStr"/>
      <c r="F4760" s="12" t="inlineStr">
        <is>
          <t>RICE 3 SCR + oxidation catalyst and stack</t>
        </is>
      </c>
      <c r="G4760" s="12" t="inlineStr">
        <is>
          <t>JB-RICE 3 SCR + oxida-DI01</t>
        </is>
      </c>
      <c r="H4760" s="12" t="inlineStr">
        <is>
          <t>RICE 3 SCR + oxidation catalyst and stack</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6</v>
      </c>
      <c r="O4760" s="12" t="n">
        <v>1</v>
      </c>
      <c r="P4760" s="12" t="n"/>
      <c r="Q4760" s="12" t="n"/>
      <c r="R4760" s="12" t="n"/>
      <c r="S4760" s="12" t="inlineStr">
        <is>
          <t>Tray / conduit</t>
        </is>
      </c>
      <c r="T4760" s="15" t="n">
        <v>92</v>
      </c>
      <c r="U4760" s="15" t="n">
        <v>10</v>
      </c>
      <c r="V4760" s="15">
        <f>ROUNDUP((T4760+U4760+2*'Read Me'!$B$13)*(1+'Read Me'!$B$12),-1)</f>
        <v/>
      </c>
      <c r="W4760" s="15">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I-I-0158</t>
        </is>
      </c>
      <c r="B4761" s="12" t="inlineStr">
        <is>
          <t>I</t>
        </is>
      </c>
      <c r="C4761" s="12" t="inlineStr">
        <is>
          <t>Modular / portable power</t>
        </is>
      </c>
      <c r="D4761" s="12" t="inlineStr">
        <is>
          <t>Home run JB-RICE 3 SCR + oxida-DI01 to the control / marshalling room</t>
        </is>
      </c>
      <c r="E4761" s="12" t="inlineStr"/>
      <c r="F4761" s="12" t="inlineStr">
        <is>
          <t>PCM: power control module</t>
        </is>
      </c>
      <c r="G4761" s="12" t="inlineStr">
        <is>
          <t>JB-RICE 3 SCR + oxida-DI01</t>
        </is>
      </c>
      <c r="H4761" s="12" t="inlineStr">
        <is>
          <t>RICE 3 SCR + oxidation catalyst and stack</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5" t="n">
        <v>436</v>
      </c>
      <c r="U4761" s="15" t="n">
        <v>104</v>
      </c>
      <c r="V4761" s="15">
        <f>ROUNDUP((T4761+U4761+2*'Read Me'!$B$13)*(1+'Read Me'!$B$12),-1)</f>
        <v/>
      </c>
      <c r="W4761" s="15">
        <f>V4761*N4761*O4761</f>
        <v/>
      </c>
      <c r="X4761" s="12">
        <f>IF(LEFT(I4761,2)="MV",2*N4761*IF(L4761="1/C",O4761,1),0)</f>
        <v/>
      </c>
      <c r="Y4761" s="12">
        <f>IF(OR(LEFT(K4761,4)="LVAX",LEFT(K4761,6)="MV15AX",LEFT(K4761,4)="CTAX",LEFT(K4761,2)="W|"),2*N4761*O4761,0)</f>
        <v/>
      </c>
      <c r="Z4761" s="12" t="inlineStr"/>
      <c r="AA4761" s="12">
        <f>N4761*O4761</f>
        <v/>
      </c>
    </row>
    <row r="4762">
      <c r="A4762" s="12" t="inlineStr">
        <is>
          <t>I-I-0159</t>
        </is>
      </c>
      <c r="B4762" s="12" t="inlineStr">
        <is>
          <t>I</t>
        </is>
      </c>
      <c r="C4762" s="12" t="inlineStr">
        <is>
          <t>Modular / portable power</t>
        </is>
      </c>
      <c r="D4762" s="12" t="inlineStr">
        <is>
          <t>Analog instrument to JB JB-RICE 3 radiators (-AI01: 5 x 1 pr (field cables)</t>
        </is>
      </c>
      <c r="E4762" s="12" t="inlineStr"/>
      <c r="F4762" s="12" t="inlineStr">
        <is>
          <t>RICE 3 radiators (5)</t>
        </is>
      </c>
      <c r="G4762" s="12" t="inlineStr">
        <is>
          <t>JB-RICE 3 radiators (-AI01</t>
        </is>
      </c>
      <c r="H4762" s="12" t="inlineStr">
        <is>
          <t>RICE 3 radiators (5)</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5</v>
      </c>
      <c r="O4762" s="12" t="n">
        <v>1</v>
      </c>
      <c r="P4762" s="12" t="n"/>
      <c r="Q4762" s="12" t="n"/>
      <c r="R4762" s="12" t="n"/>
      <c r="S4762" s="12" t="inlineStr">
        <is>
          <t>Tray / conduit</t>
        </is>
      </c>
      <c r="T4762" s="15" t="n">
        <v>80</v>
      </c>
      <c r="U4762" s="15" t="n">
        <v>10</v>
      </c>
      <c r="V4762" s="15">
        <f>ROUNDUP((T4762+U4762+2*'Read Me'!$B$13)*(1+'Read Me'!$B$12),-1)</f>
        <v/>
      </c>
      <c r="W4762" s="15">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I-I-0160</t>
        </is>
      </c>
      <c r="B4763" s="12" t="inlineStr">
        <is>
          <t>I</t>
        </is>
      </c>
      <c r="C4763" s="12" t="inlineStr">
        <is>
          <t>Modular / portable power</t>
        </is>
      </c>
      <c r="D4763" s="12" t="inlineStr">
        <is>
          <t>Home run JB-RICE 3 radiators (-AI01 to the control / marshalling room</t>
        </is>
      </c>
      <c r="E4763" s="12" t="inlineStr"/>
      <c r="F4763" s="12" t="inlineStr">
        <is>
          <t>PCM: power control module</t>
        </is>
      </c>
      <c r="G4763" s="12" t="inlineStr">
        <is>
          <t>JB-RICE 3 radiators (-AI01</t>
        </is>
      </c>
      <c r="H4763" s="12" t="inlineStr">
        <is>
          <t>RICE 3 radiators (5)</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Duct bank</t>
        </is>
      </c>
      <c r="T4763" s="15" t="n">
        <v>344</v>
      </c>
      <c r="U4763" s="15" t="n">
        <v>240</v>
      </c>
      <c r="V4763" s="15">
        <f>ROUNDUP((T4763+U4763+2*'Read Me'!$B$13)*(1+'Read Me'!$B$12),-1)</f>
        <v/>
      </c>
      <c r="W4763" s="15">
        <f>V4763*N4763*O4763</f>
        <v/>
      </c>
      <c r="X4763" s="12">
        <f>IF(LEFT(I4763,2)="MV",2*N4763*IF(L4763="1/C",O4763,1),0)</f>
        <v/>
      </c>
      <c r="Y4763" s="12">
        <f>IF(OR(LEFT(K4763,4)="LVAX",LEFT(K4763,6)="MV15AX",LEFT(K4763,4)="CTAX",LEFT(K4763,2)="W|"),2*N4763*O4763,0)</f>
        <v/>
      </c>
      <c r="Z4763" s="12" t="inlineStr"/>
      <c r="AA4763" s="12">
        <f>N4763*O4763</f>
        <v/>
      </c>
    </row>
    <row r="4764">
      <c r="A4764" s="12" t="inlineStr">
        <is>
          <t>I-I-0161</t>
        </is>
      </c>
      <c r="B4764" s="12" t="inlineStr">
        <is>
          <t>I</t>
        </is>
      </c>
      <c r="C4764" s="12" t="inlineStr">
        <is>
          <t>Modular / portable power</t>
        </is>
      </c>
      <c r="D4764" s="12" t="inlineStr">
        <is>
          <t>Discrete device to JB JB-RICE 3 radiators (-DI01: 10 x 1 pr (field cables)</t>
        </is>
      </c>
      <c r="E4764" s="12" t="inlineStr"/>
      <c r="F4764" s="12" t="inlineStr">
        <is>
          <t>RICE 3 radiators (5)</t>
        </is>
      </c>
      <c r="G4764" s="12" t="inlineStr">
        <is>
          <t>JB-RICE 3 radiators (-DI01</t>
        </is>
      </c>
      <c r="H4764" s="12" t="inlineStr">
        <is>
          <t>RICE 3 radiators (5)</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10</v>
      </c>
      <c r="O4764" s="12" t="n">
        <v>1</v>
      </c>
      <c r="P4764" s="12" t="n"/>
      <c r="Q4764" s="12" t="n"/>
      <c r="R4764" s="12" t="n"/>
      <c r="S4764" s="12" t="inlineStr">
        <is>
          <t>Tray / conduit</t>
        </is>
      </c>
      <c r="T4764" s="15" t="n">
        <v>80</v>
      </c>
      <c r="U4764" s="15" t="n">
        <v>10</v>
      </c>
      <c r="V4764" s="15">
        <f>ROUNDUP((T4764+U4764+2*'Read Me'!$B$13)*(1+'Read Me'!$B$12),-1)</f>
        <v/>
      </c>
      <c r="W4764" s="15">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I-I-0162</t>
        </is>
      </c>
      <c r="B4765" s="12" t="inlineStr">
        <is>
          <t>I</t>
        </is>
      </c>
      <c r="C4765" s="12" t="inlineStr">
        <is>
          <t>Modular / portable power</t>
        </is>
      </c>
      <c r="D4765" s="12" t="inlineStr">
        <is>
          <t>Home run JB-RICE 3 radiators (-DI01 to the control / marshalling room</t>
        </is>
      </c>
      <c r="E4765" s="12" t="inlineStr"/>
      <c r="F4765" s="12" t="inlineStr">
        <is>
          <t>PCM: power control module</t>
        </is>
      </c>
      <c r="G4765" s="12" t="inlineStr">
        <is>
          <t>JB-RICE 3 radiators (-DI01</t>
        </is>
      </c>
      <c r="H4765" s="12" t="inlineStr">
        <is>
          <t>RICE 3 radiators (5)</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Duct bank</t>
        </is>
      </c>
      <c r="T4765" s="15" t="n">
        <v>344</v>
      </c>
      <c r="U4765" s="15" t="n">
        <v>240</v>
      </c>
      <c r="V4765" s="15">
        <f>ROUNDUP((T4765+U4765+2*'Read Me'!$B$13)*(1+'Read Me'!$B$12),-1)</f>
        <v/>
      </c>
      <c r="W4765" s="15">
        <f>V4765*N4765*O4765</f>
        <v/>
      </c>
      <c r="X4765" s="12">
        <f>IF(LEFT(I4765,2)="MV",2*N4765*IF(L4765="1/C",O4765,1),0)</f>
        <v/>
      </c>
      <c r="Y4765" s="12">
        <f>IF(OR(LEFT(K4765,4)="LVAX",LEFT(K4765,6)="MV15AX",LEFT(K4765,4)="CTAX",LEFT(K4765,2)="W|"),2*N4765*O4765,0)</f>
        <v/>
      </c>
      <c r="Z4765" s="12" t="inlineStr"/>
      <c r="AA4765" s="12">
        <f>N4765*O4765</f>
        <v/>
      </c>
    </row>
    <row r="4766">
      <c r="A4766" s="12" t="inlineStr">
        <is>
          <t>I-I-0163</t>
        </is>
      </c>
      <c r="B4766" s="12" t="inlineStr">
        <is>
          <t>I</t>
        </is>
      </c>
      <c r="C4766" s="12" t="inlineStr">
        <is>
          <t>Modular / portable power</t>
        </is>
      </c>
      <c r="D4766" s="12" t="inlineStr">
        <is>
          <t>Analog instrument to JB JB-RICE 4 SCR + oxida-AI01: 10 x 1 pr (field cables)</t>
        </is>
      </c>
      <c r="E4766" s="12" t="inlineStr"/>
      <c r="F4766" s="12" t="inlineStr">
        <is>
          <t>RICE 4 SCR + oxidation catalyst and stack</t>
        </is>
      </c>
      <c r="G4766" s="12" t="inlineStr">
        <is>
          <t>JB-RICE 4 SCR + oxida-AI01</t>
        </is>
      </c>
      <c r="H4766" s="12" t="inlineStr">
        <is>
          <t>RICE 4 SCR + oxidation catalyst and stack</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10</v>
      </c>
      <c r="O4766" s="12" t="n">
        <v>1</v>
      </c>
      <c r="P4766" s="12" t="n"/>
      <c r="Q4766" s="12" t="n"/>
      <c r="R4766" s="12" t="n"/>
      <c r="S4766" s="12" t="inlineStr">
        <is>
          <t>Tray / conduit</t>
        </is>
      </c>
      <c r="T4766" s="15" t="n">
        <v>92</v>
      </c>
      <c r="U4766" s="15" t="n">
        <v>10</v>
      </c>
      <c r="V4766" s="15">
        <f>ROUNDUP((T4766+U4766+2*'Read Me'!$B$13)*(1+'Read Me'!$B$12),-1)</f>
        <v/>
      </c>
      <c r="W4766" s="15">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I-I-0164</t>
        </is>
      </c>
      <c r="B4767" s="12" t="inlineStr">
        <is>
          <t>I</t>
        </is>
      </c>
      <c r="C4767" s="12" t="inlineStr">
        <is>
          <t>Modular / portable power</t>
        </is>
      </c>
      <c r="D4767" s="12" t="inlineStr">
        <is>
          <t>Home run JB-RICE 4 SCR + oxida-AI01 to the control / marshalling room</t>
        </is>
      </c>
      <c r="E4767" s="12" t="inlineStr"/>
      <c r="F4767" s="12" t="inlineStr">
        <is>
          <t>PCM: power control module</t>
        </is>
      </c>
      <c r="G4767" s="12" t="inlineStr">
        <is>
          <t>JB-RICE 4 SCR + oxida-AI01</t>
        </is>
      </c>
      <c r="H4767" s="12" t="inlineStr">
        <is>
          <t>RICE 4 SCR + oxidation catalyst and stack</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Duct bank</t>
        </is>
      </c>
      <c r="T4767" s="15" t="n">
        <v>436</v>
      </c>
      <c r="U4767" s="15" t="n">
        <v>76</v>
      </c>
      <c r="V4767" s="15">
        <f>ROUNDUP((T4767+U4767+2*'Read Me'!$B$13)*(1+'Read Me'!$B$12),-1)</f>
        <v/>
      </c>
      <c r="W4767" s="15">
        <f>V4767*N4767*O4767</f>
        <v/>
      </c>
      <c r="X4767" s="12">
        <f>IF(LEFT(I4767,2)="MV",2*N4767*IF(L4767="1/C",O4767,1),0)</f>
        <v/>
      </c>
      <c r="Y4767" s="12">
        <f>IF(OR(LEFT(K4767,4)="LVAX",LEFT(K4767,6)="MV15AX",LEFT(K4767,4)="CTAX",LEFT(K4767,2)="W|"),2*N4767*O4767,0)</f>
        <v/>
      </c>
      <c r="Z4767" s="12" t="inlineStr"/>
      <c r="AA4767" s="12">
        <f>N4767*O4767</f>
        <v/>
      </c>
    </row>
    <row r="4768">
      <c r="A4768" s="12" t="inlineStr">
        <is>
          <t>I-I-0165</t>
        </is>
      </c>
      <c r="B4768" s="12" t="inlineStr">
        <is>
          <t>I</t>
        </is>
      </c>
      <c r="C4768" s="12" t="inlineStr">
        <is>
          <t>Modular / portable power</t>
        </is>
      </c>
      <c r="D4768" s="12" t="inlineStr">
        <is>
          <t>Discrete device to JB JB-RICE 4 SCR + oxida-DI01: 6 x 1 pr (field cables)</t>
        </is>
      </c>
      <c r="E4768" s="12" t="inlineStr"/>
      <c r="F4768" s="12" t="inlineStr">
        <is>
          <t>RICE 4 SCR + oxidation catalyst and stack</t>
        </is>
      </c>
      <c r="G4768" s="12" t="inlineStr">
        <is>
          <t>JB-RICE 4 SCR + oxida-DI01</t>
        </is>
      </c>
      <c r="H4768" s="12" t="inlineStr">
        <is>
          <t>RICE 4 SCR + oxidation catalyst and stack</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6</v>
      </c>
      <c r="O4768" s="12" t="n">
        <v>1</v>
      </c>
      <c r="P4768" s="12" t="n"/>
      <c r="Q4768" s="12" t="n"/>
      <c r="R4768" s="12" t="n"/>
      <c r="S4768" s="12" t="inlineStr">
        <is>
          <t>Tray / conduit</t>
        </is>
      </c>
      <c r="T4768" s="15" t="n">
        <v>92</v>
      </c>
      <c r="U4768" s="15" t="n">
        <v>10</v>
      </c>
      <c r="V4768" s="15">
        <f>ROUNDUP((T4768+U4768+2*'Read Me'!$B$13)*(1+'Read Me'!$B$12),-1)</f>
        <v/>
      </c>
      <c r="W4768" s="15">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I-I-0166</t>
        </is>
      </c>
      <c r="B4769" s="12" t="inlineStr">
        <is>
          <t>I</t>
        </is>
      </c>
      <c r="C4769" s="12" t="inlineStr">
        <is>
          <t>Modular / portable power</t>
        </is>
      </c>
      <c r="D4769" s="12" t="inlineStr">
        <is>
          <t>Home run JB-RICE 4 SCR + oxida-DI01 to the control / marshalling room</t>
        </is>
      </c>
      <c r="E4769" s="12" t="inlineStr"/>
      <c r="F4769" s="12" t="inlineStr">
        <is>
          <t>PCM: power control module</t>
        </is>
      </c>
      <c r="G4769" s="12" t="inlineStr">
        <is>
          <t>JB-RICE 4 SCR + oxida-DI01</t>
        </is>
      </c>
      <c r="H4769" s="12" t="inlineStr">
        <is>
          <t>RICE 4 SCR + oxidation catalyst and stack</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5" t="n">
        <v>436</v>
      </c>
      <c r="U4769" s="15" t="n">
        <v>76</v>
      </c>
      <c r="V4769" s="15">
        <f>ROUNDUP((T4769+U4769+2*'Read Me'!$B$13)*(1+'Read Me'!$B$12),-1)</f>
        <v/>
      </c>
      <c r="W4769" s="15">
        <f>V4769*N4769*O4769</f>
        <v/>
      </c>
      <c r="X4769" s="12">
        <f>IF(LEFT(I4769,2)="MV",2*N4769*IF(L4769="1/C",O4769,1),0)</f>
        <v/>
      </c>
      <c r="Y4769" s="12">
        <f>IF(OR(LEFT(K4769,4)="LVAX",LEFT(K4769,6)="MV15AX",LEFT(K4769,4)="CTAX",LEFT(K4769,2)="W|"),2*N4769*O4769,0)</f>
        <v/>
      </c>
      <c r="Z4769" s="12" t="inlineStr"/>
      <c r="AA4769" s="12">
        <f>N4769*O4769</f>
        <v/>
      </c>
    </row>
    <row r="4770">
      <c r="A4770" s="12" t="inlineStr">
        <is>
          <t>I-I-0167</t>
        </is>
      </c>
      <c r="B4770" s="12" t="inlineStr">
        <is>
          <t>I</t>
        </is>
      </c>
      <c r="C4770" s="12" t="inlineStr">
        <is>
          <t>Modular / portable power</t>
        </is>
      </c>
      <c r="D4770" s="12" t="inlineStr">
        <is>
          <t>Analog instrument to JB JB-RICE 4 radiators (-AI01: 5 x 1 pr (field cables)</t>
        </is>
      </c>
      <c r="E4770" s="12" t="inlineStr"/>
      <c r="F4770" s="12" t="inlineStr">
        <is>
          <t>RICE 4 radiators (5)</t>
        </is>
      </c>
      <c r="G4770" s="12" t="inlineStr">
        <is>
          <t>JB-RICE 4 radiators (-AI01</t>
        </is>
      </c>
      <c r="H4770" s="12" t="inlineStr">
        <is>
          <t>RICE 4 radiators (5)</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5</v>
      </c>
      <c r="O4770" s="12" t="n">
        <v>1</v>
      </c>
      <c r="P4770" s="12" t="n"/>
      <c r="Q4770" s="12" t="n"/>
      <c r="R4770" s="12" t="n"/>
      <c r="S4770" s="12" t="inlineStr">
        <is>
          <t>Tray / conduit</t>
        </is>
      </c>
      <c r="T4770" s="15" t="n">
        <v>80</v>
      </c>
      <c r="U4770" s="15" t="n">
        <v>10</v>
      </c>
      <c r="V4770" s="15">
        <f>ROUNDUP((T4770+U4770+2*'Read Me'!$B$13)*(1+'Read Me'!$B$12),-1)</f>
        <v/>
      </c>
      <c r="W4770" s="15">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I-I-0168</t>
        </is>
      </c>
      <c r="B4771" s="12" t="inlineStr">
        <is>
          <t>I</t>
        </is>
      </c>
      <c r="C4771" s="12" t="inlineStr">
        <is>
          <t>Modular / portable power</t>
        </is>
      </c>
      <c r="D4771" s="12" t="inlineStr">
        <is>
          <t>Home run JB-RICE 4 radiators (-AI01 to the control / marshalling room</t>
        </is>
      </c>
      <c r="E4771" s="12" t="inlineStr"/>
      <c r="F4771" s="12" t="inlineStr">
        <is>
          <t>PCM: power control module</t>
        </is>
      </c>
      <c r="G4771" s="12" t="inlineStr">
        <is>
          <t>JB-RICE 4 radiators (-AI01</t>
        </is>
      </c>
      <c r="H4771" s="12" t="inlineStr">
        <is>
          <t>RICE 4 radiators (5)</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5" t="n">
        <v>0</v>
      </c>
      <c r="U4771" s="15" t="n">
        <v>206</v>
      </c>
      <c r="V4771" s="15">
        <f>ROUNDUP((T4771+U4771+2*'Read Me'!$B$13)*(1+'Read Me'!$B$12),-1)</f>
        <v/>
      </c>
      <c r="W4771" s="15">
        <f>V4771*N4771*O4771</f>
        <v/>
      </c>
      <c r="X4771" s="12">
        <f>IF(LEFT(I4771,2)="MV",2*N4771*IF(L4771="1/C",O4771,1),0)</f>
        <v/>
      </c>
      <c r="Y4771" s="12">
        <f>IF(OR(LEFT(K4771,4)="LVAX",LEFT(K4771,6)="MV15AX",LEFT(K4771,4)="CTAX",LEFT(K4771,2)="W|"),2*N4771*O4771,0)</f>
        <v/>
      </c>
      <c r="Z4771" s="12" t="inlineStr"/>
      <c r="AA4771" s="12">
        <f>N4771*O4771</f>
        <v/>
      </c>
    </row>
    <row r="4772">
      <c r="A4772" s="12" t="inlineStr">
        <is>
          <t>I-I-0169</t>
        </is>
      </c>
      <c r="B4772" s="12" t="inlineStr">
        <is>
          <t>I</t>
        </is>
      </c>
      <c r="C4772" s="12" t="inlineStr">
        <is>
          <t>Modular / portable power</t>
        </is>
      </c>
      <c r="D4772" s="12" t="inlineStr">
        <is>
          <t>Discrete device to JB JB-RICE 4 radiators (-DI01: 10 x 1 pr (field cables)</t>
        </is>
      </c>
      <c r="E4772" s="12" t="inlineStr"/>
      <c r="F4772" s="12" t="inlineStr">
        <is>
          <t>RICE 4 radiators (5)</t>
        </is>
      </c>
      <c r="G4772" s="12" t="inlineStr">
        <is>
          <t>JB-RICE 4 radiators (-DI01</t>
        </is>
      </c>
      <c r="H4772" s="12" t="inlineStr">
        <is>
          <t>RICE 4 radiators (5)</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10</v>
      </c>
      <c r="O4772" s="12" t="n">
        <v>1</v>
      </c>
      <c r="P4772" s="12" t="n"/>
      <c r="Q4772" s="12" t="n"/>
      <c r="R4772" s="12" t="n"/>
      <c r="S4772" s="12" t="inlineStr">
        <is>
          <t>Tray / conduit</t>
        </is>
      </c>
      <c r="T4772" s="15" t="n">
        <v>80</v>
      </c>
      <c r="U4772" s="15" t="n">
        <v>10</v>
      </c>
      <c r="V4772" s="15">
        <f>ROUNDUP((T4772+U4772+2*'Read Me'!$B$13)*(1+'Read Me'!$B$12),-1)</f>
        <v/>
      </c>
      <c r="W4772" s="15">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I-I-0170</t>
        </is>
      </c>
      <c r="B4773" s="12" t="inlineStr">
        <is>
          <t>I</t>
        </is>
      </c>
      <c r="C4773" s="12" t="inlineStr">
        <is>
          <t>Modular / portable power</t>
        </is>
      </c>
      <c r="D4773" s="12" t="inlineStr">
        <is>
          <t>Home run JB-RICE 4 radiators (-DI01 to the control / marshalling room</t>
        </is>
      </c>
      <c r="E4773" s="12" t="inlineStr"/>
      <c r="F4773" s="12" t="inlineStr">
        <is>
          <t>PCM: power control module</t>
        </is>
      </c>
      <c r="G4773" s="12" t="inlineStr">
        <is>
          <t>JB-RICE 4 radiators (-DI01</t>
        </is>
      </c>
      <c r="H4773" s="12" t="inlineStr">
        <is>
          <t>RICE 4 radiators (5)</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5" t="n">
        <v>0</v>
      </c>
      <c r="U4773" s="15" t="n">
        <v>206</v>
      </c>
      <c r="V4773" s="15">
        <f>ROUNDUP((T4773+U4773+2*'Read Me'!$B$13)*(1+'Read Me'!$B$12),-1)</f>
        <v/>
      </c>
      <c r="W4773" s="15">
        <f>V4773*N4773*O4773</f>
        <v/>
      </c>
      <c r="X4773" s="12">
        <f>IF(LEFT(I4773,2)="MV",2*N4773*IF(L4773="1/C",O4773,1),0)</f>
        <v/>
      </c>
      <c r="Y4773" s="12">
        <f>IF(OR(LEFT(K4773,4)="LVAX",LEFT(K4773,6)="MV15AX",LEFT(K4773,4)="CTAX",LEFT(K4773,2)="W|"),2*N4773*O4773,0)</f>
        <v/>
      </c>
      <c r="Z4773" s="12" t="inlineStr"/>
      <c r="AA4773" s="12">
        <f>N4773*O4773</f>
        <v/>
      </c>
    </row>
    <row r="4774">
      <c r="A4774" s="12" t="inlineStr">
        <is>
          <t>I-I-0171</t>
        </is>
      </c>
      <c r="B4774" s="12" t="inlineStr">
        <is>
          <t>I</t>
        </is>
      </c>
      <c r="C4774" s="12" t="inlineStr">
        <is>
          <t>Modular / portable power</t>
        </is>
      </c>
      <c r="D4774" s="12" t="inlineStr">
        <is>
          <t>Analog instrument to JB JB-RICE 5 SCR + oxida-AI01: 10 x 1 pr (field cables)</t>
        </is>
      </c>
      <c r="E4774" s="12" t="inlineStr"/>
      <c r="F4774" s="12" t="inlineStr">
        <is>
          <t>RICE 5 SCR + oxidation catalyst and stack</t>
        </is>
      </c>
      <c r="G4774" s="12" t="inlineStr">
        <is>
          <t>JB-RICE 5 SCR + oxida-AI01</t>
        </is>
      </c>
      <c r="H4774" s="12" t="inlineStr">
        <is>
          <t>RICE 5 SCR + oxidation catalyst and stack</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10</v>
      </c>
      <c r="O4774" s="12" t="n">
        <v>1</v>
      </c>
      <c r="P4774" s="12" t="n"/>
      <c r="Q4774" s="12" t="n"/>
      <c r="R4774" s="12" t="n"/>
      <c r="S4774" s="12" t="inlineStr">
        <is>
          <t>Tray / conduit</t>
        </is>
      </c>
      <c r="T4774" s="15" t="n">
        <v>92</v>
      </c>
      <c r="U4774" s="15" t="n">
        <v>10</v>
      </c>
      <c r="V4774" s="15">
        <f>ROUNDUP((T4774+U4774+2*'Read Me'!$B$13)*(1+'Read Me'!$B$12),-1)</f>
        <v/>
      </c>
      <c r="W4774" s="15">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I-I-0172</t>
        </is>
      </c>
      <c r="B4775" s="12" t="inlineStr">
        <is>
          <t>I</t>
        </is>
      </c>
      <c r="C4775" s="12" t="inlineStr">
        <is>
          <t>Modular / portable power</t>
        </is>
      </c>
      <c r="D4775" s="12" t="inlineStr">
        <is>
          <t>Home run JB-RICE 5 SCR + oxida-AI01 to the control / marshalling room</t>
        </is>
      </c>
      <c r="E4775" s="12" t="inlineStr"/>
      <c r="F4775" s="12" t="inlineStr">
        <is>
          <t>PCM: power control module</t>
        </is>
      </c>
      <c r="G4775" s="12" t="inlineStr">
        <is>
          <t>JB-RICE 5 SCR + oxida-AI01</t>
        </is>
      </c>
      <c r="H4775" s="12" t="inlineStr">
        <is>
          <t>RICE 5 SCR + oxidation catalyst and stack</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5" t="n">
        <v>158</v>
      </c>
      <c r="U4775" s="15" t="n">
        <v>164</v>
      </c>
      <c r="V4775" s="15">
        <f>ROUNDUP((T4775+U4775+2*'Read Me'!$B$13)*(1+'Read Me'!$B$12),-1)</f>
        <v/>
      </c>
      <c r="W4775" s="15">
        <f>V4775*N4775*O4775</f>
        <v/>
      </c>
      <c r="X4775" s="12">
        <f>IF(LEFT(I4775,2)="MV",2*N4775*IF(L4775="1/C",O4775,1),0)</f>
        <v/>
      </c>
      <c r="Y4775" s="12">
        <f>IF(OR(LEFT(K4775,4)="LVAX",LEFT(K4775,6)="MV15AX",LEFT(K4775,4)="CTAX",LEFT(K4775,2)="W|"),2*N4775*O4775,0)</f>
        <v/>
      </c>
      <c r="Z4775" s="12" t="inlineStr"/>
      <c r="AA4775" s="12">
        <f>N4775*O4775</f>
        <v/>
      </c>
    </row>
    <row r="4776">
      <c r="A4776" s="12" t="inlineStr">
        <is>
          <t>I-I-0173</t>
        </is>
      </c>
      <c r="B4776" s="12" t="inlineStr">
        <is>
          <t>I</t>
        </is>
      </c>
      <c r="C4776" s="12" t="inlineStr">
        <is>
          <t>Modular / portable power</t>
        </is>
      </c>
      <c r="D4776" s="12" t="inlineStr">
        <is>
          <t>Discrete device to JB JB-RICE 5 SCR + oxida-DI01: 6 x 1 pr (field cables)</t>
        </is>
      </c>
      <c r="E4776" s="12" t="inlineStr"/>
      <c r="F4776" s="12" t="inlineStr">
        <is>
          <t>RICE 5 SCR + oxidation catalyst and stack</t>
        </is>
      </c>
      <c r="G4776" s="12" t="inlineStr">
        <is>
          <t>JB-RICE 5 SCR + oxida-DI01</t>
        </is>
      </c>
      <c r="H4776" s="12" t="inlineStr">
        <is>
          <t>RICE 5 SCR + oxidation catalyst and stack</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6</v>
      </c>
      <c r="O4776" s="12" t="n">
        <v>1</v>
      </c>
      <c r="P4776" s="12" t="n"/>
      <c r="Q4776" s="12" t="n"/>
      <c r="R4776" s="12" t="n"/>
      <c r="S4776" s="12" t="inlineStr">
        <is>
          <t>Tray / conduit</t>
        </is>
      </c>
      <c r="T4776" s="15" t="n">
        <v>92</v>
      </c>
      <c r="U4776" s="15" t="n">
        <v>10</v>
      </c>
      <c r="V4776" s="15">
        <f>ROUNDUP((T4776+U4776+2*'Read Me'!$B$13)*(1+'Read Me'!$B$12),-1)</f>
        <v/>
      </c>
      <c r="W4776" s="15">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I-I-0174</t>
        </is>
      </c>
      <c r="B4777" s="12" t="inlineStr">
        <is>
          <t>I</t>
        </is>
      </c>
      <c r="C4777" s="12" t="inlineStr">
        <is>
          <t>Modular / portable power</t>
        </is>
      </c>
      <c r="D4777" s="12" t="inlineStr">
        <is>
          <t>Home run JB-RICE 5 SCR + oxida-DI01 to the control / marshalling room</t>
        </is>
      </c>
      <c r="E4777" s="12" t="inlineStr"/>
      <c r="F4777" s="12" t="inlineStr">
        <is>
          <t>PCM: power control module</t>
        </is>
      </c>
      <c r="G4777" s="12" t="inlineStr">
        <is>
          <t>JB-RICE 5 SCR + oxida-DI01</t>
        </is>
      </c>
      <c r="H4777" s="12" t="inlineStr">
        <is>
          <t>RICE 5 SCR + oxidation catalyst and stack</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5" t="n">
        <v>158</v>
      </c>
      <c r="U4777" s="15" t="n">
        <v>164</v>
      </c>
      <c r="V4777" s="15">
        <f>ROUNDUP((T4777+U4777+2*'Read Me'!$B$13)*(1+'Read Me'!$B$12),-1)</f>
        <v/>
      </c>
      <c r="W4777" s="15">
        <f>V4777*N4777*O4777</f>
        <v/>
      </c>
      <c r="X4777" s="12">
        <f>IF(LEFT(I4777,2)="MV",2*N4777*IF(L4777="1/C",O4777,1),0)</f>
        <v/>
      </c>
      <c r="Y4777" s="12">
        <f>IF(OR(LEFT(K4777,4)="LVAX",LEFT(K4777,6)="MV15AX",LEFT(K4777,4)="CTAX",LEFT(K4777,2)="W|"),2*N4777*O4777,0)</f>
        <v/>
      </c>
      <c r="Z4777" s="12" t="inlineStr"/>
      <c r="AA4777" s="12">
        <f>N4777*O4777</f>
        <v/>
      </c>
    </row>
    <row r="4778">
      <c r="A4778" s="12" t="inlineStr">
        <is>
          <t>I-I-0175</t>
        </is>
      </c>
      <c r="B4778" s="12" t="inlineStr">
        <is>
          <t>I</t>
        </is>
      </c>
      <c r="C4778" s="12" t="inlineStr">
        <is>
          <t>Modular / portable power</t>
        </is>
      </c>
      <c r="D4778" s="12" t="inlineStr">
        <is>
          <t>Analog instrument to JB JB-RICE 5 radiators (-AI01: 5 x 1 pr (field cables)</t>
        </is>
      </c>
      <c r="E4778" s="12" t="inlineStr"/>
      <c r="F4778" s="12" t="inlineStr">
        <is>
          <t>RICE 5 radiators (5)</t>
        </is>
      </c>
      <c r="G4778" s="12" t="inlineStr">
        <is>
          <t>JB-RICE 5 radiators (-AI01</t>
        </is>
      </c>
      <c r="H4778" s="12" t="inlineStr">
        <is>
          <t>RICE 5 radiators (5)</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5</v>
      </c>
      <c r="O4778" s="12" t="n">
        <v>1</v>
      </c>
      <c r="P4778" s="12" t="n"/>
      <c r="Q4778" s="12" t="n"/>
      <c r="R4778" s="12" t="n"/>
      <c r="S4778" s="12" t="inlineStr">
        <is>
          <t>Tray / conduit</t>
        </is>
      </c>
      <c r="T4778" s="15" t="n">
        <v>80</v>
      </c>
      <c r="U4778" s="15" t="n">
        <v>10</v>
      </c>
      <c r="V4778" s="15">
        <f>ROUNDUP((T4778+U4778+2*'Read Me'!$B$13)*(1+'Read Me'!$B$12),-1)</f>
        <v/>
      </c>
      <c r="W4778" s="15">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I-I-0176</t>
        </is>
      </c>
      <c r="B4779" s="12" t="inlineStr">
        <is>
          <t>I</t>
        </is>
      </c>
      <c r="C4779" s="12" t="inlineStr">
        <is>
          <t>Modular / portable power</t>
        </is>
      </c>
      <c r="D4779" s="12" t="inlineStr">
        <is>
          <t>Home run JB-RICE 5 radiators (-AI01 to the control / marshalling room</t>
        </is>
      </c>
      <c r="E4779" s="12" t="inlineStr"/>
      <c r="F4779" s="12" t="inlineStr">
        <is>
          <t>PCM: power control module</t>
        </is>
      </c>
      <c r="G4779" s="12" t="inlineStr">
        <is>
          <t>JB-RICE 5 radiators (-AI01</t>
        </is>
      </c>
      <c r="H4779" s="12" t="inlineStr">
        <is>
          <t>RICE 5 radiators (5)</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Tray</t>
        </is>
      </c>
      <c r="T4779" s="15" t="n">
        <v>0</v>
      </c>
      <c r="U4779" s="15" t="n">
        <v>178</v>
      </c>
      <c r="V4779" s="15">
        <f>ROUNDUP((T4779+U4779+2*'Read Me'!$B$13)*(1+'Read Me'!$B$12),-1)</f>
        <v/>
      </c>
      <c r="W4779" s="15">
        <f>V4779*N4779*O4779</f>
        <v/>
      </c>
      <c r="X4779" s="12">
        <f>IF(LEFT(I4779,2)="MV",2*N4779*IF(L4779="1/C",O4779,1),0)</f>
        <v/>
      </c>
      <c r="Y4779" s="12">
        <f>IF(OR(LEFT(K4779,4)="LVAX",LEFT(K4779,6)="MV15AX",LEFT(K4779,4)="CTAX",LEFT(K4779,2)="W|"),2*N4779*O4779,0)</f>
        <v/>
      </c>
      <c r="Z4779" s="12" t="inlineStr"/>
      <c r="AA4779" s="12">
        <f>N4779*O4779</f>
        <v/>
      </c>
    </row>
    <row r="4780">
      <c r="A4780" s="12" t="inlineStr">
        <is>
          <t>I-I-0177</t>
        </is>
      </c>
      <c r="B4780" s="12" t="inlineStr">
        <is>
          <t>I</t>
        </is>
      </c>
      <c r="C4780" s="12" t="inlineStr">
        <is>
          <t>Modular / portable power</t>
        </is>
      </c>
      <c r="D4780" s="12" t="inlineStr">
        <is>
          <t>Discrete device to JB JB-RICE 5 radiators (-DI01: 10 x 1 pr (field cables)</t>
        </is>
      </c>
      <c r="E4780" s="12" t="inlineStr"/>
      <c r="F4780" s="12" t="inlineStr">
        <is>
          <t>RICE 5 radiators (5)</t>
        </is>
      </c>
      <c r="G4780" s="12" t="inlineStr">
        <is>
          <t>JB-RICE 5 radiators (-DI01</t>
        </is>
      </c>
      <c r="H4780" s="12" t="inlineStr">
        <is>
          <t>RICE 5 radiators (5)</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10</v>
      </c>
      <c r="O4780" s="12" t="n">
        <v>1</v>
      </c>
      <c r="P4780" s="12" t="n"/>
      <c r="Q4780" s="12" t="n"/>
      <c r="R4780" s="12" t="n"/>
      <c r="S4780" s="12" t="inlineStr">
        <is>
          <t>Tray / conduit</t>
        </is>
      </c>
      <c r="T4780" s="15" t="n">
        <v>80</v>
      </c>
      <c r="U4780" s="15" t="n">
        <v>10</v>
      </c>
      <c r="V4780" s="15">
        <f>ROUNDUP((T4780+U4780+2*'Read Me'!$B$13)*(1+'Read Me'!$B$12),-1)</f>
        <v/>
      </c>
      <c r="W4780" s="15">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I-I-0178</t>
        </is>
      </c>
      <c r="B4781" s="12" t="inlineStr">
        <is>
          <t>I</t>
        </is>
      </c>
      <c r="C4781" s="12" t="inlineStr">
        <is>
          <t>Modular / portable power</t>
        </is>
      </c>
      <c r="D4781" s="12" t="inlineStr">
        <is>
          <t>Home run JB-RICE 5 radiators (-DI01 to the control / marshalling room</t>
        </is>
      </c>
      <c r="E4781" s="12" t="inlineStr"/>
      <c r="F4781" s="12" t="inlineStr">
        <is>
          <t>PCM: power control module</t>
        </is>
      </c>
      <c r="G4781" s="12" t="inlineStr">
        <is>
          <t>JB-RICE 5 radiators (-DI01</t>
        </is>
      </c>
      <c r="H4781" s="12" t="inlineStr">
        <is>
          <t>RICE 5 radiators (5)</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Tray</t>
        </is>
      </c>
      <c r="T4781" s="15" t="n">
        <v>0</v>
      </c>
      <c r="U4781" s="15" t="n">
        <v>178</v>
      </c>
      <c r="V4781" s="15">
        <f>ROUNDUP((T4781+U4781+2*'Read Me'!$B$13)*(1+'Read Me'!$B$12),-1)</f>
        <v/>
      </c>
      <c r="W4781" s="15">
        <f>V4781*N4781*O4781</f>
        <v/>
      </c>
      <c r="X4781" s="12">
        <f>IF(LEFT(I4781,2)="MV",2*N4781*IF(L4781="1/C",O4781,1),0)</f>
        <v/>
      </c>
      <c r="Y4781" s="12">
        <f>IF(OR(LEFT(K4781,4)="LVAX",LEFT(K4781,6)="MV15AX",LEFT(K4781,4)="CTAX",LEFT(K4781,2)="W|"),2*N4781*O4781,0)</f>
        <v/>
      </c>
      <c r="Z4781" s="12" t="inlineStr"/>
      <c r="AA4781" s="12">
        <f>N4781*O4781</f>
        <v/>
      </c>
    </row>
    <row r="4782">
      <c r="A4782" s="12" t="inlineStr">
        <is>
          <t>I-I-0179</t>
        </is>
      </c>
      <c r="B4782" s="12" t="inlineStr">
        <is>
          <t>I</t>
        </is>
      </c>
      <c r="C4782" s="12" t="inlineStr">
        <is>
          <t>Modular / portable power</t>
        </is>
      </c>
      <c r="D4782" s="12" t="inlineStr">
        <is>
          <t>Analog instrument to JB JB-RICE 6 SCR + oxida-AI01: 10 x 1 pr (field cables)</t>
        </is>
      </c>
      <c r="E4782" s="12" t="inlineStr"/>
      <c r="F4782" s="12" t="inlineStr">
        <is>
          <t>RICE 6 SCR + oxidation catalyst and stack</t>
        </is>
      </c>
      <c r="G4782" s="12" t="inlineStr">
        <is>
          <t>JB-RICE 6 SCR + oxida-AI01</t>
        </is>
      </c>
      <c r="H4782" s="12" t="inlineStr">
        <is>
          <t>RICE 6 SCR + oxidation catalyst and stack</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10</v>
      </c>
      <c r="O4782" s="12" t="n">
        <v>1</v>
      </c>
      <c r="P4782" s="12" t="n"/>
      <c r="Q4782" s="12" t="n"/>
      <c r="R4782" s="12" t="n"/>
      <c r="S4782" s="12" t="inlineStr">
        <is>
          <t>Tray / conduit</t>
        </is>
      </c>
      <c r="T4782" s="15" t="n">
        <v>92</v>
      </c>
      <c r="U4782" s="15" t="n">
        <v>10</v>
      </c>
      <c r="V4782" s="15">
        <f>ROUNDUP((T4782+U4782+2*'Read Me'!$B$13)*(1+'Read Me'!$B$12),-1)</f>
        <v/>
      </c>
      <c r="W4782" s="15">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I-I-0180</t>
        </is>
      </c>
      <c r="B4783" s="12" t="inlineStr">
        <is>
          <t>I</t>
        </is>
      </c>
      <c r="C4783" s="12" t="inlineStr">
        <is>
          <t>Modular / portable power</t>
        </is>
      </c>
      <c r="D4783" s="12" t="inlineStr">
        <is>
          <t>Home run JB-RICE 6 SCR + oxida-AI01 to the control / marshalling room</t>
        </is>
      </c>
      <c r="E4783" s="12" t="inlineStr"/>
      <c r="F4783" s="12" t="inlineStr">
        <is>
          <t>PCM: power control module</t>
        </is>
      </c>
      <c r="G4783" s="12" t="inlineStr">
        <is>
          <t>JB-RICE 6 SCR + oxida-AI01</t>
        </is>
      </c>
      <c r="H4783" s="12" t="inlineStr">
        <is>
          <t>RICE 6 SCR + oxidation catalyst and stack</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5" t="n">
        <v>113</v>
      </c>
      <c r="U4783" s="15" t="n">
        <v>153</v>
      </c>
      <c r="V4783" s="15">
        <f>ROUNDUP((T4783+U4783+2*'Read Me'!$B$13)*(1+'Read Me'!$B$12),-1)</f>
        <v/>
      </c>
      <c r="W4783" s="15">
        <f>V4783*N4783*O4783</f>
        <v/>
      </c>
      <c r="X4783" s="12">
        <f>IF(LEFT(I4783,2)="MV",2*N4783*IF(L4783="1/C",O4783,1),0)</f>
        <v/>
      </c>
      <c r="Y4783" s="12">
        <f>IF(OR(LEFT(K4783,4)="LVAX",LEFT(K4783,6)="MV15AX",LEFT(K4783,4)="CTAX",LEFT(K4783,2)="W|"),2*N4783*O4783,0)</f>
        <v/>
      </c>
      <c r="Z4783" s="12" t="inlineStr"/>
      <c r="AA4783" s="12">
        <f>N4783*O4783</f>
        <v/>
      </c>
    </row>
    <row r="4784">
      <c r="A4784" s="12" t="inlineStr">
        <is>
          <t>I-I-0181</t>
        </is>
      </c>
      <c r="B4784" s="12" t="inlineStr">
        <is>
          <t>I</t>
        </is>
      </c>
      <c r="C4784" s="12" t="inlineStr">
        <is>
          <t>Modular / portable power</t>
        </is>
      </c>
      <c r="D4784" s="12" t="inlineStr">
        <is>
          <t>Discrete device to JB JB-RICE 6 SCR + oxida-DI01: 6 x 1 pr (field cables)</t>
        </is>
      </c>
      <c r="E4784" s="12" t="inlineStr"/>
      <c r="F4784" s="12" t="inlineStr">
        <is>
          <t>RICE 6 SCR + oxidation catalyst and stack</t>
        </is>
      </c>
      <c r="G4784" s="12" t="inlineStr">
        <is>
          <t>JB-RICE 6 SCR + oxida-DI01</t>
        </is>
      </c>
      <c r="H4784" s="12" t="inlineStr">
        <is>
          <t>RICE 6 SCR + oxidation catalyst and stack</t>
        </is>
      </c>
      <c r="I4784" s="12" t="inlineStr">
        <is>
          <t>Instrumentation</t>
        </is>
      </c>
      <c r="J4784" s="12" t="inlineStr">
        <is>
          <t>Instrumentation PLTC / TC-ER 300 V, #18 twisted shielded pairs, overall shield</t>
        </is>
      </c>
      <c r="K4784" s="12" t="inlineStr">
        <is>
          <t>PLTC|1 pr|16</t>
        </is>
      </c>
      <c r="L4784" s="12" t="inlineStr">
        <is>
          <t>1 pr</t>
        </is>
      </c>
      <c r="M4784" s="12" t="inlineStr">
        <is>
          <t>16</t>
        </is>
      </c>
      <c r="N4784" s="12" t="n">
        <v>6</v>
      </c>
      <c r="O4784" s="12" t="n">
        <v>1</v>
      </c>
      <c r="P4784" s="12" t="n"/>
      <c r="Q4784" s="12" t="n"/>
      <c r="R4784" s="12" t="n"/>
      <c r="S4784" s="12" t="inlineStr">
        <is>
          <t>Tray / conduit</t>
        </is>
      </c>
      <c r="T4784" s="15" t="n">
        <v>92</v>
      </c>
      <c r="U4784" s="15" t="n">
        <v>10</v>
      </c>
      <c r="V4784" s="15">
        <f>ROUNDUP((T4784+U4784+2*'Read Me'!$B$13)*(1+'Read Me'!$B$12),-1)</f>
        <v/>
      </c>
      <c r="W4784" s="15">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I-I-0182</t>
        </is>
      </c>
      <c r="B4785" s="12" t="inlineStr">
        <is>
          <t>I</t>
        </is>
      </c>
      <c r="C4785" s="12" t="inlineStr">
        <is>
          <t>Modular / portable power</t>
        </is>
      </c>
      <c r="D4785" s="12" t="inlineStr">
        <is>
          <t>Home run JB-RICE 6 SCR + oxida-DI01 to the control / marshalling room</t>
        </is>
      </c>
      <c r="E4785" s="12" t="inlineStr"/>
      <c r="F4785" s="12" t="inlineStr">
        <is>
          <t>PCM: power control module</t>
        </is>
      </c>
      <c r="G4785" s="12" t="inlineStr">
        <is>
          <t>JB-RICE 6 SCR + oxida-DI01</t>
        </is>
      </c>
      <c r="H4785" s="12" t="inlineStr">
        <is>
          <t>RICE 6 SCR + oxidation catalyst and stack</t>
        </is>
      </c>
      <c r="I4785" s="12" t="inlineStr">
        <is>
          <t>Instrumentation</t>
        </is>
      </c>
      <c r="J4785" s="12" t="inlineStr">
        <is>
          <t>Instrumentation PLTC / TC-ER 300 V, #18 twisted shielded pairs, overall shield</t>
        </is>
      </c>
      <c r="K4785" s="12" t="inlineStr">
        <is>
          <t>PLTC|24 pr|18</t>
        </is>
      </c>
      <c r="L4785" s="12" t="inlineStr">
        <is>
          <t>24 pr</t>
        </is>
      </c>
      <c r="M4785" s="12" t="inlineStr">
        <is>
          <t>18</t>
        </is>
      </c>
      <c r="N4785" s="12" t="n">
        <v>1</v>
      </c>
      <c r="O4785" s="12" t="n">
        <v>1</v>
      </c>
      <c r="P4785" s="12" t="n"/>
      <c r="Q4785" s="12" t="n"/>
      <c r="R4785" s="12" t="n"/>
      <c r="S4785" s="12" t="inlineStr">
        <is>
          <t>Duct bank</t>
        </is>
      </c>
      <c r="T4785" s="15" t="n">
        <v>113</v>
      </c>
      <c r="U4785" s="15" t="n">
        <v>153</v>
      </c>
      <c r="V4785" s="15">
        <f>ROUNDUP((T4785+U4785+2*'Read Me'!$B$13)*(1+'Read Me'!$B$12),-1)</f>
        <v/>
      </c>
      <c r="W4785" s="15">
        <f>V4785*N4785*O4785</f>
        <v/>
      </c>
      <c r="X4785" s="12">
        <f>IF(LEFT(I4785,2)="MV",2*N4785*IF(L4785="1/C",O4785,1),0)</f>
        <v/>
      </c>
      <c r="Y4785" s="12">
        <f>IF(OR(LEFT(K4785,4)="LVAX",LEFT(K4785,6)="MV15AX",LEFT(K4785,4)="CTAX",LEFT(K4785,2)="W|"),2*N4785*O4785,0)</f>
        <v/>
      </c>
      <c r="Z4785" s="12" t="inlineStr"/>
      <c r="AA4785" s="12">
        <f>N4785*O4785</f>
        <v/>
      </c>
    </row>
    <row r="4786">
      <c r="A4786" s="12" t="inlineStr">
        <is>
          <t>I-I-0183</t>
        </is>
      </c>
      <c r="B4786" s="12" t="inlineStr">
        <is>
          <t>I</t>
        </is>
      </c>
      <c r="C4786" s="12" t="inlineStr">
        <is>
          <t>Modular / portable power</t>
        </is>
      </c>
      <c r="D4786" s="12" t="inlineStr">
        <is>
          <t>Analog instrument to JB JB-RICE 6 radiators (-AI01: 5 x 1 pr (field cables)</t>
        </is>
      </c>
      <c r="E4786" s="12" t="inlineStr"/>
      <c r="F4786" s="12" t="inlineStr">
        <is>
          <t>RICE 6 radiators (5)</t>
        </is>
      </c>
      <c r="G4786" s="12" t="inlineStr">
        <is>
          <t>JB-RICE 6 radiators (-AI01</t>
        </is>
      </c>
      <c r="H4786" s="12" t="inlineStr">
        <is>
          <t>RICE 6 radiators (5)</t>
        </is>
      </c>
      <c r="I4786" s="12" t="inlineStr">
        <is>
          <t>Instrumentation</t>
        </is>
      </c>
      <c r="J4786" s="12" t="inlineStr">
        <is>
          <t>Instrumentation PLTC / TC-ER 300 V, #18 twisted shielded pairs, overall shield</t>
        </is>
      </c>
      <c r="K4786" s="12" t="inlineStr">
        <is>
          <t>PLTC|1 pr|16</t>
        </is>
      </c>
      <c r="L4786" s="12" t="inlineStr">
        <is>
          <t>1 pr</t>
        </is>
      </c>
      <c r="M4786" s="12" t="inlineStr">
        <is>
          <t>16</t>
        </is>
      </c>
      <c r="N4786" s="12" t="n">
        <v>5</v>
      </c>
      <c r="O4786" s="12" t="n">
        <v>1</v>
      </c>
      <c r="P4786" s="12" t="n"/>
      <c r="Q4786" s="12" t="n"/>
      <c r="R4786" s="12" t="n"/>
      <c r="S4786" s="12" t="inlineStr">
        <is>
          <t>Tray / conduit</t>
        </is>
      </c>
      <c r="T4786" s="15" t="n">
        <v>80</v>
      </c>
      <c r="U4786" s="15" t="n">
        <v>10</v>
      </c>
      <c r="V4786" s="15">
        <f>ROUNDUP((T4786+U4786+2*'Read Me'!$B$13)*(1+'Read Me'!$B$12),-1)</f>
        <v/>
      </c>
      <c r="W4786" s="15">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I-I-0184</t>
        </is>
      </c>
      <c r="B4787" s="12" t="inlineStr">
        <is>
          <t>I</t>
        </is>
      </c>
      <c r="C4787" s="12" t="inlineStr">
        <is>
          <t>Modular / portable power</t>
        </is>
      </c>
      <c r="D4787" s="12" t="inlineStr">
        <is>
          <t>Home run JB-RICE 6 radiators (-AI01 to the control / marshalling room</t>
        </is>
      </c>
      <c r="E4787" s="12" t="inlineStr"/>
      <c r="F4787" s="12" t="inlineStr">
        <is>
          <t>PCM: power control module</t>
        </is>
      </c>
      <c r="G4787" s="12" t="inlineStr">
        <is>
          <t>JB-RICE 6 radiators (-AI01</t>
        </is>
      </c>
      <c r="H4787" s="12" t="inlineStr">
        <is>
          <t>RICE 6 radiators (5)</t>
        </is>
      </c>
      <c r="I4787" s="12" t="inlineStr">
        <is>
          <t>Instrumentation</t>
        </is>
      </c>
      <c r="J4787" s="12" t="inlineStr">
        <is>
          <t>Instrumentation PLTC / TC-ER 300 V, #18 twisted shielded pairs, overall shield</t>
        </is>
      </c>
      <c r="K4787" s="12" t="inlineStr">
        <is>
          <t>PLTC|24 pr|18</t>
        </is>
      </c>
      <c r="L4787" s="12" t="inlineStr">
        <is>
          <t>24 pr</t>
        </is>
      </c>
      <c r="M4787" s="12" t="inlineStr">
        <is>
          <t>18</t>
        </is>
      </c>
      <c r="N4787" s="12" t="n">
        <v>1</v>
      </c>
      <c r="O4787" s="12" t="n">
        <v>1</v>
      </c>
      <c r="P4787" s="12" t="n"/>
      <c r="Q4787" s="12" t="n"/>
      <c r="R4787" s="12" t="n"/>
      <c r="S4787" s="12" t="inlineStr">
        <is>
          <t>Tray</t>
        </is>
      </c>
      <c r="T4787" s="15" t="n">
        <v>0</v>
      </c>
      <c r="U4787" s="15" t="n">
        <v>150</v>
      </c>
      <c r="V4787" s="15">
        <f>ROUNDUP((T4787+U4787+2*'Read Me'!$B$13)*(1+'Read Me'!$B$12),-1)</f>
        <v/>
      </c>
      <c r="W4787" s="15">
        <f>V4787*N4787*O4787</f>
        <v/>
      </c>
      <c r="X4787" s="12">
        <f>IF(LEFT(I4787,2)="MV",2*N4787*IF(L4787="1/C",O4787,1),0)</f>
        <v/>
      </c>
      <c r="Y4787" s="12">
        <f>IF(OR(LEFT(K4787,4)="LVAX",LEFT(K4787,6)="MV15AX",LEFT(K4787,4)="CTAX",LEFT(K4787,2)="W|"),2*N4787*O4787,0)</f>
        <v/>
      </c>
      <c r="Z4787" s="12" t="inlineStr"/>
      <c r="AA4787" s="12">
        <f>N4787*O4787</f>
        <v/>
      </c>
    </row>
    <row r="4788">
      <c r="A4788" s="12" t="inlineStr">
        <is>
          <t>I-I-0185</t>
        </is>
      </c>
      <c r="B4788" s="12" t="inlineStr">
        <is>
          <t>I</t>
        </is>
      </c>
      <c r="C4788" s="12" t="inlineStr">
        <is>
          <t>Modular / portable power</t>
        </is>
      </c>
      <c r="D4788" s="12" t="inlineStr">
        <is>
          <t>Discrete device to JB JB-RICE 6 radiators (-DI01: 10 x 1 pr (field cables)</t>
        </is>
      </c>
      <c r="E4788" s="12" t="inlineStr"/>
      <c r="F4788" s="12" t="inlineStr">
        <is>
          <t>RICE 6 radiators (5)</t>
        </is>
      </c>
      <c r="G4788" s="12" t="inlineStr">
        <is>
          <t>JB-RICE 6 radiators (-DI01</t>
        </is>
      </c>
      <c r="H4788" s="12" t="inlineStr">
        <is>
          <t>RICE 6 radiators (5)</t>
        </is>
      </c>
      <c r="I4788" s="12" t="inlineStr">
        <is>
          <t>Instrumentation</t>
        </is>
      </c>
      <c r="J4788" s="12" t="inlineStr">
        <is>
          <t>Instrumentation PLTC / TC-ER 300 V, #18 twisted shielded pairs, overall shield</t>
        </is>
      </c>
      <c r="K4788" s="12" t="inlineStr">
        <is>
          <t>PLTC|1 pr|16</t>
        </is>
      </c>
      <c r="L4788" s="12" t="inlineStr">
        <is>
          <t>1 pr</t>
        </is>
      </c>
      <c r="M4788" s="12" t="inlineStr">
        <is>
          <t>16</t>
        </is>
      </c>
      <c r="N4788" s="12" t="n">
        <v>10</v>
      </c>
      <c r="O4788" s="12" t="n">
        <v>1</v>
      </c>
      <c r="P4788" s="12" t="n"/>
      <c r="Q4788" s="12" t="n"/>
      <c r="R4788" s="12" t="n"/>
      <c r="S4788" s="12" t="inlineStr">
        <is>
          <t>Tray / conduit</t>
        </is>
      </c>
      <c r="T4788" s="15" t="n">
        <v>80</v>
      </c>
      <c r="U4788" s="15" t="n">
        <v>10</v>
      </c>
      <c r="V4788" s="15">
        <f>ROUNDUP((T4788+U4788+2*'Read Me'!$B$13)*(1+'Read Me'!$B$12),-1)</f>
        <v/>
      </c>
      <c r="W4788" s="15">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I-I-0186</t>
        </is>
      </c>
      <c r="B4789" s="12" t="inlineStr">
        <is>
          <t>I</t>
        </is>
      </c>
      <c r="C4789" s="12" t="inlineStr">
        <is>
          <t>Modular / portable power</t>
        </is>
      </c>
      <c r="D4789" s="12" t="inlineStr">
        <is>
          <t>Home run JB-RICE 6 radiators (-DI01 to the control / marshalling room</t>
        </is>
      </c>
      <c r="E4789" s="12" t="inlineStr"/>
      <c r="F4789" s="12" t="inlineStr">
        <is>
          <t>PCM: power control module</t>
        </is>
      </c>
      <c r="G4789" s="12" t="inlineStr">
        <is>
          <t>JB-RICE 6 radiators (-DI01</t>
        </is>
      </c>
      <c r="H4789" s="12" t="inlineStr">
        <is>
          <t>RICE 6 radiators (5)</t>
        </is>
      </c>
      <c r="I4789" s="12" t="inlineStr">
        <is>
          <t>Instrumentation</t>
        </is>
      </c>
      <c r="J4789" s="12" t="inlineStr">
        <is>
          <t>Instrumentation PLTC / TC-ER 300 V, #18 twisted shielded pairs, overall shield</t>
        </is>
      </c>
      <c r="K4789" s="12" t="inlineStr">
        <is>
          <t>PLTC|24 pr|18</t>
        </is>
      </c>
      <c r="L4789" s="12" t="inlineStr">
        <is>
          <t>24 pr</t>
        </is>
      </c>
      <c r="M4789" s="12" t="inlineStr">
        <is>
          <t>18</t>
        </is>
      </c>
      <c r="N4789" s="12" t="n">
        <v>1</v>
      </c>
      <c r="O4789" s="12" t="n">
        <v>1</v>
      </c>
      <c r="P4789" s="12" t="n"/>
      <c r="Q4789" s="12" t="n"/>
      <c r="R4789" s="12" t="n"/>
      <c r="S4789" s="12" t="inlineStr">
        <is>
          <t>Tray</t>
        </is>
      </c>
      <c r="T4789" s="15" t="n">
        <v>0</v>
      </c>
      <c r="U4789" s="15" t="n">
        <v>150</v>
      </c>
      <c r="V4789" s="15">
        <f>ROUNDUP((T4789+U4789+2*'Read Me'!$B$13)*(1+'Read Me'!$B$12),-1)</f>
        <v/>
      </c>
      <c r="W4789" s="15">
        <f>V4789*N4789*O4789</f>
        <v/>
      </c>
      <c r="X4789" s="12">
        <f>IF(LEFT(I4789,2)="MV",2*N4789*IF(L4789="1/C",O4789,1),0)</f>
        <v/>
      </c>
      <c r="Y4789" s="12">
        <f>IF(OR(LEFT(K4789,4)="LVAX",LEFT(K4789,6)="MV15AX",LEFT(K4789,4)="CTAX",LEFT(K4789,2)="W|"),2*N4789*O4789,0)</f>
        <v/>
      </c>
      <c r="Z4789" s="12" t="inlineStr"/>
      <c r="AA4789" s="12">
        <f>N4789*O4789</f>
        <v/>
      </c>
    </row>
    <row r="4790">
      <c r="A4790" s="12" t="inlineStr">
        <is>
          <t>I-I-0187</t>
        </is>
      </c>
      <c r="B4790" s="12" t="inlineStr">
        <is>
          <t>I</t>
        </is>
      </c>
      <c r="C4790" s="12" t="inlineStr">
        <is>
          <t>Modular / portable power</t>
        </is>
      </c>
      <c r="D4790" s="12" t="inlineStr">
        <is>
          <t>Analog instrument to JB JB-RICE 7 SCR + oxida-AI01: 10 x 1 pr (field cables)</t>
        </is>
      </c>
      <c r="E4790" s="12" t="inlineStr"/>
      <c r="F4790" s="12" t="inlineStr">
        <is>
          <t>RICE 7 SCR + oxidation catalyst and stack</t>
        </is>
      </c>
      <c r="G4790" s="12" t="inlineStr">
        <is>
          <t>JB-RICE 7 SCR + oxida-AI01</t>
        </is>
      </c>
      <c r="H4790" s="12" t="inlineStr">
        <is>
          <t>RICE 7 SCR + oxidation catalyst and stack</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10</v>
      </c>
      <c r="O4790" s="12" t="n">
        <v>1</v>
      </c>
      <c r="P4790" s="12" t="n"/>
      <c r="Q4790" s="12" t="n"/>
      <c r="R4790" s="12" t="n"/>
      <c r="S4790" s="12" t="inlineStr">
        <is>
          <t>Tray / conduit</t>
        </is>
      </c>
      <c r="T4790" s="15" t="n">
        <v>92</v>
      </c>
      <c r="U4790" s="15" t="n">
        <v>10</v>
      </c>
      <c r="V4790" s="15">
        <f>ROUNDUP((T4790+U4790+2*'Read Me'!$B$13)*(1+'Read Me'!$B$12),-1)</f>
        <v/>
      </c>
      <c r="W4790" s="15">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I-I-0188</t>
        </is>
      </c>
      <c r="B4791" s="12" t="inlineStr">
        <is>
          <t>I</t>
        </is>
      </c>
      <c r="C4791" s="12" t="inlineStr">
        <is>
          <t>Modular / portable power</t>
        </is>
      </c>
      <c r="D4791" s="12" t="inlineStr">
        <is>
          <t>Home run JB-RICE 7 SCR + oxida-AI01 to the control / marshalling room</t>
        </is>
      </c>
      <c r="E4791" s="12" t="inlineStr"/>
      <c r="F4791" s="12" t="inlineStr">
        <is>
          <t>PCM: power control module</t>
        </is>
      </c>
      <c r="G4791" s="12" t="inlineStr">
        <is>
          <t>JB-RICE 7 SCR + oxida-AI01</t>
        </is>
      </c>
      <c r="H4791" s="12" t="inlineStr">
        <is>
          <t>RICE 7 SCR + oxidation catalyst and stack</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5" t="n">
        <v>113</v>
      </c>
      <c r="U4791" s="15" t="n">
        <v>125</v>
      </c>
      <c r="V4791" s="15">
        <f>ROUNDUP((T4791+U4791+2*'Read Me'!$B$13)*(1+'Read Me'!$B$12),-1)</f>
        <v/>
      </c>
      <c r="W4791" s="15">
        <f>V4791*N4791*O4791</f>
        <v/>
      </c>
      <c r="X4791" s="12">
        <f>IF(LEFT(I4791,2)="MV",2*N4791*IF(L4791="1/C",O4791,1),0)</f>
        <v/>
      </c>
      <c r="Y4791" s="12">
        <f>IF(OR(LEFT(K4791,4)="LVAX",LEFT(K4791,6)="MV15AX",LEFT(K4791,4)="CTAX",LEFT(K4791,2)="W|"),2*N4791*O4791,0)</f>
        <v/>
      </c>
      <c r="Z4791" s="12" t="inlineStr"/>
      <c r="AA4791" s="12">
        <f>N4791*O4791</f>
        <v/>
      </c>
    </row>
    <row r="4792">
      <c r="A4792" s="12" t="inlineStr">
        <is>
          <t>I-I-0189</t>
        </is>
      </c>
      <c r="B4792" s="12" t="inlineStr">
        <is>
          <t>I</t>
        </is>
      </c>
      <c r="C4792" s="12" t="inlineStr">
        <is>
          <t>Modular / portable power</t>
        </is>
      </c>
      <c r="D4792" s="12" t="inlineStr">
        <is>
          <t>Discrete device to JB JB-RICE 7 SCR + oxida-DI01: 6 x 1 pr (field cables)</t>
        </is>
      </c>
      <c r="E4792" s="12" t="inlineStr"/>
      <c r="F4792" s="12" t="inlineStr">
        <is>
          <t>RICE 7 SCR + oxidation catalyst and stack</t>
        </is>
      </c>
      <c r="G4792" s="12" t="inlineStr">
        <is>
          <t>JB-RICE 7 SCR + oxida-DI01</t>
        </is>
      </c>
      <c r="H4792" s="12" t="inlineStr">
        <is>
          <t>RICE 7 SCR + oxidation catalyst and stack</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6</v>
      </c>
      <c r="O4792" s="12" t="n">
        <v>1</v>
      </c>
      <c r="P4792" s="12" t="n"/>
      <c r="Q4792" s="12" t="n"/>
      <c r="R4792" s="12" t="n"/>
      <c r="S4792" s="12" t="inlineStr">
        <is>
          <t>Tray / conduit</t>
        </is>
      </c>
      <c r="T4792" s="15" t="n">
        <v>92</v>
      </c>
      <c r="U4792" s="15" t="n">
        <v>10</v>
      </c>
      <c r="V4792" s="15">
        <f>ROUNDUP((T4792+U4792+2*'Read Me'!$B$13)*(1+'Read Me'!$B$12),-1)</f>
        <v/>
      </c>
      <c r="W4792" s="15">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I-I-0190</t>
        </is>
      </c>
      <c r="B4793" s="12" t="inlineStr">
        <is>
          <t>I</t>
        </is>
      </c>
      <c r="C4793" s="12" t="inlineStr">
        <is>
          <t>Modular / portable power</t>
        </is>
      </c>
      <c r="D4793" s="12" t="inlineStr">
        <is>
          <t>Home run JB-RICE 7 SCR + oxida-DI01 to the control / marshalling room</t>
        </is>
      </c>
      <c r="E4793" s="12" t="inlineStr"/>
      <c r="F4793" s="12" t="inlineStr">
        <is>
          <t>PCM: power control module</t>
        </is>
      </c>
      <c r="G4793" s="12" t="inlineStr">
        <is>
          <t>JB-RICE 7 SCR + oxida-DI01</t>
        </is>
      </c>
      <c r="H4793" s="12" t="inlineStr">
        <is>
          <t>RICE 7 SCR + oxidation catalyst and stack</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5" t="n">
        <v>113</v>
      </c>
      <c r="U4793" s="15" t="n">
        <v>125</v>
      </c>
      <c r="V4793" s="15">
        <f>ROUNDUP((T4793+U4793+2*'Read Me'!$B$13)*(1+'Read Me'!$B$12),-1)</f>
        <v/>
      </c>
      <c r="W4793" s="15">
        <f>V4793*N4793*O4793</f>
        <v/>
      </c>
      <c r="X4793" s="12">
        <f>IF(LEFT(I4793,2)="MV",2*N4793*IF(L4793="1/C",O4793,1),0)</f>
        <v/>
      </c>
      <c r="Y4793" s="12">
        <f>IF(OR(LEFT(K4793,4)="LVAX",LEFT(K4793,6)="MV15AX",LEFT(K4793,4)="CTAX",LEFT(K4793,2)="W|"),2*N4793*O4793,0)</f>
        <v/>
      </c>
      <c r="Z4793" s="12" t="inlineStr"/>
      <c r="AA4793" s="12">
        <f>N4793*O4793</f>
        <v/>
      </c>
    </row>
    <row r="4794">
      <c r="A4794" s="12" t="inlineStr">
        <is>
          <t>I-I-0191</t>
        </is>
      </c>
      <c r="B4794" s="12" t="inlineStr">
        <is>
          <t>I</t>
        </is>
      </c>
      <c r="C4794" s="12" t="inlineStr">
        <is>
          <t>Modular / portable power</t>
        </is>
      </c>
      <c r="D4794" s="12" t="inlineStr">
        <is>
          <t>Analog instrument to JB JB-RICE 7 radiators (-AI01: 5 x 1 pr (field cables)</t>
        </is>
      </c>
      <c r="E4794" s="12" t="inlineStr"/>
      <c r="F4794" s="12" t="inlineStr">
        <is>
          <t>RICE 7 radiators (5)</t>
        </is>
      </c>
      <c r="G4794" s="12" t="inlineStr">
        <is>
          <t>JB-RICE 7 radiators (-AI01</t>
        </is>
      </c>
      <c r="H4794" s="12" t="inlineStr">
        <is>
          <t>RICE 7 radiators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5</v>
      </c>
      <c r="O4794" s="12" t="n">
        <v>1</v>
      </c>
      <c r="P4794" s="12" t="n"/>
      <c r="Q4794" s="12" t="n"/>
      <c r="R4794" s="12" t="n"/>
      <c r="S4794" s="12" t="inlineStr">
        <is>
          <t>Tray / conduit</t>
        </is>
      </c>
      <c r="T4794" s="15" t="n">
        <v>80</v>
      </c>
      <c r="U4794" s="15" t="n">
        <v>10</v>
      </c>
      <c r="V4794" s="15">
        <f>ROUNDUP((T4794+U4794+2*'Read Me'!$B$13)*(1+'Read Me'!$B$12),-1)</f>
        <v/>
      </c>
      <c r="W4794" s="15">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I-I-0192</t>
        </is>
      </c>
      <c r="B4795" s="12" t="inlineStr">
        <is>
          <t>I</t>
        </is>
      </c>
      <c r="C4795" s="12" t="inlineStr">
        <is>
          <t>Modular / portable power</t>
        </is>
      </c>
      <c r="D4795" s="12" t="inlineStr">
        <is>
          <t>Home run JB-RICE 7 radiators (-AI01 to the control / marshalling room</t>
        </is>
      </c>
      <c r="E4795" s="12" t="inlineStr"/>
      <c r="F4795" s="12" t="inlineStr">
        <is>
          <t>PCM: power control module</t>
        </is>
      </c>
      <c r="G4795" s="12" t="inlineStr">
        <is>
          <t>JB-RICE 7 radiators (-AI01</t>
        </is>
      </c>
      <c r="H4795" s="12" t="inlineStr">
        <is>
          <t>RICE 7 radiators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Tray</t>
        </is>
      </c>
      <c r="T4795" s="15" t="n">
        <v>0</v>
      </c>
      <c r="U4795" s="15" t="n">
        <v>122</v>
      </c>
      <c r="V4795" s="15">
        <f>ROUNDUP((T4795+U4795+2*'Read Me'!$B$13)*(1+'Read Me'!$B$12),-1)</f>
        <v/>
      </c>
      <c r="W4795" s="15">
        <f>V4795*N4795*O4795</f>
        <v/>
      </c>
      <c r="X4795" s="12">
        <f>IF(LEFT(I4795,2)="MV",2*N4795*IF(L4795="1/C",O4795,1),0)</f>
        <v/>
      </c>
      <c r="Y4795" s="12">
        <f>IF(OR(LEFT(K4795,4)="LVAX",LEFT(K4795,6)="MV15AX",LEFT(K4795,4)="CTAX",LEFT(K4795,2)="W|"),2*N4795*O4795,0)</f>
        <v/>
      </c>
      <c r="Z4795" s="12" t="inlineStr"/>
      <c r="AA4795" s="12">
        <f>N4795*O4795</f>
        <v/>
      </c>
    </row>
    <row r="4796">
      <c r="A4796" s="12" t="inlineStr">
        <is>
          <t>I-I-0193</t>
        </is>
      </c>
      <c r="B4796" s="12" t="inlineStr">
        <is>
          <t>I</t>
        </is>
      </c>
      <c r="C4796" s="12" t="inlineStr">
        <is>
          <t>Modular / portable power</t>
        </is>
      </c>
      <c r="D4796" s="12" t="inlineStr">
        <is>
          <t>Discrete device to JB JB-RICE 7 radiators (-DI01: 10 x 1 pr (field cables)</t>
        </is>
      </c>
      <c r="E4796" s="12" t="inlineStr"/>
      <c r="F4796" s="12" t="inlineStr">
        <is>
          <t>RICE 7 radiators (5)</t>
        </is>
      </c>
      <c r="G4796" s="12" t="inlineStr">
        <is>
          <t>JB-RICE 7 radiators (-DI01</t>
        </is>
      </c>
      <c r="H4796" s="12" t="inlineStr">
        <is>
          <t>RICE 7 radiators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10</v>
      </c>
      <c r="O4796" s="12" t="n">
        <v>1</v>
      </c>
      <c r="P4796" s="12" t="n"/>
      <c r="Q4796" s="12" t="n"/>
      <c r="R4796" s="12" t="n"/>
      <c r="S4796" s="12" t="inlineStr">
        <is>
          <t>Tray / conduit</t>
        </is>
      </c>
      <c r="T4796" s="15" t="n">
        <v>80</v>
      </c>
      <c r="U4796" s="15" t="n">
        <v>10</v>
      </c>
      <c r="V4796" s="15">
        <f>ROUNDUP((T4796+U4796+2*'Read Me'!$B$13)*(1+'Read Me'!$B$12),-1)</f>
        <v/>
      </c>
      <c r="W4796" s="15">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I-I-0194</t>
        </is>
      </c>
      <c r="B4797" s="12" t="inlineStr">
        <is>
          <t>I</t>
        </is>
      </c>
      <c r="C4797" s="12" t="inlineStr">
        <is>
          <t>Modular / portable power</t>
        </is>
      </c>
      <c r="D4797" s="12" t="inlineStr">
        <is>
          <t>Home run JB-RICE 7 radiators (-DI01 to the control / marshalling room</t>
        </is>
      </c>
      <c r="E4797" s="12" t="inlineStr"/>
      <c r="F4797" s="12" t="inlineStr">
        <is>
          <t>PCM: power control module</t>
        </is>
      </c>
      <c r="G4797" s="12" t="inlineStr">
        <is>
          <t>JB-RICE 7 radiators (-DI01</t>
        </is>
      </c>
      <c r="H4797" s="12" t="inlineStr">
        <is>
          <t>RICE 7 radiators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Tray</t>
        </is>
      </c>
      <c r="T4797" s="15" t="n">
        <v>0</v>
      </c>
      <c r="U4797" s="15" t="n">
        <v>122</v>
      </c>
      <c r="V4797" s="15">
        <f>ROUNDUP((T4797+U4797+2*'Read Me'!$B$13)*(1+'Read Me'!$B$12),-1)</f>
        <v/>
      </c>
      <c r="W4797" s="15">
        <f>V4797*N4797*O4797</f>
        <v/>
      </c>
      <c r="X4797" s="12">
        <f>IF(LEFT(I4797,2)="MV",2*N4797*IF(L4797="1/C",O4797,1),0)</f>
        <v/>
      </c>
      <c r="Y4797" s="12">
        <f>IF(OR(LEFT(K4797,4)="LVAX",LEFT(K4797,6)="MV15AX",LEFT(K4797,4)="CTAX",LEFT(K4797,2)="W|"),2*N4797*O4797,0)</f>
        <v/>
      </c>
      <c r="Z4797" s="12" t="inlineStr"/>
      <c r="AA4797" s="12">
        <f>N4797*O4797</f>
        <v/>
      </c>
    </row>
    <row r="4798">
      <c r="A4798" s="12" t="inlineStr">
        <is>
          <t>I-I-0195</t>
        </is>
      </c>
      <c r="B4798" s="12" t="inlineStr">
        <is>
          <t>I</t>
        </is>
      </c>
      <c r="C4798" s="12" t="inlineStr">
        <is>
          <t>Modular / portable power</t>
        </is>
      </c>
      <c r="D4798" s="12" t="inlineStr">
        <is>
          <t>Analog instrument to JB JB-RICE 8 SCR + oxida-AI01: 10 x 1 pr (field cables)</t>
        </is>
      </c>
      <c r="E4798" s="12" t="inlineStr"/>
      <c r="F4798" s="12" t="inlineStr">
        <is>
          <t>RICE 8 SCR + oxidation catalyst and stack</t>
        </is>
      </c>
      <c r="G4798" s="12" t="inlineStr">
        <is>
          <t>JB-RICE 8 SCR + oxida-AI01</t>
        </is>
      </c>
      <c r="H4798" s="12" t="inlineStr">
        <is>
          <t>RICE 8 SCR + oxidation catalyst and stack</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10</v>
      </c>
      <c r="O4798" s="12" t="n">
        <v>1</v>
      </c>
      <c r="P4798" s="12" t="n"/>
      <c r="Q4798" s="12" t="n"/>
      <c r="R4798" s="12" t="n"/>
      <c r="S4798" s="12" t="inlineStr">
        <is>
          <t>Tray / conduit</t>
        </is>
      </c>
      <c r="T4798" s="15" t="n">
        <v>92</v>
      </c>
      <c r="U4798" s="15" t="n">
        <v>10</v>
      </c>
      <c r="V4798" s="15">
        <f>ROUNDUP((T4798+U4798+2*'Read Me'!$B$13)*(1+'Read Me'!$B$12),-1)</f>
        <v/>
      </c>
      <c r="W4798" s="15">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I-I-0196</t>
        </is>
      </c>
      <c r="B4799" s="12" t="inlineStr">
        <is>
          <t>I</t>
        </is>
      </c>
      <c r="C4799" s="12" t="inlineStr">
        <is>
          <t>Modular / portable power</t>
        </is>
      </c>
      <c r="D4799" s="12" t="inlineStr">
        <is>
          <t>Home run JB-RICE 8 SCR + oxida-AI01 to the control / marshalling room</t>
        </is>
      </c>
      <c r="E4799" s="12" t="inlineStr"/>
      <c r="F4799" s="12" t="inlineStr">
        <is>
          <t>PCM: power control module</t>
        </is>
      </c>
      <c r="G4799" s="12" t="inlineStr">
        <is>
          <t>JB-RICE 8 SCR + oxida-AI01</t>
        </is>
      </c>
      <c r="H4799" s="12" t="inlineStr">
        <is>
          <t>RICE 8 SCR + oxidation catalyst and stack</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5" t="n">
        <v>113</v>
      </c>
      <c r="U4799" s="15" t="n">
        <v>97</v>
      </c>
      <c r="V4799" s="15">
        <f>ROUNDUP((T4799+U4799+2*'Read Me'!$B$13)*(1+'Read Me'!$B$12),-1)</f>
        <v/>
      </c>
      <c r="W4799" s="15">
        <f>V4799*N4799*O4799</f>
        <v/>
      </c>
      <c r="X4799" s="12">
        <f>IF(LEFT(I4799,2)="MV",2*N4799*IF(L4799="1/C",O4799,1),0)</f>
        <v/>
      </c>
      <c r="Y4799" s="12">
        <f>IF(OR(LEFT(K4799,4)="LVAX",LEFT(K4799,6)="MV15AX",LEFT(K4799,4)="CTAX",LEFT(K4799,2)="W|"),2*N4799*O4799,0)</f>
        <v/>
      </c>
      <c r="Z4799" s="12" t="inlineStr"/>
      <c r="AA4799" s="12">
        <f>N4799*O4799</f>
        <v/>
      </c>
    </row>
    <row r="4800">
      <c r="A4800" s="12" t="inlineStr">
        <is>
          <t>I-I-0197</t>
        </is>
      </c>
      <c r="B4800" s="12" t="inlineStr">
        <is>
          <t>I</t>
        </is>
      </c>
      <c r="C4800" s="12" t="inlineStr">
        <is>
          <t>Modular / portable power</t>
        </is>
      </c>
      <c r="D4800" s="12" t="inlineStr">
        <is>
          <t>Discrete device to JB JB-RICE 8 SCR + oxida-DI01: 6 x 1 pr (field cables)</t>
        </is>
      </c>
      <c r="E4800" s="12" t="inlineStr"/>
      <c r="F4800" s="12" t="inlineStr">
        <is>
          <t>RICE 8 SCR + oxidation catalyst and stack</t>
        </is>
      </c>
      <c r="G4800" s="12" t="inlineStr">
        <is>
          <t>JB-RICE 8 SCR + oxida-DI01</t>
        </is>
      </c>
      <c r="H4800" s="12" t="inlineStr">
        <is>
          <t>RICE 8 SCR + oxidation catalyst and stack</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6</v>
      </c>
      <c r="O4800" s="12" t="n">
        <v>1</v>
      </c>
      <c r="P4800" s="12" t="n"/>
      <c r="Q4800" s="12" t="n"/>
      <c r="R4800" s="12" t="n"/>
      <c r="S4800" s="12" t="inlineStr">
        <is>
          <t>Tray / conduit</t>
        </is>
      </c>
      <c r="T4800" s="15" t="n">
        <v>92</v>
      </c>
      <c r="U4800" s="15" t="n">
        <v>10</v>
      </c>
      <c r="V4800" s="15">
        <f>ROUNDUP((T4800+U4800+2*'Read Me'!$B$13)*(1+'Read Me'!$B$12),-1)</f>
        <v/>
      </c>
      <c r="W4800" s="15">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I-I-0198</t>
        </is>
      </c>
      <c r="B4801" s="12" t="inlineStr">
        <is>
          <t>I</t>
        </is>
      </c>
      <c r="C4801" s="12" t="inlineStr">
        <is>
          <t>Modular / portable power</t>
        </is>
      </c>
      <c r="D4801" s="12" t="inlineStr">
        <is>
          <t>Home run JB-RICE 8 SCR + oxida-DI01 to the control / marshalling room</t>
        </is>
      </c>
      <c r="E4801" s="12" t="inlineStr"/>
      <c r="F4801" s="12" t="inlineStr">
        <is>
          <t>PCM: power control module</t>
        </is>
      </c>
      <c r="G4801" s="12" t="inlineStr">
        <is>
          <t>JB-RICE 8 SCR + oxida-DI01</t>
        </is>
      </c>
      <c r="H4801" s="12" t="inlineStr">
        <is>
          <t>RICE 8 SCR + oxidation catalyst and stack</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5" t="n">
        <v>113</v>
      </c>
      <c r="U4801" s="15" t="n">
        <v>97</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I-I-0199</t>
        </is>
      </c>
      <c r="B4802" s="12" t="inlineStr">
        <is>
          <t>I</t>
        </is>
      </c>
      <c r="C4802" s="12" t="inlineStr">
        <is>
          <t>Modular / portable power</t>
        </is>
      </c>
      <c r="D4802" s="12" t="inlineStr">
        <is>
          <t>Analog instrument to JB JB-RICE 8 radiators (-AI01: 5 x 1 pr (field cables)</t>
        </is>
      </c>
      <c r="E4802" s="12" t="inlineStr"/>
      <c r="F4802" s="12" t="inlineStr">
        <is>
          <t>RICE 8 radiators (5)</t>
        </is>
      </c>
      <c r="G4802" s="12" t="inlineStr">
        <is>
          <t>JB-RICE 8 radiators (-AI01</t>
        </is>
      </c>
      <c r="H4802" s="12" t="inlineStr">
        <is>
          <t>RICE 8 radiators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5</v>
      </c>
      <c r="O4802" s="12" t="n">
        <v>1</v>
      </c>
      <c r="P4802" s="12" t="n"/>
      <c r="Q4802" s="12" t="n"/>
      <c r="R4802" s="12" t="n"/>
      <c r="S4802" s="12" t="inlineStr">
        <is>
          <t>Tray / conduit</t>
        </is>
      </c>
      <c r="T4802" s="15" t="n">
        <v>80</v>
      </c>
      <c r="U4802" s="15" t="n">
        <v>10</v>
      </c>
      <c r="V4802" s="15">
        <f>ROUNDUP((T4802+U4802+2*'Read Me'!$B$13)*(1+'Read Me'!$B$12),-1)</f>
        <v/>
      </c>
      <c r="W4802" s="15">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I-I-0200</t>
        </is>
      </c>
      <c r="B4803" s="12" t="inlineStr">
        <is>
          <t>I</t>
        </is>
      </c>
      <c r="C4803" s="12" t="inlineStr">
        <is>
          <t>Modular / portable power</t>
        </is>
      </c>
      <c r="D4803" s="12" t="inlineStr">
        <is>
          <t>Home run JB-RICE 8 radiators (-AI01 to the control / marshalling room</t>
        </is>
      </c>
      <c r="E4803" s="12" t="inlineStr"/>
      <c r="F4803" s="12" t="inlineStr">
        <is>
          <t>PCM: power control module</t>
        </is>
      </c>
      <c r="G4803" s="12" t="inlineStr">
        <is>
          <t>JB-RICE 8 radiators (-AI01</t>
        </is>
      </c>
      <c r="H4803" s="12" t="inlineStr">
        <is>
          <t>RICE 8 radiators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Tray</t>
        </is>
      </c>
      <c r="T4803" s="15" t="n">
        <v>0</v>
      </c>
      <c r="U4803" s="15" t="n">
        <v>94</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I-I-0201</t>
        </is>
      </c>
      <c r="B4804" s="12" t="inlineStr">
        <is>
          <t>I</t>
        </is>
      </c>
      <c r="C4804" s="12" t="inlineStr">
        <is>
          <t>Modular / portable power</t>
        </is>
      </c>
      <c r="D4804" s="12" t="inlineStr">
        <is>
          <t>Discrete device to JB JB-RICE 8 radiators (-DI01: 10 x 1 pr (field cables)</t>
        </is>
      </c>
      <c r="E4804" s="12" t="inlineStr"/>
      <c r="F4804" s="12" t="inlineStr">
        <is>
          <t>RICE 8 radiators (5)</t>
        </is>
      </c>
      <c r="G4804" s="12" t="inlineStr">
        <is>
          <t>JB-RICE 8 radiators (-DI01</t>
        </is>
      </c>
      <c r="H4804" s="12" t="inlineStr">
        <is>
          <t>RICE 8 radiators (5)</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10</v>
      </c>
      <c r="O4804" s="12" t="n">
        <v>1</v>
      </c>
      <c r="P4804" s="12" t="n"/>
      <c r="Q4804" s="12" t="n"/>
      <c r="R4804" s="12" t="n"/>
      <c r="S4804" s="12" t="inlineStr">
        <is>
          <t>Tray / conduit</t>
        </is>
      </c>
      <c r="T4804" s="15" t="n">
        <v>80</v>
      </c>
      <c r="U4804" s="15" t="n">
        <v>10</v>
      </c>
      <c r="V4804" s="15">
        <f>ROUNDUP((T4804+U4804+2*'Read Me'!$B$13)*(1+'Read Me'!$B$12),-1)</f>
        <v/>
      </c>
      <c r="W4804" s="15">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I-I-0202</t>
        </is>
      </c>
      <c r="B4805" s="12" t="inlineStr">
        <is>
          <t>I</t>
        </is>
      </c>
      <c r="C4805" s="12" t="inlineStr">
        <is>
          <t>Modular / portable power</t>
        </is>
      </c>
      <c r="D4805" s="12" t="inlineStr">
        <is>
          <t>Home run JB-RICE 8 radiators (-DI01 to the control / marshalling room</t>
        </is>
      </c>
      <c r="E4805" s="12" t="inlineStr"/>
      <c r="F4805" s="12" t="inlineStr">
        <is>
          <t>PCM: power control module</t>
        </is>
      </c>
      <c r="G4805" s="12" t="inlineStr">
        <is>
          <t>JB-RICE 8 radiators (-DI01</t>
        </is>
      </c>
      <c r="H4805" s="12" t="inlineStr">
        <is>
          <t>RICE 8 radiators (5)</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Tray</t>
        </is>
      </c>
      <c r="T4805" s="15" t="n">
        <v>0</v>
      </c>
      <c r="U4805" s="15" t="n">
        <v>94</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I-I-0203</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PLTC|4 pr|18</t>
        </is>
      </c>
      <c r="L4806" s="12" t="inlineStr">
        <is>
          <t>4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I-I-0204</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PLTC|4 pr|18</t>
        </is>
      </c>
      <c r="L4807" s="12" t="inlineStr">
        <is>
          <t>4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I-I-0205</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I-I-0206</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I-I-0207</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I-I-0208</t>
        </is>
      </c>
      <c r="B4811" s="12" t="inlineStr">
        <is>
          <t>I</t>
        </is>
      </c>
      <c r="C4811" s="12" t="inlineStr">
        <is>
          <t>Modular / portable power</t>
        </is>
      </c>
      <c r="D4811" s="12" t="inlineStr">
        <is>
          <t>Instrumentation</t>
        </is>
      </c>
      <c r="E4811" s="12" t="inlineStr"/>
      <c r="F4811" s="12" t="inlineStr">
        <is>
          <t>PCM: power control module</t>
        </is>
      </c>
      <c r="G4811" s="12" t="inlineStr">
        <is>
          <t>RICE</t>
        </is>
      </c>
      <c r="H4811" s="12" t="inlineStr">
        <is>
          <t>RICE engine hall (8 engines)</t>
        </is>
      </c>
      <c r="I4811" s="12" t="inlineStr">
        <is>
          <t>Instrumentation</t>
        </is>
      </c>
      <c r="J4811" s="12" t="inlineStr">
        <is>
          <t>Instrumentation PLTC / TC-ER 300 V, #18 twisted shielded pairs, overall shield</t>
        </is>
      </c>
      <c r="K4811" s="12" t="inlineStr">
        <is>
          <t>PLTC|12 pr|18</t>
        </is>
      </c>
      <c r="L4811" s="12" t="inlineStr">
        <is>
          <t>12 pr</t>
        </is>
      </c>
      <c r="M4811" s="12" t="inlineStr">
        <is>
          <t>18</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I-I-0209</t>
        </is>
      </c>
      <c r="B4812" s="12" t="inlineStr">
        <is>
          <t>I</t>
        </is>
      </c>
      <c r="C4812" s="12" t="inlineStr">
        <is>
          <t>Modular / portable power</t>
        </is>
      </c>
      <c r="D4812" s="12" t="inlineStr">
        <is>
          <t>Instrumentation</t>
        </is>
      </c>
      <c r="E4812" s="12" t="inlineStr"/>
      <c r="F4812" s="12" t="inlineStr">
        <is>
          <t>PCM: power control module</t>
        </is>
      </c>
      <c r="G4812" s="12" t="inlineStr">
        <is>
          <t>RICE</t>
        </is>
      </c>
      <c r="H4812" s="12" t="inlineStr">
        <is>
          <t>RICE engine hall (8 engines)</t>
        </is>
      </c>
      <c r="I4812" s="12" t="inlineStr">
        <is>
          <t>Instrumentation</t>
        </is>
      </c>
      <c r="J4812" s="12" t="inlineStr">
        <is>
          <t>Instrumentation PLTC / TC-ER 300 V, #18 twisted shielded pairs, overall shield</t>
        </is>
      </c>
      <c r="K4812" s="12" t="inlineStr">
        <is>
          <t>PLTC|12 pr|18</t>
        </is>
      </c>
      <c r="L4812" s="12" t="inlineStr">
        <is>
          <t>12 pr</t>
        </is>
      </c>
      <c r="M4812" s="12" t="inlineStr">
        <is>
          <t>18</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I-I-0210</t>
        </is>
      </c>
      <c r="B4813" s="12" t="inlineStr">
        <is>
          <t>I</t>
        </is>
      </c>
      <c r="C4813" s="12" t="inlineStr">
        <is>
          <t>Modular / portable power</t>
        </is>
      </c>
      <c r="D4813" s="12" t="inlineStr">
        <is>
          <t>Instrumentation</t>
        </is>
      </c>
      <c r="E4813" s="12" t="inlineStr"/>
      <c r="F4813" s="12" t="inlineStr">
        <is>
          <t>PCM: power control module</t>
        </is>
      </c>
      <c r="G4813" s="12" t="inlineStr">
        <is>
          <t>RICE</t>
        </is>
      </c>
      <c r="H4813" s="12" t="inlineStr">
        <is>
          <t>RICE engine hall (8 engines)</t>
        </is>
      </c>
      <c r="I4813" s="12" t="inlineStr">
        <is>
          <t>Instrumentation</t>
        </is>
      </c>
      <c r="J4813" s="12" t="inlineStr">
        <is>
          <t>Instrumentation PLTC / TC-ER 300 V, #18 twisted shielded pairs, overall shield</t>
        </is>
      </c>
      <c r="K4813" s="12" t="inlineStr">
        <is>
          <t>PLTC|12 pr|18</t>
        </is>
      </c>
      <c r="L4813" s="12" t="inlineStr">
        <is>
          <t>12 pr</t>
        </is>
      </c>
      <c r="M4813" s="12" t="inlineStr">
        <is>
          <t>18</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I-I-0211</t>
        </is>
      </c>
      <c r="B4814" s="12" t="inlineStr">
        <is>
          <t>I</t>
        </is>
      </c>
      <c r="C4814" s="12" t="inlineStr">
        <is>
          <t>Modular / portable power</t>
        </is>
      </c>
      <c r="D4814" s="12" t="inlineStr">
        <is>
          <t>Instrumentation</t>
        </is>
      </c>
      <c r="E4814" s="12" t="inlineStr"/>
      <c r="F4814" s="12" t="inlineStr">
        <is>
          <t>PCM: power control module</t>
        </is>
      </c>
      <c r="G4814" s="12" t="inlineStr">
        <is>
          <t>RICE</t>
        </is>
      </c>
      <c r="H4814" s="12" t="inlineStr">
        <is>
          <t>RICE engine hall (8 engines)</t>
        </is>
      </c>
      <c r="I4814" s="12" t="inlineStr">
        <is>
          <t>Instrumentation</t>
        </is>
      </c>
      <c r="J4814" s="12" t="inlineStr">
        <is>
          <t>Instrumentation PLTC / TC-ER 300 V, #18 twisted shielded pairs, overall shield</t>
        </is>
      </c>
      <c r="K4814" s="12" t="inlineStr">
        <is>
          <t>PLTC|12 pr|18</t>
        </is>
      </c>
      <c r="L4814" s="12" t="inlineStr">
        <is>
          <t>12 pr</t>
        </is>
      </c>
      <c r="M4814" s="12" t="inlineStr">
        <is>
          <t>18</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I-I-0212</t>
        </is>
      </c>
      <c r="B4815" s="12" t="inlineStr">
        <is>
          <t>I</t>
        </is>
      </c>
      <c r="C4815" s="12" t="inlineStr">
        <is>
          <t>Modular / portable power</t>
        </is>
      </c>
      <c r="D4815" s="12" t="inlineStr">
        <is>
          <t>Instrumentation</t>
        </is>
      </c>
      <c r="E4815" s="12" t="inlineStr"/>
      <c r="F4815" s="12" t="inlineStr">
        <is>
          <t>PCM: power control module</t>
        </is>
      </c>
      <c r="G4815" s="12" t="inlineStr">
        <is>
          <t>RICE</t>
        </is>
      </c>
      <c r="H4815" s="12" t="inlineStr">
        <is>
          <t>RICE engine hall (8 engines)</t>
        </is>
      </c>
      <c r="I4815" s="12" t="inlineStr">
        <is>
          <t>Instrumentation</t>
        </is>
      </c>
      <c r="J4815" s="12" t="inlineStr">
        <is>
          <t>Instrumentation PLTC / TC-ER 300 V, #18 twisted shielded pairs, overall shield</t>
        </is>
      </c>
      <c r="K4815" s="12" t="inlineStr">
        <is>
          <t>PLTC|12 pr|18</t>
        </is>
      </c>
      <c r="L4815" s="12" t="inlineStr">
        <is>
          <t>12 pr</t>
        </is>
      </c>
      <c r="M4815" s="12" t="inlineStr">
        <is>
          <t>18</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I-I-0213</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I-I-0214</t>
        </is>
      </c>
      <c r="B4817" s="12" t="inlineStr">
        <is>
          <t>I</t>
        </is>
      </c>
      <c r="C4817" s="12" t="inlineStr">
        <is>
          <t>Modular / portable power</t>
        </is>
      </c>
      <c r="D4817" s="12" t="inlineStr">
        <is>
          <t>Thermocouples</t>
        </is>
      </c>
      <c r="E4817" s="12" t="inlineStr"/>
      <c r="F4817" s="12" t="inlineStr">
        <is>
          <t>PCM: power control module</t>
        </is>
      </c>
      <c r="G4817" s="12" t="inlineStr">
        <is>
          <t>RICE</t>
        </is>
      </c>
      <c r="H4817" s="12" t="inlineStr">
        <is>
          <t>RICE engine hall (8 engines)</t>
        </is>
      </c>
      <c r="I4817" s="12" t="inlineStr">
        <is>
          <t>Instrumentation</t>
        </is>
      </c>
      <c r="J4817" s="12" t="inlineStr">
        <is>
          <t>Thermocouple extension KX, #16 shielded pairs, PLTC</t>
        </is>
      </c>
      <c r="K4817" s="12" t="inlineStr">
        <is>
          <t>TCX|12 pr|16</t>
        </is>
      </c>
      <c r="L4817" s="12" t="inlineStr">
        <is>
          <t>12 pr</t>
        </is>
      </c>
      <c r="M4817" s="12" t="inlineStr">
        <is>
          <t>16</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I-I-0215</t>
        </is>
      </c>
      <c r="B4818" s="12" t="inlineStr">
        <is>
          <t>I</t>
        </is>
      </c>
      <c r="C4818" s="12" t="inlineStr">
        <is>
          <t>Modular / portable power</t>
        </is>
      </c>
      <c r="D4818" s="12" t="inlineStr">
        <is>
          <t>Thermocouples</t>
        </is>
      </c>
      <c r="E4818" s="12" t="inlineStr"/>
      <c r="F4818" s="12" t="inlineStr">
        <is>
          <t>PCM: power control module</t>
        </is>
      </c>
      <c r="G4818" s="12" t="inlineStr">
        <is>
          <t>RICE</t>
        </is>
      </c>
      <c r="H4818" s="12" t="inlineStr">
        <is>
          <t>RICE engine hall (8 engines)</t>
        </is>
      </c>
      <c r="I4818" s="12" t="inlineStr">
        <is>
          <t>Instrumentation</t>
        </is>
      </c>
      <c r="J4818" s="12" t="inlineStr">
        <is>
          <t>Thermocouple extension KX, #16 shielded pairs, PLTC</t>
        </is>
      </c>
      <c r="K4818" s="12" t="inlineStr">
        <is>
          <t>TCX|12 pr|16</t>
        </is>
      </c>
      <c r="L4818" s="12" t="inlineStr">
        <is>
          <t>12 pr</t>
        </is>
      </c>
      <c r="M4818" s="12" t="inlineStr">
        <is>
          <t>16</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I-I-0216</t>
        </is>
      </c>
      <c r="B4819" s="12" t="inlineStr">
        <is>
          <t>I</t>
        </is>
      </c>
      <c r="C4819" s="12" t="inlineStr">
        <is>
          <t>Modular / portable power</t>
        </is>
      </c>
      <c r="D4819" s="12" t="inlineStr">
        <is>
          <t>Thermocouples</t>
        </is>
      </c>
      <c r="E4819" s="12" t="inlineStr"/>
      <c r="F4819" s="12" t="inlineStr">
        <is>
          <t>PCM: power control module</t>
        </is>
      </c>
      <c r="G4819" s="12" t="inlineStr">
        <is>
          <t>RICE</t>
        </is>
      </c>
      <c r="H4819" s="12" t="inlineStr">
        <is>
          <t>RICE engine hall (8 engines)</t>
        </is>
      </c>
      <c r="I4819" s="12" t="inlineStr">
        <is>
          <t>Instrumentation</t>
        </is>
      </c>
      <c r="J4819" s="12" t="inlineStr">
        <is>
          <t>Thermocouple extension KX, #16 shielded pairs, PLTC</t>
        </is>
      </c>
      <c r="K4819" s="12" t="inlineStr">
        <is>
          <t>TCX|12 pr|16</t>
        </is>
      </c>
      <c r="L4819" s="12" t="inlineStr">
        <is>
          <t>12 pr</t>
        </is>
      </c>
      <c r="M4819" s="12" t="inlineStr">
        <is>
          <t>16</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I-I-0217</t>
        </is>
      </c>
      <c r="B4820" s="12" t="inlineStr">
        <is>
          <t>I</t>
        </is>
      </c>
      <c r="C4820" s="12" t="inlineStr">
        <is>
          <t>Modular / portable power</t>
        </is>
      </c>
      <c r="D4820" s="12" t="inlineStr">
        <is>
          <t>Thermocouples</t>
        </is>
      </c>
      <c r="E4820" s="12" t="inlineStr"/>
      <c r="F4820" s="12" t="inlineStr">
        <is>
          <t>PCM: power control module</t>
        </is>
      </c>
      <c r="G4820" s="12" t="inlineStr">
        <is>
          <t>RICE</t>
        </is>
      </c>
      <c r="H4820" s="12" t="inlineStr">
        <is>
          <t>RICE engine hall (8 engines)</t>
        </is>
      </c>
      <c r="I4820" s="12" t="inlineStr">
        <is>
          <t>Instrumentation</t>
        </is>
      </c>
      <c r="J4820" s="12" t="inlineStr">
        <is>
          <t>Thermocouple extension KX, #16 shielded pairs, PLTC</t>
        </is>
      </c>
      <c r="K4820" s="12" t="inlineStr">
        <is>
          <t>TCX|12 pr|16</t>
        </is>
      </c>
      <c r="L4820" s="12" t="inlineStr">
        <is>
          <t>12 pr</t>
        </is>
      </c>
      <c r="M4820" s="12" t="inlineStr">
        <is>
          <t>16</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I-I-0218</t>
        </is>
      </c>
      <c r="B4821" s="12" t="inlineStr">
        <is>
          <t>I</t>
        </is>
      </c>
      <c r="C4821" s="12" t="inlineStr">
        <is>
          <t>Modular / portable power</t>
        </is>
      </c>
      <c r="D4821" s="12" t="inlineStr">
        <is>
          <t>Thermocouples</t>
        </is>
      </c>
      <c r="E4821" s="12" t="inlineStr"/>
      <c r="F4821" s="12" t="inlineStr">
        <is>
          <t>PCM: power control module</t>
        </is>
      </c>
      <c r="G4821" s="12" t="inlineStr">
        <is>
          <t>RICE</t>
        </is>
      </c>
      <c r="H4821" s="12" t="inlineStr">
        <is>
          <t>RICE engine hall (8 engines)</t>
        </is>
      </c>
      <c r="I4821" s="12" t="inlineStr">
        <is>
          <t>Instrumentation</t>
        </is>
      </c>
      <c r="J4821" s="12" t="inlineStr">
        <is>
          <t>Thermocouple extension KX, #16 shielded pairs, PLTC</t>
        </is>
      </c>
      <c r="K4821" s="12" t="inlineStr">
        <is>
          <t>TCX|12 pr|16</t>
        </is>
      </c>
      <c r="L4821" s="12" t="inlineStr">
        <is>
          <t>12 pr</t>
        </is>
      </c>
      <c r="M4821" s="12" t="inlineStr">
        <is>
          <t>16</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I-I-0219</t>
        </is>
      </c>
      <c r="B4822" s="12" t="inlineStr">
        <is>
          <t>I</t>
        </is>
      </c>
      <c r="C4822" s="12" t="inlineStr">
        <is>
          <t>Modular / portable power</t>
        </is>
      </c>
      <c r="D4822" s="12" t="inlineStr">
        <is>
          <t>Analog instrument to JB JB-RICE-1-AI01: 20 x 1 pr (field cables)</t>
        </is>
      </c>
      <c r="E4822" s="12" t="inlineStr">
        <is>
          <t>RICE-1</t>
        </is>
      </c>
      <c r="F4822" s="12" t="inlineStr">
        <is>
          <t>RICE engine-generator 1</t>
        </is>
      </c>
      <c r="G4822" s="12" t="inlineStr">
        <is>
          <t>JB-RICE-1-AI01</t>
        </is>
      </c>
      <c r="H4822" s="12" t="inlineStr">
        <is>
          <t>RICE engine-generator 1</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5" t="n">
        <v>72</v>
      </c>
      <c r="U4822" s="15" t="n">
        <v>10</v>
      </c>
      <c r="V4822" s="15">
        <f>ROUNDUP((T4822+U4822+2*'Read Me'!$B$13)*(1+'Read Me'!$B$12),-1)</f>
        <v/>
      </c>
      <c r="W4822" s="15">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I-I-0220</t>
        </is>
      </c>
      <c r="B4823" s="12" t="inlineStr">
        <is>
          <t>I</t>
        </is>
      </c>
      <c r="C4823" s="12" t="inlineStr">
        <is>
          <t>Modular / portable power</t>
        </is>
      </c>
      <c r="D4823" s="12" t="inlineStr">
        <is>
          <t>Home run JB-RICE-1-AI01 to the control / marshalling room</t>
        </is>
      </c>
      <c r="E4823" s="12" t="inlineStr"/>
      <c r="F4823" s="12" t="inlineStr">
        <is>
          <t>PCM: power control module</t>
        </is>
      </c>
      <c r="G4823" s="12" t="inlineStr">
        <is>
          <t>JB-RICE-1-AI01</t>
        </is>
      </c>
      <c r="H4823" s="12" t="inlineStr">
        <is>
          <t>RICE engine-generator 1</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5" t="n">
        <v>516</v>
      </c>
      <c r="U4823" s="15" t="n">
        <v>137</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I-I-0221</t>
        </is>
      </c>
      <c r="B4824" s="12" t="inlineStr">
        <is>
          <t>I</t>
        </is>
      </c>
      <c r="C4824" s="12" t="inlineStr">
        <is>
          <t>Modular / portable power</t>
        </is>
      </c>
      <c r="D4824" s="12" t="inlineStr">
        <is>
          <t>Analog instrument to JB JB-RICE-1-AI02: 20 x 1 pr (field cables)</t>
        </is>
      </c>
      <c r="E4824" s="12" t="inlineStr">
        <is>
          <t>RICE-1</t>
        </is>
      </c>
      <c r="F4824" s="12" t="inlineStr">
        <is>
          <t>RICE engine-generator 1</t>
        </is>
      </c>
      <c r="G4824" s="12" t="inlineStr">
        <is>
          <t>JB-RICE-1-AI02</t>
        </is>
      </c>
      <c r="H4824" s="12" t="inlineStr">
        <is>
          <t>RICE engine-generator 1</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5" t="n">
        <v>72</v>
      </c>
      <c r="U4824" s="15" t="n">
        <v>10</v>
      </c>
      <c r="V4824" s="15">
        <f>ROUNDUP((T4824+U4824+2*'Read Me'!$B$13)*(1+'Read Me'!$B$12),-1)</f>
        <v/>
      </c>
      <c r="W4824" s="15">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I-I-0222</t>
        </is>
      </c>
      <c r="B4825" s="12" t="inlineStr">
        <is>
          <t>I</t>
        </is>
      </c>
      <c r="C4825" s="12" t="inlineStr">
        <is>
          <t>Modular / portable power</t>
        </is>
      </c>
      <c r="D4825" s="12" t="inlineStr">
        <is>
          <t>Home run JB-RICE-1-AI02 to the control / marshalling room</t>
        </is>
      </c>
      <c r="E4825" s="12" t="inlineStr"/>
      <c r="F4825" s="12" t="inlineStr">
        <is>
          <t>PCM: power control module</t>
        </is>
      </c>
      <c r="G4825" s="12" t="inlineStr">
        <is>
          <t>JB-RICE-1-AI02</t>
        </is>
      </c>
      <c r="H4825" s="12" t="inlineStr">
        <is>
          <t>RICE engine-generator 1</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5" t="n">
        <v>516</v>
      </c>
      <c r="U4825" s="15" t="n">
        <v>137</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I-I-0223</t>
        </is>
      </c>
      <c r="B4826" s="12" t="inlineStr">
        <is>
          <t>I</t>
        </is>
      </c>
      <c r="C4826" s="12" t="inlineStr">
        <is>
          <t>Modular / portable power</t>
        </is>
      </c>
      <c r="D4826" s="12" t="inlineStr">
        <is>
          <t>Analog instrument to JB JB-RICE-1-AI03: 20 x 1 pr (field cables)</t>
        </is>
      </c>
      <c r="E4826" s="12" t="inlineStr">
        <is>
          <t>RICE-1</t>
        </is>
      </c>
      <c r="F4826" s="12" t="inlineStr">
        <is>
          <t>RICE engine-generator 1</t>
        </is>
      </c>
      <c r="G4826" s="12" t="inlineStr">
        <is>
          <t>JB-RICE-1-AI03</t>
        </is>
      </c>
      <c r="H4826" s="12" t="inlineStr">
        <is>
          <t>RICE engine-generator 1</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5" t="n">
        <v>72</v>
      </c>
      <c r="U4826" s="15" t="n">
        <v>10</v>
      </c>
      <c r="V4826" s="15">
        <f>ROUNDUP((T4826+U4826+2*'Read Me'!$B$13)*(1+'Read Me'!$B$12),-1)</f>
        <v/>
      </c>
      <c r="W4826" s="15">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I-I-0224</t>
        </is>
      </c>
      <c r="B4827" s="12" t="inlineStr">
        <is>
          <t>I</t>
        </is>
      </c>
      <c r="C4827" s="12" t="inlineStr">
        <is>
          <t>Modular / portable power</t>
        </is>
      </c>
      <c r="D4827" s="12" t="inlineStr">
        <is>
          <t>Home run JB-RICE-1-AI03 to the control / marshalling room</t>
        </is>
      </c>
      <c r="E4827" s="12" t="inlineStr"/>
      <c r="F4827" s="12" t="inlineStr">
        <is>
          <t>PCM: power control module</t>
        </is>
      </c>
      <c r="G4827" s="12" t="inlineStr">
        <is>
          <t>JB-RICE-1-AI03</t>
        </is>
      </c>
      <c r="H4827" s="12" t="inlineStr">
        <is>
          <t>RICE engine-generator 1</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Duct bank</t>
        </is>
      </c>
      <c r="T4827" s="15" t="n">
        <v>516</v>
      </c>
      <c r="U4827" s="15" t="n">
        <v>137</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I-I-0225</t>
        </is>
      </c>
      <c r="B4828" s="12" t="inlineStr">
        <is>
          <t>I</t>
        </is>
      </c>
      <c r="C4828" s="12" t="inlineStr">
        <is>
          <t>Modular / portable power</t>
        </is>
      </c>
      <c r="D4828" s="12" t="inlineStr">
        <is>
          <t>Analog instrument to JB JB-RICE-1-AI04: 20 x 1 pr (field cables)</t>
        </is>
      </c>
      <c r="E4828" s="12" t="inlineStr">
        <is>
          <t>RICE-1</t>
        </is>
      </c>
      <c r="F4828" s="12" t="inlineStr">
        <is>
          <t>RICE engine-generator 1</t>
        </is>
      </c>
      <c r="G4828" s="12" t="inlineStr">
        <is>
          <t>JB-RICE-1-AI04</t>
        </is>
      </c>
      <c r="H4828" s="12" t="inlineStr">
        <is>
          <t>RICE engine-generator 1</t>
        </is>
      </c>
      <c r="I4828" s="12" t="inlineStr">
        <is>
          <t>Instrumentation</t>
        </is>
      </c>
      <c r="J4828" s="12" t="inlineStr">
        <is>
          <t>Instrumentation PLTC / TC-ER 300 V, #18 twisted shielded pairs, overall shield</t>
        </is>
      </c>
      <c r="K4828" s="12" t="inlineStr">
        <is>
          <t>PLTC|1 pr|16</t>
        </is>
      </c>
      <c r="L4828" s="12" t="inlineStr">
        <is>
          <t>1 pr</t>
        </is>
      </c>
      <c r="M4828" s="12" t="inlineStr">
        <is>
          <t>16</t>
        </is>
      </c>
      <c r="N4828" s="12" t="n">
        <v>20</v>
      </c>
      <c r="O4828" s="12" t="n">
        <v>1</v>
      </c>
      <c r="P4828" s="12" t="n"/>
      <c r="Q4828" s="12" t="n"/>
      <c r="R4828" s="12" t="n"/>
      <c r="S4828" s="12" t="inlineStr">
        <is>
          <t>Tray / conduit</t>
        </is>
      </c>
      <c r="T4828" s="15" t="n">
        <v>72</v>
      </c>
      <c r="U4828" s="15" t="n">
        <v>10</v>
      </c>
      <c r="V4828" s="15">
        <f>ROUNDUP((T4828+U4828+2*'Read Me'!$B$13)*(1+'Read Me'!$B$12),-1)</f>
        <v/>
      </c>
      <c r="W4828" s="15">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I-I-0226</t>
        </is>
      </c>
      <c r="B4829" s="12" t="inlineStr">
        <is>
          <t>I</t>
        </is>
      </c>
      <c r="C4829" s="12" t="inlineStr">
        <is>
          <t>Modular / portable power</t>
        </is>
      </c>
      <c r="D4829" s="12" t="inlineStr">
        <is>
          <t>Home run JB-RICE-1-AI04 to the control / marshalling room</t>
        </is>
      </c>
      <c r="E4829" s="12" t="inlineStr"/>
      <c r="F4829" s="12" t="inlineStr">
        <is>
          <t>PCM: power control module</t>
        </is>
      </c>
      <c r="G4829" s="12" t="inlineStr">
        <is>
          <t>JB-RICE-1-AI04</t>
        </is>
      </c>
      <c r="H4829" s="12" t="inlineStr">
        <is>
          <t>RICE engine-generator 1</t>
        </is>
      </c>
      <c r="I4829" s="12" t="inlineStr">
        <is>
          <t>Instrumentation</t>
        </is>
      </c>
      <c r="J4829" s="12" t="inlineStr">
        <is>
          <t>Instrumentation PLTC / TC-ER 300 V, #18 twisted shielded pairs, overall shield</t>
        </is>
      </c>
      <c r="K4829" s="12" t="inlineStr">
        <is>
          <t>PLTC|24 pr|18</t>
        </is>
      </c>
      <c r="L4829" s="12" t="inlineStr">
        <is>
          <t>24 pr</t>
        </is>
      </c>
      <c r="M4829" s="12" t="inlineStr">
        <is>
          <t>18</t>
        </is>
      </c>
      <c r="N4829" s="12" t="n">
        <v>1</v>
      </c>
      <c r="O4829" s="12" t="n">
        <v>1</v>
      </c>
      <c r="P4829" s="12" t="n"/>
      <c r="Q4829" s="12" t="n"/>
      <c r="R4829" s="12" t="n"/>
      <c r="S4829" s="12" t="inlineStr">
        <is>
          <t>Duct bank</t>
        </is>
      </c>
      <c r="T4829" s="15" t="n">
        <v>516</v>
      </c>
      <c r="U4829" s="15" t="n">
        <v>137</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I-I-0227</t>
        </is>
      </c>
      <c r="B4830" s="12" t="inlineStr">
        <is>
          <t>I</t>
        </is>
      </c>
      <c r="C4830" s="12" t="inlineStr">
        <is>
          <t>Modular / portable power</t>
        </is>
      </c>
      <c r="D4830" s="12" t="inlineStr">
        <is>
          <t>Discrete device to JB JB-RICE-1-DI01: 20 x 1 pr (field cables)</t>
        </is>
      </c>
      <c r="E4830" s="12" t="inlineStr">
        <is>
          <t>RICE-1</t>
        </is>
      </c>
      <c r="F4830" s="12" t="inlineStr">
        <is>
          <t>RICE engine-generator 1</t>
        </is>
      </c>
      <c r="G4830" s="12" t="inlineStr">
        <is>
          <t>JB-RICE-1-DI01</t>
        </is>
      </c>
      <c r="H4830" s="12" t="inlineStr">
        <is>
          <t>RICE engine-generator 1</t>
        </is>
      </c>
      <c r="I4830" s="12" t="inlineStr">
        <is>
          <t>Instrumentation</t>
        </is>
      </c>
      <c r="J4830" s="12" t="inlineStr">
        <is>
          <t>Instrumentation PLTC / TC-ER 300 V, #18 twisted shielded pairs, overall shield</t>
        </is>
      </c>
      <c r="K4830" s="12" t="inlineStr">
        <is>
          <t>PLTC|1 pr|16</t>
        </is>
      </c>
      <c r="L4830" s="12" t="inlineStr">
        <is>
          <t>1 pr</t>
        </is>
      </c>
      <c r="M4830" s="12" t="inlineStr">
        <is>
          <t>16</t>
        </is>
      </c>
      <c r="N4830" s="12" t="n">
        <v>20</v>
      </c>
      <c r="O4830" s="12" t="n">
        <v>1</v>
      </c>
      <c r="P4830" s="12" t="n"/>
      <c r="Q4830" s="12" t="n"/>
      <c r="R4830" s="12" t="n"/>
      <c r="S4830" s="12" t="inlineStr">
        <is>
          <t>Tray / conduit</t>
        </is>
      </c>
      <c r="T4830" s="15" t="n">
        <v>72</v>
      </c>
      <c r="U4830" s="15" t="n">
        <v>10</v>
      </c>
      <c r="V4830" s="15">
        <f>ROUNDUP((T4830+U4830+2*'Read Me'!$B$13)*(1+'Read Me'!$B$12),-1)</f>
        <v/>
      </c>
      <c r="W4830" s="15">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I-I-0228</t>
        </is>
      </c>
      <c r="B4831" s="12" t="inlineStr">
        <is>
          <t>I</t>
        </is>
      </c>
      <c r="C4831" s="12" t="inlineStr">
        <is>
          <t>Modular / portable power</t>
        </is>
      </c>
      <c r="D4831" s="12" t="inlineStr">
        <is>
          <t>Home run JB-RICE-1-DI01 to the control / marshalling room</t>
        </is>
      </c>
      <c r="E4831" s="12" t="inlineStr"/>
      <c r="F4831" s="12" t="inlineStr">
        <is>
          <t>PCM: power control module</t>
        </is>
      </c>
      <c r="G4831" s="12" t="inlineStr">
        <is>
          <t>JB-RICE-1-DI01</t>
        </is>
      </c>
      <c r="H4831" s="12" t="inlineStr">
        <is>
          <t>RICE engine-generator 1</t>
        </is>
      </c>
      <c r="I4831" s="12" t="inlineStr">
        <is>
          <t>Instrumentation</t>
        </is>
      </c>
      <c r="J4831" s="12" t="inlineStr">
        <is>
          <t>Instrumentation PLTC / TC-ER 300 V, #18 twisted shielded pairs, overall shield</t>
        </is>
      </c>
      <c r="K4831" s="12" t="inlineStr">
        <is>
          <t>PLTC|24 pr|18</t>
        </is>
      </c>
      <c r="L4831" s="12" t="inlineStr">
        <is>
          <t>24 pr</t>
        </is>
      </c>
      <c r="M4831" s="12" t="inlineStr">
        <is>
          <t>18</t>
        </is>
      </c>
      <c r="N4831" s="12" t="n">
        <v>1</v>
      </c>
      <c r="O4831" s="12" t="n">
        <v>1</v>
      </c>
      <c r="P4831" s="12" t="n"/>
      <c r="Q4831" s="12" t="n"/>
      <c r="R4831" s="12" t="n"/>
      <c r="S4831" s="12" t="inlineStr">
        <is>
          <t>Duct bank</t>
        </is>
      </c>
      <c r="T4831" s="15" t="n">
        <v>516</v>
      </c>
      <c r="U4831" s="15" t="n">
        <v>137</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I-I-0229</t>
        </is>
      </c>
      <c r="B4832" s="12" t="inlineStr">
        <is>
          <t>I</t>
        </is>
      </c>
      <c r="C4832" s="12" t="inlineStr">
        <is>
          <t>Modular / portable power</t>
        </is>
      </c>
      <c r="D4832" s="12" t="inlineStr">
        <is>
          <t>Discrete device to JB JB-RICE-1-DI02: 20 x 1 pr (field cables)</t>
        </is>
      </c>
      <c r="E4832" s="12" t="inlineStr">
        <is>
          <t>RICE-1</t>
        </is>
      </c>
      <c r="F4832" s="12" t="inlineStr">
        <is>
          <t>RICE engine-generator 1</t>
        </is>
      </c>
      <c r="G4832" s="12" t="inlineStr">
        <is>
          <t>JB-RICE-1-DI02</t>
        </is>
      </c>
      <c r="H4832" s="12" t="inlineStr">
        <is>
          <t>RICE engine-generator 1</t>
        </is>
      </c>
      <c r="I4832" s="12" t="inlineStr">
        <is>
          <t>Instrumentation</t>
        </is>
      </c>
      <c r="J4832" s="12" t="inlineStr">
        <is>
          <t>Instrumentation PLTC / TC-ER 300 V, #18 twisted shielded pairs, overall shield</t>
        </is>
      </c>
      <c r="K4832" s="12" t="inlineStr">
        <is>
          <t>PLTC|1 pr|16</t>
        </is>
      </c>
      <c r="L4832" s="12" t="inlineStr">
        <is>
          <t>1 pr</t>
        </is>
      </c>
      <c r="M4832" s="12" t="inlineStr">
        <is>
          <t>16</t>
        </is>
      </c>
      <c r="N4832" s="12" t="n">
        <v>20</v>
      </c>
      <c r="O4832" s="12" t="n">
        <v>1</v>
      </c>
      <c r="P4832" s="12" t="n"/>
      <c r="Q4832" s="12" t="n"/>
      <c r="R4832" s="12" t="n"/>
      <c r="S4832" s="12" t="inlineStr">
        <is>
          <t>Tray / conduit</t>
        </is>
      </c>
      <c r="T4832" s="15" t="n">
        <v>72</v>
      </c>
      <c r="U4832" s="15" t="n">
        <v>10</v>
      </c>
      <c r="V4832" s="15">
        <f>ROUNDUP((T4832+U4832+2*'Read Me'!$B$13)*(1+'Read Me'!$B$12),-1)</f>
        <v/>
      </c>
      <c r="W4832" s="15">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I-I-0230</t>
        </is>
      </c>
      <c r="B4833" s="12" t="inlineStr">
        <is>
          <t>I</t>
        </is>
      </c>
      <c r="C4833" s="12" t="inlineStr">
        <is>
          <t>Modular / portable power</t>
        </is>
      </c>
      <c r="D4833" s="12" t="inlineStr">
        <is>
          <t>Home run JB-RICE-1-DI02 to the control / marshalling room</t>
        </is>
      </c>
      <c r="E4833" s="12" t="inlineStr"/>
      <c r="F4833" s="12" t="inlineStr">
        <is>
          <t>PCM: power control module</t>
        </is>
      </c>
      <c r="G4833" s="12" t="inlineStr">
        <is>
          <t>JB-RICE-1-DI02</t>
        </is>
      </c>
      <c r="H4833" s="12" t="inlineStr">
        <is>
          <t>RICE engine-generator 1</t>
        </is>
      </c>
      <c r="I4833" s="12" t="inlineStr">
        <is>
          <t>Instrumentation</t>
        </is>
      </c>
      <c r="J4833" s="12" t="inlineStr">
        <is>
          <t>Instrumentation PLTC / TC-ER 300 V, #18 twisted shielded pairs, overall shield</t>
        </is>
      </c>
      <c r="K4833" s="12" t="inlineStr">
        <is>
          <t>PLTC|24 pr|18</t>
        </is>
      </c>
      <c r="L4833" s="12" t="inlineStr">
        <is>
          <t>24 pr</t>
        </is>
      </c>
      <c r="M4833" s="12" t="inlineStr">
        <is>
          <t>18</t>
        </is>
      </c>
      <c r="N4833" s="12" t="n">
        <v>1</v>
      </c>
      <c r="O4833" s="12" t="n">
        <v>1</v>
      </c>
      <c r="P4833" s="12" t="n"/>
      <c r="Q4833" s="12" t="n"/>
      <c r="R4833" s="12" t="n"/>
      <c r="S4833" s="12" t="inlineStr">
        <is>
          <t>Duct bank</t>
        </is>
      </c>
      <c r="T4833" s="15" t="n">
        <v>516</v>
      </c>
      <c r="U4833" s="15" t="n">
        <v>137</v>
      </c>
      <c r="V4833" s="15">
        <f>ROUNDUP((T4833+U4833+2*'Read Me'!$B$13)*(1+'Read Me'!$B$12),-1)</f>
        <v/>
      </c>
      <c r="W4833" s="15">
        <f>V4833*N4833*O4833</f>
        <v/>
      </c>
      <c r="X4833" s="12">
        <f>IF(LEFT(I4833,2)="MV",2*N4833*IF(L4833="1/C",O4833,1),0)</f>
        <v/>
      </c>
      <c r="Y4833" s="12">
        <f>IF(OR(LEFT(K4833,4)="LVAX",LEFT(K4833,6)="MV15AX",LEFT(K4833,4)="CTAX",LEFT(K4833,2)="W|"),2*N4833*O4833,0)</f>
        <v/>
      </c>
      <c r="Z4833" s="12" t="inlineStr"/>
      <c r="AA4833" s="12">
        <f>N4833*O4833</f>
        <v/>
      </c>
    </row>
    <row r="4834">
      <c r="A4834" s="12" t="inlineStr">
        <is>
          <t>I-I-0231</t>
        </is>
      </c>
      <c r="B4834" s="12" t="inlineStr">
        <is>
          <t>I</t>
        </is>
      </c>
      <c r="C4834" s="12" t="inlineStr">
        <is>
          <t>Modular / portable power</t>
        </is>
      </c>
      <c r="D4834" s="12" t="inlineStr">
        <is>
          <t>Discrete device to JB JB-RICE-1-DI03: 20 x 1 pr (field cables)</t>
        </is>
      </c>
      <c r="E4834" s="12" t="inlineStr">
        <is>
          <t>RICE-1</t>
        </is>
      </c>
      <c r="F4834" s="12" t="inlineStr">
        <is>
          <t>RICE engine-generator 1</t>
        </is>
      </c>
      <c r="G4834" s="12" t="inlineStr">
        <is>
          <t>JB-RICE-1-DI03</t>
        </is>
      </c>
      <c r="H4834" s="12" t="inlineStr">
        <is>
          <t>RICE engine-generator 1</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5" t="n">
        <v>72</v>
      </c>
      <c r="U4834" s="15" t="n">
        <v>10</v>
      </c>
      <c r="V4834" s="15">
        <f>ROUNDUP((T4834+U4834+2*'Read Me'!$B$13)*(1+'Read Me'!$B$12),-1)</f>
        <v/>
      </c>
      <c r="W4834" s="15">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I-I-0232</t>
        </is>
      </c>
      <c r="B4835" s="12" t="inlineStr">
        <is>
          <t>I</t>
        </is>
      </c>
      <c r="C4835" s="12" t="inlineStr">
        <is>
          <t>Modular / portable power</t>
        </is>
      </c>
      <c r="D4835" s="12" t="inlineStr">
        <is>
          <t>Home run JB-RICE-1-DI03 to the control / marshalling room</t>
        </is>
      </c>
      <c r="E4835" s="12" t="inlineStr"/>
      <c r="F4835" s="12" t="inlineStr">
        <is>
          <t>PCM: power control module</t>
        </is>
      </c>
      <c r="G4835" s="12" t="inlineStr">
        <is>
          <t>JB-RICE-1-DI03</t>
        </is>
      </c>
      <c r="H4835" s="12" t="inlineStr">
        <is>
          <t>RICE engine-generator 1</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Duct bank</t>
        </is>
      </c>
      <c r="T4835" s="15" t="n">
        <v>516</v>
      </c>
      <c r="U4835" s="15" t="n">
        <v>137</v>
      </c>
      <c r="V4835" s="15">
        <f>ROUNDUP((T4835+U4835+2*'Read Me'!$B$13)*(1+'Read Me'!$B$12),-1)</f>
        <v/>
      </c>
      <c r="W4835" s="15">
        <f>V4835*N4835*O4835</f>
        <v/>
      </c>
      <c r="X4835" s="12">
        <f>IF(LEFT(I4835,2)="MV",2*N4835*IF(L4835="1/C",O4835,1),0)</f>
        <v/>
      </c>
      <c r="Y4835" s="12">
        <f>IF(OR(LEFT(K4835,4)="LVAX",LEFT(K4835,6)="MV15AX",LEFT(K4835,4)="CTAX",LEFT(K4835,2)="W|"),2*N4835*O4835,0)</f>
        <v/>
      </c>
      <c r="Z4835" s="12" t="inlineStr"/>
      <c r="AA4835" s="12">
        <f>N4835*O4835</f>
        <v/>
      </c>
    </row>
    <row r="4836">
      <c r="A4836" s="12" t="inlineStr">
        <is>
          <t>I-I-0233</t>
        </is>
      </c>
      <c r="B4836" s="12" t="inlineStr">
        <is>
          <t>I</t>
        </is>
      </c>
      <c r="C4836" s="12" t="inlineStr">
        <is>
          <t>Modular / portable power</t>
        </is>
      </c>
      <c r="D4836" s="12" t="inlineStr">
        <is>
          <t>Thermocouple to TC JB JB-RICE-1-TC01: 20 x 1 pr (field cables)</t>
        </is>
      </c>
      <c r="E4836" s="12" t="inlineStr">
        <is>
          <t>RICE-1</t>
        </is>
      </c>
      <c r="F4836" s="12" t="inlineStr">
        <is>
          <t>RICE engine-generator 1</t>
        </is>
      </c>
      <c r="G4836" s="12" t="inlineStr">
        <is>
          <t>JB-RICE-1-TC01</t>
        </is>
      </c>
      <c r="H4836" s="12" t="inlineStr">
        <is>
          <t>RICE engine-generator 1</t>
        </is>
      </c>
      <c r="I4836" s="12" t="inlineStr">
        <is>
          <t>Instrumentation</t>
        </is>
      </c>
      <c r="J4836" s="12" t="inlineStr">
        <is>
          <t>Thermocouple extension KX, #16 shielded pairs, PLTC</t>
        </is>
      </c>
      <c r="K4836" s="12" t="inlineStr">
        <is>
          <t>TCX|1 pr|16</t>
        </is>
      </c>
      <c r="L4836" s="12" t="inlineStr">
        <is>
          <t>1 pr</t>
        </is>
      </c>
      <c r="M4836" s="12" t="inlineStr">
        <is>
          <t>16</t>
        </is>
      </c>
      <c r="N4836" s="12" t="n">
        <v>20</v>
      </c>
      <c r="O4836" s="12" t="n">
        <v>1</v>
      </c>
      <c r="P4836" s="12" t="n"/>
      <c r="Q4836" s="12" t="n"/>
      <c r="R4836" s="12" t="n"/>
      <c r="S4836" s="12" t="inlineStr">
        <is>
          <t>Tray / conduit</t>
        </is>
      </c>
      <c r="T4836" s="15" t="n">
        <v>72</v>
      </c>
      <c r="U4836" s="15" t="n">
        <v>10</v>
      </c>
      <c r="V4836" s="15">
        <f>ROUNDUP((T4836+U4836+2*'Read Me'!$B$13)*(1+'Read Me'!$B$12),-1)</f>
        <v/>
      </c>
      <c r="W4836" s="15">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I-I-0234</t>
        </is>
      </c>
      <c r="B4837" s="12" t="inlineStr">
        <is>
          <t>I</t>
        </is>
      </c>
      <c r="C4837" s="12" t="inlineStr">
        <is>
          <t>Modular / portable power</t>
        </is>
      </c>
      <c r="D4837" s="12" t="inlineStr">
        <is>
          <t>Home run JB-RICE-1-TC01 to the control / marshalling room</t>
        </is>
      </c>
      <c r="E4837" s="12" t="inlineStr"/>
      <c r="F4837" s="12" t="inlineStr">
        <is>
          <t>PCM: power control module</t>
        </is>
      </c>
      <c r="G4837" s="12" t="inlineStr">
        <is>
          <t>JB-RICE-1-TC01</t>
        </is>
      </c>
      <c r="H4837" s="12" t="inlineStr">
        <is>
          <t>RICE engine-generator 1</t>
        </is>
      </c>
      <c r="I4837" s="12" t="inlineStr">
        <is>
          <t>Instrumentation</t>
        </is>
      </c>
      <c r="J4837" s="12" t="inlineStr">
        <is>
          <t>Thermocouple extension KX, #16 shielded pairs, PLTC</t>
        </is>
      </c>
      <c r="K4837" s="12" t="inlineStr">
        <is>
          <t>TCX|24 pr|16</t>
        </is>
      </c>
      <c r="L4837" s="12" t="inlineStr">
        <is>
          <t>24 pr</t>
        </is>
      </c>
      <c r="M4837" s="12" t="inlineStr">
        <is>
          <t>16</t>
        </is>
      </c>
      <c r="N4837" s="12" t="n">
        <v>1</v>
      </c>
      <c r="O4837" s="12" t="n">
        <v>1</v>
      </c>
      <c r="P4837" s="12" t="n"/>
      <c r="Q4837" s="12" t="n"/>
      <c r="R4837" s="12" t="n"/>
      <c r="S4837" s="12" t="inlineStr">
        <is>
          <t>Duct bank</t>
        </is>
      </c>
      <c r="T4837" s="15" t="n">
        <v>516</v>
      </c>
      <c r="U4837" s="15" t="n">
        <v>137</v>
      </c>
      <c r="V4837" s="15">
        <f>ROUNDUP((T4837+U4837+2*'Read Me'!$B$13)*(1+'Read Me'!$B$12),-1)</f>
        <v/>
      </c>
      <c r="W4837" s="15">
        <f>V4837*N4837*O4837</f>
        <v/>
      </c>
      <c r="X4837" s="12">
        <f>IF(LEFT(I4837,2)="MV",2*N4837*IF(L4837="1/C",O4837,1),0)</f>
        <v/>
      </c>
      <c r="Y4837" s="12">
        <f>IF(OR(LEFT(K4837,4)="LVAX",LEFT(K4837,6)="MV15AX",LEFT(K4837,4)="CTAX",LEFT(K4837,2)="W|"),2*N4837*O4837,0)</f>
        <v/>
      </c>
      <c r="Z4837" s="12" t="inlineStr"/>
      <c r="AA4837" s="12">
        <f>N4837*O4837</f>
        <v/>
      </c>
    </row>
    <row r="4838">
      <c r="A4838" s="12" t="inlineStr">
        <is>
          <t>I-I-0235</t>
        </is>
      </c>
      <c r="B4838" s="12" t="inlineStr">
        <is>
          <t>I</t>
        </is>
      </c>
      <c r="C4838" s="12" t="inlineStr">
        <is>
          <t>Modular / portable power</t>
        </is>
      </c>
      <c r="D4838" s="12" t="inlineStr">
        <is>
          <t>Thermocouple to TC JB JB-RICE-1-TC02: 10 x 1 pr (field cables)</t>
        </is>
      </c>
      <c r="E4838" s="12" t="inlineStr">
        <is>
          <t>RICE-1</t>
        </is>
      </c>
      <c r="F4838" s="12" t="inlineStr">
        <is>
          <t>RICE engine-generator 1</t>
        </is>
      </c>
      <c r="G4838" s="12" t="inlineStr">
        <is>
          <t>JB-RICE-1-TC02</t>
        </is>
      </c>
      <c r="H4838" s="12" t="inlineStr">
        <is>
          <t>RICE engine-generator 1</t>
        </is>
      </c>
      <c r="I4838" s="12" t="inlineStr">
        <is>
          <t>Instrumentation</t>
        </is>
      </c>
      <c r="J4838" s="12" t="inlineStr">
        <is>
          <t>Thermocouple extension KX, #16 shielded pairs, PLTC</t>
        </is>
      </c>
      <c r="K4838" s="12" t="inlineStr">
        <is>
          <t>TCX|1 pr|16</t>
        </is>
      </c>
      <c r="L4838" s="12" t="inlineStr">
        <is>
          <t>1 pr</t>
        </is>
      </c>
      <c r="M4838" s="12" t="inlineStr">
        <is>
          <t>16</t>
        </is>
      </c>
      <c r="N4838" s="12" t="n">
        <v>10</v>
      </c>
      <c r="O4838" s="12" t="n">
        <v>1</v>
      </c>
      <c r="P4838" s="12" t="n"/>
      <c r="Q4838" s="12" t="n"/>
      <c r="R4838" s="12" t="n"/>
      <c r="S4838" s="12" t="inlineStr">
        <is>
          <t>Tray / conduit</t>
        </is>
      </c>
      <c r="T4838" s="15" t="n">
        <v>72</v>
      </c>
      <c r="U4838" s="15" t="n">
        <v>10</v>
      </c>
      <c r="V4838" s="15">
        <f>ROUNDUP((T4838+U4838+2*'Read Me'!$B$13)*(1+'Read Me'!$B$12),-1)</f>
        <v/>
      </c>
      <c r="W4838" s="15">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I-I-0236</t>
        </is>
      </c>
      <c r="B4839" s="12" t="inlineStr">
        <is>
          <t>I</t>
        </is>
      </c>
      <c r="C4839" s="12" t="inlineStr">
        <is>
          <t>Modular / portable power</t>
        </is>
      </c>
      <c r="D4839" s="12" t="inlineStr">
        <is>
          <t>Home run JB-RICE-1-TC02 to the control / marshalling room</t>
        </is>
      </c>
      <c r="E4839" s="12" t="inlineStr"/>
      <c r="F4839" s="12" t="inlineStr">
        <is>
          <t>PCM: power control module</t>
        </is>
      </c>
      <c r="G4839" s="12" t="inlineStr">
        <is>
          <t>JB-RICE-1-TC02</t>
        </is>
      </c>
      <c r="H4839" s="12" t="inlineStr">
        <is>
          <t>RICE engine-generator 1</t>
        </is>
      </c>
      <c r="I4839" s="12" t="inlineStr">
        <is>
          <t>Instrumentation</t>
        </is>
      </c>
      <c r="J4839" s="12" t="inlineStr">
        <is>
          <t>Thermocouple extension KX, #16 shielded pairs, PLTC</t>
        </is>
      </c>
      <c r="K4839" s="12" t="inlineStr">
        <is>
          <t>TCX|24 pr|16</t>
        </is>
      </c>
      <c r="L4839" s="12" t="inlineStr">
        <is>
          <t>24 pr</t>
        </is>
      </c>
      <c r="M4839" s="12" t="inlineStr">
        <is>
          <t>16</t>
        </is>
      </c>
      <c r="N4839" s="12" t="n">
        <v>1</v>
      </c>
      <c r="O4839" s="12" t="n">
        <v>1</v>
      </c>
      <c r="P4839" s="12" t="n"/>
      <c r="Q4839" s="12" t="n"/>
      <c r="R4839" s="12" t="n"/>
      <c r="S4839" s="12" t="inlineStr">
        <is>
          <t>Duct bank</t>
        </is>
      </c>
      <c r="T4839" s="15" t="n">
        <v>516</v>
      </c>
      <c r="U4839" s="15" t="n">
        <v>137</v>
      </c>
      <c r="V4839" s="15">
        <f>ROUNDUP((T4839+U4839+2*'Read Me'!$B$13)*(1+'Read Me'!$B$12),-1)</f>
        <v/>
      </c>
      <c r="W4839" s="15">
        <f>V4839*N4839*O4839</f>
        <v/>
      </c>
      <c r="X4839" s="12">
        <f>IF(LEFT(I4839,2)="MV",2*N4839*IF(L4839="1/C",O4839,1),0)</f>
        <v/>
      </c>
      <c r="Y4839" s="12">
        <f>IF(OR(LEFT(K4839,4)="LVAX",LEFT(K4839,6)="MV15AX",LEFT(K4839,4)="CTAX",LEFT(K4839,2)="W|"),2*N4839*O4839,0)</f>
        <v/>
      </c>
      <c r="Z4839" s="12" t="inlineStr"/>
      <c r="AA4839" s="12">
        <f>N4839*O4839</f>
        <v/>
      </c>
    </row>
    <row r="4840">
      <c r="A4840" s="12" t="inlineStr">
        <is>
          <t>I-I-0237</t>
        </is>
      </c>
      <c r="B4840" s="12" t="inlineStr">
        <is>
          <t>I</t>
        </is>
      </c>
      <c r="C4840" s="12" t="inlineStr">
        <is>
          <t>Modular / portable power</t>
        </is>
      </c>
      <c r="D4840" s="12" t="inlineStr">
        <is>
          <t>RTD to JB JB-RICE-1-RTD01: 10 x 1 tri (field cables)</t>
        </is>
      </c>
      <c r="E4840" s="12" t="inlineStr">
        <is>
          <t>RICE-1</t>
        </is>
      </c>
      <c r="F4840" s="12" t="inlineStr">
        <is>
          <t>RICE engine-generator 1</t>
        </is>
      </c>
      <c r="G4840" s="12" t="inlineStr">
        <is>
          <t>JB-RICE-1-RTD01</t>
        </is>
      </c>
      <c r="H4840" s="12" t="inlineStr">
        <is>
          <t>RICE engine-generator 1</t>
        </is>
      </c>
      <c r="I4840" s="12" t="inlineStr">
        <is>
          <t>Instrumentation</t>
        </is>
      </c>
      <c r="J4840" s="12" t="inlineStr">
        <is>
          <t>RTD cable, #18 shielded triads, PLTC</t>
        </is>
      </c>
      <c r="K4840" s="12" t="inlineStr">
        <is>
          <t>RTD|1 tri|18</t>
        </is>
      </c>
      <c r="L4840" s="12" t="inlineStr">
        <is>
          <t>1 tri</t>
        </is>
      </c>
      <c r="M4840" s="12" t="inlineStr">
        <is>
          <t>18</t>
        </is>
      </c>
      <c r="N4840" s="12" t="n">
        <v>10</v>
      </c>
      <c r="O4840" s="12" t="n">
        <v>1</v>
      </c>
      <c r="P4840" s="12" t="n"/>
      <c r="Q4840" s="12" t="n"/>
      <c r="R4840" s="12" t="n"/>
      <c r="S4840" s="12" t="inlineStr">
        <is>
          <t>Tray / conduit</t>
        </is>
      </c>
      <c r="T4840" s="15" t="n">
        <v>72</v>
      </c>
      <c r="U4840" s="15" t="n">
        <v>10</v>
      </c>
      <c r="V4840" s="15">
        <f>ROUNDUP((T4840+U4840+2*'Read Me'!$B$13)*(1+'Read Me'!$B$12),-1)</f>
        <v/>
      </c>
      <c r="W4840" s="15">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I-I-0238</t>
        </is>
      </c>
      <c r="B4841" s="12" t="inlineStr">
        <is>
          <t>I</t>
        </is>
      </c>
      <c r="C4841" s="12" t="inlineStr">
        <is>
          <t>Modular / portable power</t>
        </is>
      </c>
      <c r="D4841" s="12" t="inlineStr">
        <is>
          <t>Home run JB-RICE-1-RTD01 to the control / marshalling room</t>
        </is>
      </c>
      <c r="E4841" s="12" t="inlineStr"/>
      <c r="F4841" s="12" t="inlineStr">
        <is>
          <t>PCM: power control module</t>
        </is>
      </c>
      <c r="G4841" s="12" t="inlineStr">
        <is>
          <t>JB-RICE-1-RTD01</t>
        </is>
      </c>
      <c r="H4841" s="12" t="inlineStr">
        <is>
          <t>RICE engine-generator 1</t>
        </is>
      </c>
      <c r="I4841" s="12" t="inlineStr">
        <is>
          <t>Instrumentation</t>
        </is>
      </c>
      <c r="J4841" s="12" t="inlineStr">
        <is>
          <t>RTD cable, #18 shielded triads, PLTC</t>
        </is>
      </c>
      <c r="K4841" s="12" t="inlineStr">
        <is>
          <t>RTD|12 tri|18</t>
        </is>
      </c>
      <c r="L4841" s="12" t="inlineStr">
        <is>
          <t>12 tri</t>
        </is>
      </c>
      <c r="M4841" s="12" t="inlineStr">
        <is>
          <t>18</t>
        </is>
      </c>
      <c r="N4841" s="12" t="n">
        <v>1</v>
      </c>
      <c r="O4841" s="12" t="n">
        <v>1</v>
      </c>
      <c r="P4841" s="12" t="n"/>
      <c r="Q4841" s="12" t="n"/>
      <c r="R4841" s="12" t="n"/>
      <c r="S4841" s="12" t="inlineStr">
        <is>
          <t>Duct bank</t>
        </is>
      </c>
      <c r="T4841" s="15" t="n">
        <v>516</v>
      </c>
      <c r="U4841" s="15" t="n">
        <v>137</v>
      </c>
      <c r="V4841" s="15">
        <f>ROUNDUP((T4841+U4841+2*'Read Me'!$B$13)*(1+'Read Me'!$B$12),-1)</f>
        <v/>
      </c>
      <c r="W4841" s="15">
        <f>V4841*N4841*O4841</f>
        <v/>
      </c>
      <c r="X4841" s="12">
        <f>IF(LEFT(I4841,2)="MV",2*N4841*IF(L4841="1/C",O4841,1),0)</f>
        <v/>
      </c>
      <c r="Y4841" s="12">
        <f>IF(OR(LEFT(K4841,4)="LVAX",LEFT(K4841,6)="MV15AX",LEFT(K4841,4)="CTAX",LEFT(K4841,2)="W|"),2*N4841*O4841,0)</f>
        <v/>
      </c>
      <c r="Z4841" s="12" t="inlineStr"/>
      <c r="AA4841" s="12">
        <f>N4841*O4841</f>
        <v/>
      </c>
    </row>
    <row r="4842">
      <c r="A4842" s="12" t="inlineStr">
        <is>
          <t>I-I-0239</t>
        </is>
      </c>
      <c r="B4842" s="12" t="inlineStr">
        <is>
          <t>I</t>
        </is>
      </c>
      <c r="C4842" s="12" t="inlineStr">
        <is>
          <t>Modular / portable power</t>
        </is>
      </c>
      <c r="D4842" s="12" t="inlineStr">
        <is>
          <t>RTD to JB JB-RICE-1-RTD02: 2 x 1 tri (field cables)</t>
        </is>
      </c>
      <c r="E4842" s="12" t="inlineStr">
        <is>
          <t>RICE-1</t>
        </is>
      </c>
      <c r="F4842" s="12" t="inlineStr">
        <is>
          <t>RICE engine-generator 1</t>
        </is>
      </c>
      <c r="G4842" s="12" t="inlineStr">
        <is>
          <t>JB-RICE-1-RTD02</t>
        </is>
      </c>
      <c r="H4842" s="12" t="inlineStr">
        <is>
          <t>RICE engine-generator 1</t>
        </is>
      </c>
      <c r="I4842" s="12" t="inlineStr">
        <is>
          <t>Instrumentation</t>
        </is>
      </c>
      <c r="J4842" s="12" t="inlineStr">
        <is>
          <t>RTD cable, #18 shielded triads, PLTC</t>
        </is>
      </c>
      <c r="K4842" s="12" t="inlineStr">
        <is>
          <t>RTD|1 tri|18</t>
        </is>
      </c>
      <c r="L4842" s="12" t="inlineStr">
        <is>
          <t>1 tri</t>
        </is>
      </c>
      <c r="M4842" s="12" t="inlineStr">
        <is>
          <t>18</t>
        </is>
      </c>
      <c r="N4842" s="12" t="n">
        <v>2</v>
      </c>
      <c r="O4842" s="12" t="n">
        <v>1</v>
      </c>
      <c r="P4842" s="12" t="n"/>
      <c r="Q4842" s="12" t="n"/>
      <c r="R4842" s="12" t="n"/>
      <c r="S4842" s="12" t="inlineStr">
        <is>
          <t>Tray / conduit</t>
        </is>
      </c>
      <c r="T4842" s="15" t="n">
        <v>72</v>
      </c>
      <c r="U4842" s="15" t="n">
        <v>10</v>
      </c>
      <c r="V4842" s="15">
        <f>ROUNDUP((T4842+U4842+2*'Read Me'!$B$13)*(1+'Read Me'!$B$12),-1)</f>
        <v/>
      </c>
      <c r="W4842" s="15">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I-I-0240</t>
        </is>
      </c>
      <c r="B4843" s="12" t="inlineStr">
        <is>
          <t>I</t>
        </is>
      </c>
      <c r="C4843" s="12" t="inlineStr">
        <is>
          <t>Modular / portable power</t>
        </is>
      </c>
      <c r="D4843" s="12" t="inlineStr">
        <is>
          <t>Home run JB-RICE-1-RTD02 to the control / marshalling room</t>
        </is>
      </c>
      <c r="E4843" s="12" t="inlineStr"/>
      <c r="F4843" s="12" t="inlineStr">
        <is>
          <t>PCM: power control module</t>
        </is>
      </c>
      <c r="G4843" s="12" t="inlineStr">
        <is>
          <t>JB-RICE-1-RTD02</t>
        </is>
      </c>
      <c r="H4843" s="12" t="inlineStr">
        <is>
          <t>RICE engine-generator 1</t>
        </is>
      </c>
      <c r="I4843" s="12" t="inlineStr">
        <is>
          <t>Instrumentation</t>
        </is>
      </c>
      <c r="J4843" s="12" t="inlineStr">
        <is>
          <t>RTD cable, #18 shielded triads, PLTC</t>
        </is>
      </c>
      <c r="K4843" s="12" t="inlineStr">
        <is>
          <t>RTD|12 tri|18</t>
        </is>
      </c>
      <c r="L4843" s="12" t="inlineStr">
        <is>
          <t>12 tri</t>
        </is>
      </c>
      <c r="M4843" s="12" t="inlineStr">
        <is>
          <t>18</t>
        </is>
      </c>
      <c r="N4843" s="12" t="n">
        <v>1</v>
      </c>
      <c r="O4843" s="12" t="n">
        <v>1</v>
      </c>
      <c r="P4843" s="12" t="n"/>
      <c r="Q4843" s="12" t="n"/>
      <c r="R4843" s="12" t="n"/>
      <c r="S4843" s="12" t="inlineStr">
        <is>
          <t>Duct bank</t>
        </is>
      </c>
      <c r="T4843" s="15" t="n">
        <v>516</v>
      </c>
      <c r="U4843" s="15" t="n">
        <v>137</v>
      </c>
      <c r="V4843" s="15">
        <f>ROUNDUP((T4843+U4843+2*'Read Me'!$B$13)*(1+'Read Me'!$B$12),-1)</f>
        <v/>
      </c>
      <c r="W4843" s="15">
        <f>V4843*N4843*O4843</f>
        <v/>
      </c>
      <c r="X4843" s="12">
        <f>IF(LEFT(I4843,2)="MV",2*N4843*IF(L4843="1/C",O4843,1),0)</f>
        <v/>
      </c>
      <c r="Y4843" s="12">
        <f>IF(OR(LEFT(K4843,4)="LVAX",LEFT(K4843,6)="MV15AX",LEFT(K4843,4)="CTAX",LEFT(K4843,2)="W|"),2*N4843*O4843,0)</f>
        <v/>
      </c>
      <c r="Z4843" s="12" t="inlineStr"/>
      <c r="AA4843" s="12">
        <f>N4843*O4843</f>
        <v/>
      </c>
    </row>
    <row r="4844">
      <c r="A4844" s="12" t="inlineStr">
        <is>
          <t>I-I-0241</t>
        </is>
      </c>
      <c r="B4844" s="12" t="inlineStr">
        <is>
          <t>I</t>
        </is>
      </c>
      <c r="C4844" s="12" t="inlineStr">
        <is>
          <t>Modular / portable power</t>
        </is>
      </c>
      <c r="D4844" s="12" t="inlineStr">
        <is>
          <t>Analog instrument to JB JB-RICE-2-AI01: 20 x 1 pr (field cables)</t>
        </is>
      </c>
      <c r="E4844" s="12" t="inlineStr">
        <is>
          <t>RICE-2</t>
        </is>
      </c>
      <c r="F4844" s="12" t="inlineStr">
        <is>
          <t>RICE engine-generator 2</t>
        </is>
      </c>
      <c r="G4844" s="12" t="inlineStr">
        <is>
          <t>JB-RICE-2-AI01</t>
        </is>
      </c>
      <c r="H4844" s="12" t="inlineStr">
        <is>
          <t>RICE engine-generator 2</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5" t="n">
        <v>72</v>
      </c>
      <c r="U4844" s="15" t="n">
        <v>10</v>
      </c>
      <c r="V4844" s="15">
        <f>ROUNDUP((T4844+U4844+2*'Read Me'!$B$13)*(1+'Read Me'!$B$12),-1)</f>
        <v/>
      </c>
      <c r="W4844" s="15">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I-I-0242</t>
        </is>
      </c>
      <c r="B4845" s="12" t="inlineStr">
        <is>
          <t>I</t>
        </is>
      </c>
      <c r="C4845" s="12" t="inlineStr">
        <is>
          <t>Modular / portable power</t>
        </is>
      </c>
      <c r="D4845" s="12" t="inlineStr">
        <is>
          <t>Home run JB-RICE-2-AI01 to the control / marshalling room</t>
        </is>
      </c>
      <c r="E4845" s="12" t="inlineStr"/>
      <c r="F4845" s="12" t="inlineStr">
        <is>
          <t>PCM: power control module</t>
        </is>
      </c>
      <c r="G4845" s="12" t="inlineStr">
        <is>
          <t>JB-RICE-2-AI01</t>
        </is>
      </c>
      <c r="H4845" s="12" t="inlineStr">
        <is>
          <t>RICE engine-generator 2</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Duct bank</t>
        </is>
      </c>
      <c r="T4845" s="15" t="n">
        <v>516</v>
      </c>
      <c r="U4845" s="15" t="n">
        <v>109</v>
      </c>
      <c r="V4845" s="15">
        <f>ROUNDUP((T4845+U4845+2*'Read Me'!$B$13)*(1+'Read Me'!$B$12),-1)</f>
        <v/>
      </c>
      <c r="W4845" s="15">
        <f>V4845*N4845*O4845</f>
        <v/>
      </c>
      <c r="X4845" s="12">
        <f>IF(LEFT(I4845,2)="MV",2*N4845*IF(L4845="1/C",O4845,1),0)</f>
        <v/>
      </c>
      <c r="Y4845" s="12">
        <f>IF(OR(LEFT(K4845,4)="LVAX",LEFT(K4845,6)="MV15AX",LEFT(K4845,4)="CTAX",LEFT(K4845,2)="W|"),2*N4845*O4845,0)</f>
        <v/>
      </c>
      <c r="Z4845" s="12" t="inlineStr"/>
      <c r="AA4845" s="12">
        <f>N4845*O4845</f>
        <v/>
      </c>
    </row>
    <row r="4846">
      <c r="A4846" s="12" t="inlineStr">
        <is>
          <t>I-I-0243</t>
        </is>
      </c>
      <c r="B4846" s="12" t="inlineStr">
        <is>
          <t>I</t>
        </is>
      </c>
      <c r="C4846" s="12" t="inlineStr">
        <is>
          <t>Modular / portable power</t>
        </is>
      </c>
      <c r="D4846" s="12" t="inlineStr">
        <is>
          <t>Analog instrument to JB JB-RICE-2-AI02: 20 x 1 pr (field cables)</t>
        </is>
      </c>
      <c r="E4846" s="12" t="inlineStr">
        <is>
          <t>RICE-2</t>
        </is>
      </c>
      <c r="F4846" s="12" t="inlineStr">
        <is>
          <t>RICE engine-generator 2</t>
        </is>
      </c>
      <c r="G4846" s="12" t="inlineStr">
        <is>
          <t>JB-RICE-2-AI02</t>
        </is>
      </c>
      <c r="H4846" s="12" t="inlineStr">
        <is>
          <t>RICE engine-generator 2</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5" t="n">
        <v>72</v>
      </c>
      <c r="U4846" s="15" t="n">
        <v>10</v>
      </c>
      <c r="V4846" s="15">
        <f>ROUNDUP((T4846+U4846+2*'Read Me'!$B$13)*(1+'Read Me'!$B$12),-1)</f>
        <v/>
      </c>
      <c r="W4846" s="15">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I-I-0244</t>
        </is>
      </c>
      <c r="B4847" s="12" t="inlineStr">
        <is>
          <t>I</t>
        </is>
      </c>
      <c r="C4847" s="12" t="inlineStr">
        <is>
          <t>Modular / portable power</t>
        </is>
      </c>
      <c r="D4847" s="12" t="inlineStr">
        <is>
          <t>Home run JB-RICE-2-AI02 to the control / marshalling room</t>
        </is>
      </c>
      <c r="E4847" s="12" t="inlineStr"/>
      <c r="F4847" s="12" t="inlineStr">
        <is>
          <t>PCM: power control module</t>
        </is>
      </c>
      <c r="G4847" s="12" t="inlineStr">
        <is>
          <t>JB-RICE-2-AI02</t>
        </is>
      </c>
      <c r="H4847" s="12" t="inlineStr">
        <is>
          <t>RICE engine-generator 2</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Duct bank</t>
        </is>
      </c>
      <c r="T4847" s="15" t="n">
        <v>516</v>
      </c>
      <c r="U4847" s="15" t="n">
        <v>109</v>
      </c>
      <c r="V4847" s="15">
        <f>ROUNDUP((T4847+U4847+2*'Read Me'!$B$13)*(1+'Read Me'!$B$12),-1)</f>
        <v/>
      </c>
      <c r="W4847" s="15">
        <f>V4847*N4847*O4847</f>
        <v/>
      </c>
      <c r="X4847" s="12">
        <f>IF(LEFT(I4847,2)="MV",2*N4847*IF(L4847="1/C",O4847,1),0)</f>
        <v/>
      </c>
      <c r="Y4847" s="12">
        <f>IF(OR(LEFT(K4847,4)="LVAX",LEFT(K4847,6)="MV15AX",LEFT(K4847,4)="CTAX",LEFT(K4847,2)="W|"),2*N4847*O4847,0)</f>
        <v/>
      </c>
      <c r="Z4847" s="12" t="inlineStr"/>
      <c r="AA4847" s="12">
        <f>N4847*O4847</f>
        <v/>
      </c>
    </row>
    <row r="4848">
      <c r="A4848" s="12" t="inlineStr">
        <is>
          <t>I-I-0245</t>
        </is>
      </c>
      <c r="B4848" s="12" t="inlineStr">
        <is>
          <t>I</t>
        </is>
      </c>
      <c r="C4848" s="12" t="inlineStr">
        <is>
          <t>Modular / portable power</t>
        </is>
      </c>
      <c r="D4848" s="12" t="inlineStr">
        <is>
          <t>Analog instrument to JB JB-RICE-2-AI03: 20 x 1 pr (field cables)</t>
        </is>
      </c>
      <c r="E4848" s="12" t="inlineStr">
        <is>
          <t>RICE-2</t>
        </is>
      </c>
      <c r="F4848" s="12" t="inlineStr">
        <is>
          <t>RICE engine-generator 2</t>
        </is>
      </c>
      <c r="G4848" s="12" t="inlineStr">
        <is>
          <t>JB-RICE-2-AI03</t>
        </is>
      </c>
      <c r="H4848" s="12" t="inlineStr">
        <is>
          <t>RICE engine-generator 2</t>
        </is>
      </c>
      <c r="I4848" s="12" t="inlineStr">
        <is>
          <t>Instrumentation</t>
        </is>
      </c>
      <c r="J4848" s="12" t="inlineStr">
        <is>
          <t>Instrumentation PLTC / TC-ER 300 V, #18 twisted shielded pairs, overall shield</t>
        </is>
      </c>
      <c r="K4848" s="12" t="inlineStr">
        <is>
          <t>PLTC|1 pr|16</t>
        </is>
      </c>
      <c r="L4848" s="12" t="inlineStr">
        <is>
          <t>1 pr</t>
        </is>
      </c>
      <c r="M4848" s="12" t="inlineStr">
        <is>
          <t>16</t>
        </is>
      </c>
      <c r="N4848" s="12" t="n">
        <v>20</v>
      </c>
      <c r="O4848" s="12" t="n">
        <v>1</v>
      </c>
      <c r="P4848" s="12" t="n"/>
      <c r="Q4848" s="12" t="n"/>
      <c r="R4848" s="12" t="n"/>
      <c r="S4848" s="12" t="inlineStr">
        <is>
          <t>Tray / conduit</t>
        </is>
      </c>
      <c r="T4848" s="15" t="n">
        <v>72</v>
      </c>
      <c r="U4848" s="15" t="n">
        <v>10</v>
      </c>
      <c r="V4848" s="15">
        <f>ROUNDUP((T4848+U4848+2*'Read Me'!$B$13)*(1+'Read Me'!$B$12),-1)</f>
        <v/>
      </c>
      <c r="W4848" s="15">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I-I-0246</t>
        </is>
      </c>
      <c r="B4849" s="12" t="inlineStr">
        <is>
          <t>I</t>
        </is>
      </c>
      <c r="C4849" s="12" t="inlineStr">
        <is>
          <t>Modular / portable power</t>
        </is>
      </c>
      <c r="D4849" s="12" t="inlineStr">
        <is>
          <t>Home run JB-RICE-2-AI03 to the control / marshalling room</t>
        </is>
      </c>
      <c r="E4849" s="12" t="inlineStr"/>
      <c r="F4849" s="12" t="inlineStr">
        <is>
          <t>PCM: power control module</t>
        </is>
      </c>
      <c r="G4849" s="12" t="inlineStr">
        <is>
          <t>JB-RICE-2-AI03</t>
        </is>
      </c>
      <c r="H4849" s="12" t="inlineStr">
        <is>
          <t>RICE engine-generator 2</t>
        </is>
      </c>
      <c r="I4849" s="12" t="inlineStr">
        <is>
          <t>Instrumentation</t>
        </is>
      </c>
      <c r="J4849" s="12" t="inlineStr">
        <is>
          <t>Instrumentation PLTC / TC-ER 300 V, #18 twisted shielded pairs, overall shield</t>
        </is>
      </c>
      <c r="K4849" s="12" t="inlineStr">
        <is>
          <t>PLTC|24 pr|18</t>
        </is>
      </c>
      <c r="L4849" s="12" t="inlineStr">
        <is>
          <t>24 pr</t>
        </is>
      </c>
      <c r="M4849" s="12" t="inlineStr">
        <is>
          <t>18</t>
        </is>
      </c>
      <c r="N4849" s="12" t="n">
        <v>1</v>
      </c>
      <c r="O4849" s="12" t="n">
        <v>1</v>
      </c>
      <c r="P4849" s="12" t="n"/>
      <c r="Q4849" s="12" t="n"/>
      <c r="R4849" s="12" t="n"/>
      <c r="S4849" s="12" t="inlineStr">
        <is>
          <t>Duct bank</t>
        </is>
      </c>
      <c r="T4849" s="15" t="n">
        <v>516</v>
      </c>
      <c r="U4849" s="15" t="n">
        <v>109</v>
      </c>
      <c r="V4849" s="15">
        <f>ROUNDUP((T4849+U4849+2*'Read Me'!$B$13)*(1+'Read Me'!$B$12),-1)</f>
        <v/>
      </c>
      <c r="W4849" s="15">
        <f>V4849*N4849*O4849</f>
        <v/>
      </c>
      <c r="X4849" s="12">
        <f>IF(LEFT(I4849,2)="MV",2*N4849*IF(L4849="1/C",O4849,1),0)</f>
        <v/>
      </c>
      <c r="Y4849" s="12">
        <f>IF(OR(LEFT(K4849,4)="LVAX",LEFT(K4849,6)="MV15AX",LEFT(K4849,4)="CTAX",LEFT(K4849,2)="W|"),2*N4849*O4849,0)</f>
        <v/>
      </c>
      <c r="Z4849" s="12" t="inlineStr"/>
      <c r="AA4849" s="12">
        <f>N4849*O4849</f>
        <v/>
      </c>
    </row>
    <row r="4850">
      <c r="A4850" s="12" t="inlineStr">
        <is>
          <t>I-I-0247</t>
        </is>
      </c>
      <c r="B4850" s="12" t="inlineStr">
        <is>
          <t>I</t>
        </is>
      </c>
      <c r="C4850" s="12" t="inlineStr">
        <is>
          <t>Modular / portable power</t>
        </is>
      </c>
      <c r="D4850" s="12" t="inlineStr">
        <is>
          <t>Analog instrument to JB JB-RICE-2-AI04: 20 x 1 pr (field cables)</t>
        </is>
      </c>
      <c r="E4850" s="12" t="inlineStr">
        <is>
          <t>RICE-2</t>
        </is>
      </c>
      <c r="F4850" s="12" t="inlineStr">
        <is>
          <t>RICE engine-generator 2</t>
        </is>
      </c>
      <c r="G4850" s="12" t="inlineStr">
        <is>
          <t>JB-RICE-2-AI04</t>
        </is>
      </c>
      <c r="H4850" s="12" t="inlineStr">
        <is>
          <t>RICE engine-generator 2</t>
        </is>
      </c>
      <c r="I4850" s="12" t="inlineStr">
        <is>
          <t>Instrumentation</t>
        </is>
      </c>
      <c r="J4850" s="12" t="inlineStr">
        <is>
          <t>Instrumentation PLTC / TC-ER 300 V, #18 twisted shielded pairs, overall shield</t>
        </is>
      </c>
      <c r="K4850" s="12" t="inlineStr">
        <is>
          <t>PLTC|1 pr|16</t>
        </is>
      </c>
      <c r="L4850" s="12" t="inlineStr">
        <is>
          <t>1 pr</t>
        </is>
      </c>
      <c r="M4850" s="12" t="inlineStr">
        <is>
          <t>16</t>
        </is>
      </c>
      <c r="N4850" s="12" t="n">
        <v>20</v>
      </c>
      <c r="O4850" s="12" t="n">
        <v>1</v>
      </c>
      <c r="P4850" s="12" t="n"/>
      <c r="Q4850" s="12" t="n"/>
      <c r="R4850" s="12" t="n"/>
      <c r="S4850" s="12" t="inlineStr">
        <is>
          <t>Tray / conduit</t>
        </is>
      </c>
      <c r="T4850" s="15" t="n">
        <v>72</v>
      </c>
      <c r="U4850" s="15" t="n">
        <v>10</v>
      </c>
      <c r="V4850" s="15">
        <f>ROUNDUP((T4850+U4850+2*'Read Me'!$B$13)*(1+'Read Me'!$B$12),-1)</f>
        <v/>
      </c>
      <c r="W4850" s="15">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I-I-0248</t>
        </is>
      </c>
      <c r="B4851" s="12" t="inlineStr">
        <is>
          <t>I</t>
        </is>
      </c>
      <c r="C4851" s="12" t="inlineStr">
        <is>
          <t>Modular / portable power</t>
        </is>
      </c>
      <c r="D4851" s="12" t="inlineStr">
        <is>
          <t>Home run JB-RICE-2-AI04 to the control / marshalling room</t>
        </is>
      </c>
      <c r="E4851" s="12" t="inlineStr"/>
      <c r="F4851" s="12" t="inlineStr">
        <is>
          <t>PCM: power control module</t>
        </is>
      </c>
      <c r="G4851" s="12" t="inlineStr">
        <is>
          <t>JB-RICE-2-AI04</t>
        </is>
      </c>
      <c r="H4851" s="12" t="inlineStr">
        <is>
          <t>RICE engine-generator 2</t>
        </is>
      </c>
      <c r="I4851" s="12" t="inlineStr">
        <is>
          <t>Instrumentation</t>
        </is>
      </c>
      <c r="J4851" s="12" t="inlineStr">
        <is>
          <t>Instrumentation PLTC / TC-ER 300 V, #18 twisted shielded pairs, overall shield</t>
        </is>
      </c>
      <c r="K4851" s="12" t="inlineStr">
        <is>
          <t>PLTC|24 pr|18</t>
        </is>
      </c>
      <c r="L4851" s="12" t="inlineStr">
        <is>
          <t>24 pr</t>
        </is>
      </c>
      <c r="M4851" s="12" t="inlineStr">
        <is>
          <t>18</t>
        </is>
      </c>
      <c r="N4851" s="12" t="n">
        <v>1</v>
      </c>
      <c r="O4851" s="12" t="n">
        <v>1</v>
      </c>
      <c r="P4851" s="12" t="n"/>
      <c r="Q4851" s="12" t="n"/>
      <c r="R4851" s="12" t="n"/>
      <c r="S4851" s="12" t="inlineStr">
        <is>
          <t>Duct bank</t>
        </is>
      </c>
      <c r="T4851" s="15" t="n">
        <v>516</v>
      </c>
      <c r="U4851" s="15" t="n">
        <v>109</v>
      </c>
      <c r="V4851" s="15">
        <f>ROUNDUP((T4851+U4851+2*'Read Me'!$B$13)*(1+'Read Me'!$B$12),-1)</f>
        <v/>
      </c>
      <c r="W4851" s="15">
        <f>V4851*N4851*O4851</f>
        <v/>
      </c>
      <c r="X4851" s="12">
        <f>IF(LEFT(I4851,2)="MV",2*N4851*IF(L4851="1/C",O4851,1),0)</f>
        <v/>
      </c>
      <c r="Y4851" s="12">
        <f>IF(OR(LEFT(K4851,4)="LVAX",LEFT(K4851,6)="MV15AX",LEFT(K4851,4)="CTAX",LEFT(K4851,2)="W|"),2*N4851*O4851,0)</f>
        <v/>
      </c>
      <c r="Z4851" s="12" t="inlineStr"/>
      <c r="AA4851" s="12">
        <f>N4851*O4851</f>
        <v/>
      </c>
    </row>
    <row r="4852">
      <c r="A4852" s="12" t="inlineStr">
        <is>
          <t>I-I-0249</t>
        </is>
      </c>
      <c r="B4852" s="12" t="inlineStr">
        <is>
          <t>I</t>
        </is>
      </c>
      <c r="C4852" s="12" t="inlineStr">
        <is>
          <t>Modular / portable power</t>
        </is>
      </c>
      <c r="D4852" s="12" t="inlineStr">
        <is>
          <t>Discrete device to JB JB-RICE-2-DI01: 20 x 1 pr (field cables)</t>
        </is>
      </c>
      <c r="E4852" s="12" t="inlineStr">
        <is>
          <t>RICE-2</t>
        </is>
      </c>
      <c r="F4852" s="12" t="inlineStr">
        <is>
          <t>RICE engine-generator 2</t>
        </is>
      </c>
      <c r="G4852" s="12" t="inlineStr">
        <is>
          <t>JB-RICE-2-DI01</t>
        </is>
      </c>
      <c r="H4852" s="12" t="inlineStr">
        <is>
          <t>RICE engine-generator 2</t>
        </is>
      </c>
      <c r="I4852" s="12" t="inlineStr">
        <is>
          <t>Instrumentation</t>
        </is>
      </c>
      <c r="J4852" s="12" t="inlineStr">
        <is>
          <t>Instrumentation PLTC / TC-ER 300 V, #18 twisted shielded pairs, overall shield</t>
        </is>
      </c>
      <c r="K4852" s="12" t="inlineStr">
        <is>
          <t>PLTC|1 pr|16</t>
        </is>
      </c>
      <c r="L4852" s="12" t="inlineStr">
        <is>
          <t>1 pr</t>
        </is>
      </c>
      <c r="M4852" s="12" t="inlineStr">
        <is>
          <t>16</t>
        </is>
      </c>
      <c r="N4852" s="12" t="n">
        <v>20</v>
      </c>
      <c r="O4852" s="12" t="n">
        <v>1</v>
      </c>
      <c r="P4852" s="12" t="n"/>
      <c r="Q4852" s="12" t="n"/>
      <c r="R4852" s="12" t="n"/>
      <c r="S4852" s="12" t="inlineStr">
        <is>
          <t>Tray / conduit</t>
        </is>
      </c>
      <c r="T4852" s="15" t="n">
        <v>72</v>
      </c>
      <c r="U4852" s="15" t="n">
        <v>10</v>
      </c>
      <c r="V4852" s="15">
        <f>ROUNDUP((T4852+U4852+2*'Read Me'!$B$13)*(1+'Read Me'!$B$12),-1)</f>
        <v/>
      </c>
      <c r="W4852" s="15">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I-I-0250</t>
        </is>
      </c>
      <c r="B4853" s="12" t="inlineStr">
        <is>
          <t>I</t>
        </is>
      </c>
      <c r="C4853" s="12" t="inlineStr">
        <is>
          <t>Modular / portable power</t>
        </is>
      </c>
      <c r="D4853" s="12" t="inlineStr">
        <is>
          <t>Home run JB-RICE-2-DI01 to the control / marshalling room</t>
        </is>
      </c>
      <c r="E4853" s="12" t="inlineStr"/>
      <c r="F4853" s="12" t="inlineStr">
        <is>
          <t>PCM: power control module</t>
        </is>
      </c>
      <c r="G4853" s="12" t="inlineStr">
        <is>
          <t>JB-RICE-2-DI01</t>
        </is>
      </c>
      <c r="H4853" s="12" t="inlineStr">
        <is>
          <t>RICE engine-generator 2</t>
        </is>
      </c>
      <c r="I4853" s="12" t="inlineStr">
        <is>
          <t>Instrumentation</t>
        </is>
      </c>
      <c r="J4853" s="12" t="inlineStr">
        <is>
          <t>Instrumentation PLTC / TC-ER 300 V, #18 twisted shielded pairs, overall shield</t>
        </is>
      </c>
      <c r="K4853" s="12" t="inlineStr">
        <is>
          <t>PLTC|24 pr|18</t>
        </is>
      </c>
      <c r="L4853" s="12" t="inlineStr">
        <is>
          <t>24 pr</t>
        </is>
      </c>
      <c r="M4853" s="12" t="inlineStr">
        <is>
          <t>18</t>
        </is>
      </c>
      <c r="N4853" s="12" t="n">
        <v>1</v>
      </c>
      <c r="O4853" s="12" t="n">
        <v>1</v>
      </c>
      <c r="P4853" s="12" t="n"/>
      <c r="Q4853" s="12" t="n"/>
      <c r="R4853" s="12" t="n"/>
      <c r="S4853" s="12" t="inlineStr">
        <is>
          <t>Duct bank</t>
        </is>
      </c>
      <c r="T4853" s="15" t="n">
        <v>516</v>
      </c>
      <c r="U4853" s="15" t="n">
        <v>109</v>
      </c>
      <c r="V4853" s="15">
        <f>ROUNDUP((T4853+U4853+2*'Read Me'!$B$13)*(1+'Read Me'!$B$12),-1)</f>
        <v/>
      </c>
      <c r="W4853" s="15">
        <f>V4853*N4853*O4853</f>
        <v/>
      </c>
      <c r="X4853" s="12">
        <f>IF(LEFT(I4853,2)="MV",2*N4853*IF(L4853="1/C",O4853,1),0)</f>
        <v/>
      </c>
      <c r="Y4853" s="12">
        <f>IF(OR(LEFT(K4853,4)="LVAX",LEFT(K4853,6)="MV15AX",LEFT(K4853,4)="CTAX",LEFT(K4853,2)="W|"),2*N4853*O4853,0)</f>
        <v/>
      </c>
      <c r="Z4853" s="12" t="inlineStr"/>
      <c r="AA4853" s="12">
        <f>N4853*O4853</f>
        <v/>
      </c>
    </row>
    <row r="4854">
      <c r="A4854" s="12" t="inlineStr">
        <is>
          <t>I-I-0251</t>
        </is>
      </c>
      <c r="B4854" s="12" t="inlineStr">
        <is>
          <t>I</t>
        </is>
      </c>
      <c r="C4854" s="12" t="inlineStr">
        <is>
          <t>Modular / portable power</t>
        </is>
      </c>
      <c r="D4854" s="12" t="inlineStr">
        <is>
          <t>Discrete device to JB JB-RICE-2-DI02: 20 x 1 pr (field cables)</t>
        </is>
      </c>
      <c r="E4854" s="12" t="inlineStr">
        <is>
          <t>RICE-2</t>
        </is>
      </c>
      <c r="F4854" s="12" t="inlineStr">
        <is>
          <t>RICE engine-generator 2</t>
        </is>
      </c>
      <c r="G4854" s="12" t="inlineStr">
        <is>
          <t>JB-RICE-2-DI02</t>
        </is>
      </c>
      <c r="H4854" s="12" t="inlineStr">
        <is>
          <t>RICE engine-generator 2</t>
        </is>
      </c>
      <c r="I4854" s="12" t="inlineStr">
        <is>
          <t>Instrumentation</t>
        </is>
      </c>
      <c r="J4854" s="12" t="inlineStr">
        <is>
          <t>Instrumentation PLTC / TC-ER 300 V, #18 twisted shielded pairs, overall shield</t>
        </is>
      </c>
      <c r="K4854" s="12" t="inlineStr">
        <is>
          <t>PLTC|1 pr|16</t>
        </is>
      </c>
      <c r="L4854" s="12" t="inlineStr">
        <is>
          <t>1 pr</t>
        </is>
      </c>
      <c r="M4854" s="12" t="inlineStr">
        <is>
          <t>16</t>
        </is>
      </c>
      <c r="N4854" s="12" t="n">
        <v>20</v>
      </c>
      <c r="O4854" s="12" t="n">
        <v>1</v>
      </c>
      <c r="P4854" s="12" t="n"/>
      <c r="Q4854" s="12" t="n"/>
      <c r="R4854" s="12" t="n"/>
      <c r="S4854" s="12" t="inlineStr">
        <is>
          <t>Tray / conduit</t>
        </is>
      </c>
      <c r="T4854" s="15" t="n">
        <v>72</v>
      </c>
      <c r="U4854" s="15" t="n">
        <v>10</v>
      </c>
      <c r="V4854" s="15">
        <f>ROUNDUP((T4854+U4854+2*'Read Me'!$B$13)*(1+'Read Me'!$B$12),-1)</f>
        <v/>
      </c>
      <c r="W4854" s="15">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I-I-0252</t>
        </is>
      </c>
      <c r="B4855" s="12" t="inlineStr">
        <is>
          <t>I</t>
        </is>
      </c>
      <c r="C4855" s="12" t="inlineStr">
        <is>
          <t>Modular / portable power</t>
        </is>
      </c>
      <c r="D4855" s="12" t="inlineStr">
        <is>
          <t>Home run JB-RICE-2-DI02 to the control / marshalling room</t>
        </is>
      </c>
      <c r="E4855" s="12" t="inlineStr"/>
      <c r="F4855" s="12" t="inlineStr">
        <is>
          <t>PCM: power control module</t>
        </is>
      </c>
      <c r="G4855" s="12" t="inlineStr">
        <is>
          <t>JB-RICE-2-DI02</t>
        </is>
      </c>
      <c r="H4855" s="12" t="inlineStr">
        <is>
          <t>RICE engine-generator 2</t>
        </is>
      </c>
      <c r="I4855" s="12" t="inlineStr">
        <is>
          <t>Instrumentation</t>
        </is>
      </c>
      <c r="J4855" s="12" t="inlineStr">
        <is>
          <t>Instrumentation PLTC / TC-ER 300 V, #18 twisted shielded pairs, overall shield</t>
        </is>
      </c>
      <c r="K4855" s="12" t="inlineStr">
        <is>
          <t>PLTC|24 pr|18</t>
        </is>
      </c>
      <c r="L4855" s="12" t="inlineStr">
        <is>
          <t>24 pr</t>
        </is>
      </c>
      <c r="M4855" s="12" t="inlineStr">
        <is>
          <t>18</t>
        </is>
      </c>
      <c r="N4855" s="12" t="n">
        <v>1</v>
      </c>
      <c r="O4855" s="12" t="n">
        <v>1</v>
      </c>
      <c r="P4855" s="12" t="n"/>
      <c r="Q4855" s="12" t="n"/>
      <c r="R4855" s="12" t="n"/>
      <c r="S4855" s="12" t="inlineStr">
        <is>
          <t>Duct bank</t>
        </is>
      </c>
      <c r="T4855" s="15" t="n">
        <v>516</v>
      </c>
      <c r="U4855" s="15" t="n">
        <v>109</v>
      </c>
      <c r="V4855" s="15">
        <f>ROUNDUP((T4855+U4855+2*'Read Me'!$B$13)*(1+'Read Me'!$B$12),-1)</f>
        <v/>
      </c>
      <c r="W4855" s="15">
        <f>V4855*N4855*O4855</f>
        <v/>
      </c>
      <c r="X4855" s="12">
        <f>IF(LEFT(I4855,2)="MV",2*N4855*IF(L4855="1/C",O4855,1),0)</f>
        <v/>
      </c>
      <c r="Y4855" s="12">
        <f>IF(OR(LEFT(K4855,4)="LVAX",LEFT(K4855,6)="MV15AX",LEFT(K4855,4)="CTAX",LEFT(K4855,2)="W|"),2*N4855*O4855,0)</f>
        <v/>
      </c>
      <c r="Z4855" s="12" t="inlineStr"/>
      <c r="AA4855" s="12">
        <f>N4855*O4855</f>
        <v/>
      </c>
    </row>
    <row r="4856">
      <c r="A4856" s="12" t="inlineStr">
        <is>
          <t>I-I-0253</t>
        </is>
      </c>
      <c r="B4856" s="12" t="inlineStr">
        <is>
          <t>I</t>
        </is>
      </c>
      <c r="C4856" s="12" t="inlineStr">
        <is>
          <t>Modular / portable power</t>
        </is>
      </c>
      <c r="D4856" s="12" t="inlineStr">
        <is>
          <t>Discrete device to JB JB-RICE-2-DI03: 20 x 1 pr (field cables)</t>
        </is>
      </c>
      <c r="E4856" s="12" t="inlineStr">
        <is>
          <t>RICE-2</t>
        </is>
      </c>
      <c r="F4856" s="12" t="inlineStr">
        <is>
          <t>RICE engine-generator 2</t>
        </is>
      </c>
      <c r="G4856" s="12" t="inlineStr">
        <is>
          <t>JB-RICE-2-DI03</t>
        </is>
      </c>
      <c r="H4856" s="12" t="inlineStr">
        <is>
          <t>RICE engine-generator 2</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5" t="n">
        <v>72</v>
      </c>
      <c r="U4856" s="15" t="n">
        <v>10</v>
      </c>
      <c r="V4856" s="15">
        <f>ROUNDUP((T4856+U4856+2*'Read Me'!$B$13)*(1+'Read Me'!$B$12),-1)</f>
        <v/>
      </c>
      <c r="W4856" s="15">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I-I-0254</t>
        </is>
      </c>
      <c r="B4857" s="12" t="inlineStr">
        <is>
          <t>I</t>
        </is>
      </c>
      <c r="C4857" s="12" t="inlineStr">
        <is>
          <t>Modular / portable power</t>
        </is>
      </c>
      <c r="D4857" s="12" t="inlineStr">
        <is>
          <t>Home run JB-RICE-2-DI03 to the control / marshalling room</t>
        </is>
      </c>
      <c r="E4857" s="12" t="inlineStr"/>
      <c r="F4857" s="12" t="inlineStr">
        <is>
          <t>PCM: power control module</t>
        </is>
      </c>
      <c r="G4857" s="12" t="inlineStr">
        <is>
          <t>JB-RICE-2-DI03</t>
        </is>
      </c>
      <c r="H4857" s="12" t="inlineStr">
        <is>
          <t>RICE engine-generator 2</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Duct bank</t>
        </is>
      </c>
      <c r="T4857" s="15" t="n">
        <v>516</v>
      </c>
      <c r="U4857" s="15" t="n">
        <v>109</v>
      </c>
      <c r="V4857" s="15">
        <f>ROUNDUP((T4857+U4857+2*'Read Me'!$B$13)*(1+'Read Me'!$B$12),-1)</f>
        <v/>
      </c>
      <c r="W4857" s="15">
        <f>V4857*N4857*O4857</f>
        <v/>
      </c>
      <c r="X4857" s="12">
        <f>IF(LEFT(I4857,2)="MV",2*N4857*IF(L4857="1/C",O4857,1),0)</f>
        <v/>
      </c>
      <c r="Y4857" s="12">
        <f>IF(OR(LEFT(K4857,4)="LVAX",LEFT(K4857,6)="MV15AX",LEFT(K4857,4)="CTAX",LEFT(K4857,2)="W|"),2*N4857*O4857,0)</f>
        <v/>
      </c>
      <c r="Z4857" s="12" t="inlineStr"/>
      <c r="AA4857" s="12">
        <f>N4857*O4857</f>
        <v/>
      </c>
    </row>
    <row r="4858">
      <c r="A4858" s="12" t="inlineStr">
        <is>
          <t>I-I-0255</t>
        </is>
      </c>
      <c r="B4858" s="12" t="inlineStr">
        <is>
          <t>I</t>
        </is>
      </c>
      <c r="C4858" s="12" t="inlineStr">
        <is>
          <t>Modular / portable power</t>
        </is>
      </c>
      <c r="D4858" s="12" t="inlineStr">
        <is>
          <t>Thermocouple to TC JB JB-RICE-2-TC01: 20 x 1 pr (field cables)</t>
        </is>
      </c>
      <c r="E4858" s="12" t="inlineStr">
        <is>
          <t>RICE-2</t>
        </is>
      </c>
      <c r="F4858" s="12" t="inlineStr">
        <is>
          <t>RICE engine-generator 2</t>
        </is>
      </c>
      <c r="G4858" s="12" t="inlineStr">
        <is>
          <t>JB-RICE-2-TC01</t>
        </is>
      </c>
      <c r="H4858" s="12" t="inlineStr">
        <is>
          <t>RICE engine-generator 2</t>
        </is>
      </c>
      <c r="I4858" s="12" t="inlineStr">
        <is>
          <t>Instrumentation</t>
        </is>
      </c>
      <c r="J4858" s="12" t="inlineStr">
        <is>
          <t>Thermocouple extension KX, #16 shielded pairs, PLTC</t>
        </is>
      </c>
      <c r="K4858" s="12" t="inlineStr">
        <is>
          <t>TCX|1 pr|16</t>
        </is>
      </c>
      <c r="L4858" s="12" t="inlineStr">
        <is>
          <t>1 pr</t>
        </is>
      </c>
      <c r="M4858" s="12" t="inlineStr">
        <is>
          <t>16</t>
        </is>
      </c>
      <c r="N4858" s="12" t="n">
        <v>20</v>
      </c>
      <c r="O4858" s="12" t="n">
        <v>1</v>
      </c>
      <c r="P4858" s="12" t="n"/>
      <c r="Q4858" s="12" t="n"/>
      <c r="R4858" s="12" t="n"/>
      <c r="S4858" s="12" t="inlineStr">
        <is>
          <t>Tray / conduit</t>
        </is>
      </c>
      <c r="T4858" s="15" t="n">
        <v>72</v>
      </c>
      <c r="U4858" s="15" t="n">
        <v>10</v>
      </c>
      <c r="V4858" s="15">
        <f>ROUNDUP((T4858+U4858+2*'Read Me'!$B$13)*(1+'Read Me'!$B$12),-1)</f>
        <v/>
      </c>
      <c r="W4858" s="15">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I-I-0256</t>
        </is>
      </c>
      <c r="B4859" s="12" t="inlineStr">
        <is>
          <t>I</t>
        </is>
      </c>
      <c r="C4859" s="12" t="inlineStr">
        <is>
          <t>Modular / portable power</t>
        </is>
      </c>
      <c r="D4859" s="12" t="inlineStr">
        <is>
          <t>Home run JB-RICE-2-TC01 to the control / marshalling room</t>
        </is>
      </c>
      <c r="E4859" s="12" t="inlineStr"/>
      <c r="F4859" s="12" t="inlineStr">
        <is>
          <t>PCM: power control module</t>
        </is>
      </c>
      <c r="G4859" s="12" t="inlineStr">
        <is>
          <t>JB-RICE-2-TC01</t>
        </is>
      </c>
      <c r="H4859" s="12" t="inlineStr">
        <is>
          <t>RICE engine-generator 2</t>
        </is>
      </c>
      <c r="I4859" s="12" t="inlineStr">
        <is>
          <t>Instrumentation</t>
        </is>
      </c>
      <c r="J4859" s="12" t="inlineStr">
        <is>
          <t>Thermocouple extension KX, #16 shielded pairs, PLTC</t>
        </is>
      </c>
      <c r="K4859" s="12" t="inlineStr">
        <is>
          <t>TCX|24 pr|16</t>
        </is>
      </c>
      <c r="L4859" s="12" t="inlineStr">
        <is>
          <t>24 pr</t>
        </is>
      </c>
      <c r="M4859" s="12" t="inlineStr">
        <is>
          <t>16</t>
        </is>
      </c>
      <c r="N4859" s="12" t="n">
        <v>1</v>
      </c>
      <c r="O4859" s="12" t="n">
        <v>1</v>
      </c>
      <c r="P4859" s="12" t="n"/>
      <c r="Q4859" s="12" t="n"/>
      <c r="R4859" s="12" t="n"/>
      <c r="S4859" s="12" t="inlineStr">
        <is>
          <t>Duct bank</t>
        </is>
      </c>
      <c r="T4859" s="15" t="n">
        <v>516</v>
      </c>
      <c r="U4859" s="15" t="n">
        <v>109</v>
      </c>
      <c r="V4859" s="15">
        <f>ROUNDUP((T4859+U4859+2*'Read Me'!$B$13)*(1+'Read Me'!$B$12),-1)</f>
        <v/>
      </c>
      <c r="W4859" s="15">
        <f>V4859*N4859*O4859</f>
        <v/>
      </c>
      <c r="X4859" s="12">
        <f>IF(LEFT(I4859,2)="MV",2*N4859*IF(L4859="1/C",O4859,1),0)</f>
        <v/>
      </c>
      <c r="Y4859" s="12">
        <f>IF(OR(LEFT(K4859,4)="LVAX",LEFT(K4859,6)="MV15AX",LEFT(K4859,4)="CTAX",LEFT(K4859,2)="W|"),2*N4859*O4859,0)</f>
        <v/>
      </c>
      <c r="Z4859" s="12" t="inlineStr"/>
      <c r="AA4859" s="12">
        <f>N4859*O4859</f>
        <v/>
      </c>
    </row>
    <row r="4860">
      <c r="A4860" s="12" t="inlineStr">
        <is>
          <t>I-I-0257</t>
        </is>
      </c>
      <c r="B4860" s="12" t="inlineStr">
        <is>
          <t>I</t>
        </is>
      </c>
      <c r="C4860" s="12" t="inlineStr">
        <is>
          <t>Modular / portable power</t>
        </is>
      </c>
      <c r="D4860" s="12" t="inlineStr">
        <is>
          <t>Thermocouple to TC JB JB-RICE-2-TC02: 10 x 1 pr (field cables)</t>
        </is>
      </c>
      <c r="E4860" s="12" t="inlineStr">
        <is>
          <t>RICE-2</t>
        </is>
      </c>
      <c r="F4860" s="12" t="inlineStr">
        <is>
          <t>RICE engine-generator 2</t>
        </is>
      </c>
      <c r="G4860" s="12" t="inlineStr">
        <is>
          <t>JB-RICE-2-TC02</t>
        </is>
      </c>
      <c r="H4860" s="12" t="inlineStr">
        <is>
          <t>RICE engine-generator 2</t>
        </is>
      </c>
      <c r="I4860" s="12" t="inlineStr">
        <is>
          <t>Instrumentation</t>
        </is>
      </c>
      <c r="J4860" s="12" t="inlineStr">
        <is>
          <t>Thermocouple extension KX, #16 shielded pairs, PLTC</t>
        </is>
      </c>
      <c r="K4860" s="12" t="inlineStr">
        <is>
          <t>TCX|1 pr|16</t>
        </is>
      </c>
      <c r="L4860" s="12" t="inlineStr">
        <is>
          <t>1 pr</t>
        </is>
      </c>
      <c r="M4860" s="12" t="inlineStr">
        <is>
          <t>16</t>
        </is>
      </c>
      <c r="N4860" s="12" t="n">
        <v>10</v>
      </c>
      <c r="O4860" s="12" t="n">
        <v>1</v>
      </c>
      <c r="P4860" s="12" t="n"/>
      <c r="Q4860" s="12" t="n"/>
      <c r="R4860" s="12" t="n"/>
      <c r="S4860" s="12" t="inlineStr">
        <is>
          <t>Tray / conduit</t>
        </is>
      </c>
      <c r="T4860" s="15" t="n">
        <v>72</v>
      </c>
      <c r="U4860" s="15" t="n">
        <v>10</v>
      </c>
      <c r="V4860" s="15">
        <f>ROUNDUP((T4860+U4860+2*'Read Me'!$B$13)*(1+'Read Me'!$B$12),-1)</f>
        <v/>
      </c>
      <c r="W4860" s="15">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I-I-0258</t>
        </is>
      </c>
      <c r="B4861" s="12" t="inlineStr">
        <is>
          <t>I</t>
        </is>
      </c>
      <c r="C4861" s="12" t="inlineStr">
        <is>
          <t>Modular / portable power</t>
        </is>
      </c>
      <c r="D4861" s="12" t="inlineStr">
        <is>
          <t>Home run JB-RICE-2-TC02 to the control / marshalling room</t>
        </is>
      </c>
      <c r="E4861" s="12" t="inlineStr"/>
      <c r="F4861" s="12" t="inlineStr">
        <is>
          <t>PCM: power control module</t>
        </is>
      </c>
      <c r="G4861" s="12" t="inlineStr">
        <is>
          <t>JB-RICE-2-TC02</t>
        </is>
      </c>
      <c r="H4861" s="12" t="inlineStr">
        <is>
          <t>RICE engine-generator 2</t>
        </is>
      </c>
      <c r="I4861" s="12" t="inlineStr">
        <is>
          <t>Instrumentation</t>
        </is>
      </c>
      <c r="J4861" s="12" t="inlineStr">
        <is>
          <t>Thermocouple extension KX, #16 shielded pairs, PLTC</t>
        </is>
      </c>
      <c r="K4861" s="12" t="inlineStr">
        <is>
          <t>TCX|24 pr|16</t>
        </is>
      </c>
      <c r="L4861" s="12" t="inlineStr">
        <is>
          <t>24 pr</t>
        </is>
      </c>
      <c r="M4861" s="12" t="inlineStr">
        <is>
          <t>16</t>
        </is>
      </c>
      <c r="N4861" s="12" t="n">
        <v>1</v>
      </c>
      <c r="O4861" s="12" t="n">
        <v>1</v>
      </c>
      <c r="P4861" s="12" t="n"/>
      <c r="Q4861" s="12" t="n"/>
      <c r="R4861" s="12" t="n"/>
      <c r="S4861" s="12" t="inlineStr">
        <is>
          <t>Duct bank</t>
        </is>
      </c>
      <c r="T4861" s="15" t="n">
        <v>516</v>
      </c>
      <c r="U4861" s="15" t="n">
        <v>109</v>
      </c>
      <c r="V4861" s="15">
        <f>ROUNDUP((T4861+U4861+2*'Read Me'!$B$13)*(1+'Read Me'!$B$12),-1)</f>
        <v/>
      </c>
      <c r="W4861" s="15">
        <f>V4861*N4861*O4861</f>
        <v/>
      </c>
      <c r="X4861" s="12">
        <f>IF(LEFT(I4861,2)="MV",2*N4861*IF(L4861="1/C",O4861,1),0)</f>
        <v/>
      </c>
      <c r="Y4861" s="12">
        <f>IF(OR(LEFT(K4861,4)="LVAX",LEFT(K4861,6)="MV15AX",LEFT(K4861,4)="CTAX",LEFT(K4861,2)="W|"),2*N4861*O4861,0)</f>
        <v/>
      </c>
      <c r="Z4861" s="12" t="inlineStr"/>
      <c r="AA4861" s="12">
        <f>N4861*O4861</f>
        <v/>
      </c>
    </row>
    <row r="4862">
      <c r="A4862" s="12" t="inlineStr">
        <is>
          <t>I-I-0259</t>
        </is>
      </c>
      <c r="B4862" s="12" t="inlineStr">
        <is>
          <t>I</t>
        </is>
      </c>
      <c r="C4862" s="12" t="inlineStr">
        <is>
          <t>Modular / portable power</t>
        </is>
      </c>
      <c r="D4862" s="12" t="inlineStr">
        <is>
          <t>RTD to JB JB-RICE-2-RTD01: 10 x 1 tri (field cables)</t>
        </is>
      </c>
      <c r="E4862" s="12" t="inlineStr">
        <is>
          <t>RICE-2</t>
        </is>
      </c>
      <c r="F4862" s="12" t="inlineStr">
        <is>
          <t>RICE engine-generator 2</t>
        </is>
      </c>
      <c r="G4862" s="12" t="inlineStr">
        <is>
          <t>JB-RICE-2-RTD01</t>
        </is>
      </c>
      <c r="H4862" s="12" t="inlineStr">
        <is>
          <t>RICE engine-generator 2</t>
        </is>
      </c>
      <c r="I4862" s="12" t="inlineStr">
        <is>
          <t>Instrumentation</t>
        </is>
      </c>
      <c r="J4862" s="12" t="inlineStr">
        <is>
          <t>RTD cable, #18 shielded triads, PLTC</t>
        </is>
      </c>
      <c r="K4862" s="12" t="inlineStr">
        <is>
          <t>RTD|1 tri|18</t>
        </is>
      </c>
      <c r="L4862" s="12" t="inlineStr">
        <is>
          <t>1 tri</t>
        </is>
      </c>
      <c r="M4862" s="12" t="inlineStr">
        <is>
          <t>18</t>
        </is>
      </c>
      <c r="N4862" s="12" t="n">
        <v>10</v>
      </c>
      <c r="O4862" s="12" t="n">
        <v>1</v>
      </c>
      <c r="P4862" s="12" t="n"/>
      <c r="Q4862" s="12" t="n"/>
      <c r="R4862" s="12" t="n"/>
      <c r="S4862" s="12" t="inlineStr">
        <is>
          <t>Tray / conduit</t>
        </is>
      </c>
      <c r="T4862" s="15" t="n">
        <v>72</v>
      </c>
      <c r="U4862" s="15" t="n">
        <v>10</v>
      </c>
      <c r="V4862" s="15">
        <f>ROUNDUP((T4862+U4862+2*'Read Me'!$B$13)*(1+'Read Me'!$B$12),-1)</f>
        <v/>
      </c>
      <c r="W4862" s="15">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I-I-0260</t>
        </is>
      </c>
      <c r="B4863" s="12" t="inlineStr">
        <is>
          <t>I</t>
        </is>
      </c>
      <c r="C4863" s="12" t="inlineStr">
        <is>
          <t>Modular / portable power</t>
        </is>
      </c>
      <c r="D4863" s="12" t="inlineStr">
        <is>
          <t>Home run JB-RICE-2-RTD01 to the control / marshalling room</t>
        </is>
      </c>
      <c r="E4863" s="12" t="inlineStr"/>
      <c r="F4863" s="12" t="inlineStr">
        <is>
          <t>PCM: power control module</t>
        </is>
      </c>
      <c r="G4863" s="12" t="inlineStr">
        <is>
          <t>JB-RICE-2-RTD01</t>
        </is>
      </c>
      <c r="H4863" s="12" t="inlineStr">
        <is>
          <t>RICE engine-generator 2</t>
        </is>
      </c>
      <c r="I4863" s="12" t="inlineStr">
        <is>
          <t>Instrumentation</t>
        </is>
      </c>
      <c r="J4863" s="12" t="inlineStr">
        <is>
          <t>RTD cable, #18 shielded triads, PLTC</t>
        </is>
      </c>
      <c r="K4863" s="12" t="inlineStr">
        <is>
          <t>RTD|12 tri|18</t>
        </is>
      </c>
      <c r="L4863" s="12" t="inlineStr">
        <is>
          <t>12 tri</t>
        </is>
      </c>
      <c r="M4863" s="12" t="inlineStr">
        <is>
          <t>18</t>
        </is>
      </c>
      <c r="N4863" s="12" t="n">
        <v>1</v>
      </c>
      <c r="O4863" s="12" t="n">
        <v>1</v>
      </c>
      <c r="P4863" s="12" t="n"/>
      <c r="Q4863" s="12" t="n"/>
      <c r="R4863" s="12" t="n"/>
      <c r="S4863" s="12" t="inlineStr">
        <is>
          <t>Duct bank</t>
        </is>
      </c>
      <c r="T4863" s="15" t="n">
        <v>516</v>
      </c>
      <c r="U4863" s="15" t="n">
        <v>109</v>
      </c>
      <c r="V4863" s="15">
        <f>ROUNDUP((T4863+U4863+2*'Read Me'!$B$13)*(1+'Read Me'!$B$12),-1)</f>
        <v/>
      </c>
      <c r="W4863" s="15">
        <f>V4863*N4863*O4863</f>
        <v/>
      </c>
      <c r="X4863" s="12">
        <f>IF(LEFT(I4863,2)="MV",2*N4863*IF(L4863="1/C",O4863,1),0)</f>
        <v/>
      </c>
      <c r="Y4863" s="12">
        <f>IF(OR(LEFT(K4863,4)="LVAX",LEFT(K4863,6)="MV15AX",LEFT(K4863,4)="CTAX",LEFT(K4863,2)="W|"),2*N4863*O4863,0)</f>
        <v/>
      </c>
      <c r="Z4863" s="12" t="inlineStr"/>
      <c r="AA4863" s="12">
        <f>N4863*O4863</f>
        <v/>
      </c>
    </row>
    <row r="4864">
      <c r="A4864" s="12" t="inlineStr">
        <is>
          <t>I-I-0261</t>
        </is>
      </c>
      <c r="B4864" s="12" t="inlineStr">
        <is>
          <t>I</t>
        </is>
      </c>
      <c r="C4864" s="12" t="inlineStr">
        <is>
          <t>Modular / portable power</t>
        </is>
      </c>
      <c r="D4864" s="12" t="inlineStr">
        <is>
          <t>RTD to JB JB-RICE-2-RTD02: 2 x 1 tri (field cables)</t>
        </is>
      </c>
      <c r="E4864" s="12" t="inlineStr">
        <is>
          <t>RICE-2</t>
        </is>
      </c>
      <c r="F4864" s="12" t="inlineStr">
        <is>
          <t>RICE engine-generator 2</t>
        </is>
      </c>
      <c r="G4864" s="12" t="inlineStr">
        <is>
          <t>JB-RICE-2-RTD02</t>
        </is>
      </c>
      <c r="H4864" s="12" t="inlineStr">
        <is>
          <t>RICE engine-generator 2</t>
        </is>
      </c>
      <c r="I4864" s="12" t="inlineStr">
        <is>
          <t>Instrumentation</t>
        </is>
      </c>
      <c r="J4864" s="12" t="inlineStr">
        <is>
          <t>RTD cable, #18 shielded triads, PLTC</t>
        </is>
      </c>
      <c r="K4864" s="12" t="inlineStr">
        <is>
          <t>RTD|1 tri|18</t>
        </is>
      </c>
      <c r="L4864" s="12" t="inlineStr">
        <is>
          <t>1 tri</t>
        </is>
      </c>
      <c r="M4864" s="12" t="inlineStr">
        <is>
          <t>18</t>
        </is>
      </c>
      <c r="N4864" s="12" t="n">
        <v>2</v>
      </c>
      <c r="O4864" s="12" t="n">
        <v>1</v>
      </c>
      <c r="P4864" s="12" t="n"/>
      <c r="Q4864" s="12" t="n"/>
      <c r="R4864" s="12" t="n"/>
      <c r="S4864" s="12" t="inlineStr">
        <is>
          <t>Tray / conduit</t>
        </is>
      </c>
      <c r="T4864" s="15" t="n">
        <v>72</v>
      </c>
      <c r="U4864" s="15" t="n">
        <v>10</v>
      </c>
      <c r="V4864" s="15">
        <f>ROUNDUP((T4864+U4864+2*'Read Me'!$B$13)*(1+'Read Me'!$B$12),-1)</f>
        <v/>
      </c>
      <c r="W4864" s="15">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I-I-0262</t>
        </is>
      </c>
      <c r="B4865" s="12" t="inlineStr">
        <is>
          <t>I</t>
        </is>
      </c>
      <c r="C4865" s="12" t="inlineStr">
        <is>
          <t>Modular / portable power</t>
        </is>
      </c>
      <c r="D4865" s="12" t="inlineStr">
        <is>
          <t>Home run JB-RICE-2-RTD02 to the control / marshalling room</t>
        </is>
      </c>
      <c r="E4865" s="12" t="inlineStr"/>
      <c r="F4865" s="12" t="inlineStr">
        <is>
          <t>PCM: power control module</t>
        </is>
      </c>
      <c r="G4865" s="12" t="inlineStr">
        <is>
          <t>JB-RICE-2-RTD02</t>
        </is>
      </c>
      <c r="H4865" s="12" t="inlineStr">
        <is>
          <t>RICE engine-generator 2</t>
        </is>
      </c>
      <c r="I4865" s="12" t="inlineStr">
        <is>
          <t>Instrumentation</t>
        </is>
      </c>
      <c r="J4865" s="12" t="inlineStr">
        <is>
          <t>RTD cable, #18 shielded triads, PLTC</t>
        </is>
      </c>
      <c r="K4865" s="12" t="inlineStr">
        <is>
          <t>RTD|12 tri|18</t>
        </is>
      </c>
      <c r="L4865" s="12" t="inlineStr">
        <is>
          <t>12 tri</t>
        </is>
      </c>
      <c r="M4865" s="12" t="inlineStr">
        <is>
          <t>18</t>
        </is>
      </c>
      <c r="N4865" s="12" t="n">
        <v>1</v>
      </c>
      <c r="O4865" s="12" t="n">
        <v>1</v>
      </c>
      <c r="P4865" s="12" t="n"/>
      <c r="Q4865" s="12" t="n"/>
      <c r="R4865" s="12" t="n"/>
      <c r="S4865" s="12" t="inlineStr">
        <is>
          <t>Duct bank</t>
        </is>
      </c>
      <c r="T4865" s="15" t="n">
        <v>516</v>
      </c>
      <c r="U4865" s="15" t="n">
        <v>109</v>
      </c>
      <c r="V4865" s="15">
        <f>ROUNDUP((T4865+U4865+2*'Read Me'!$B$13)*(1+'Read Me'!$B$12),-1)</f>
        <v/>
      </c>
      <c r="W4865" s="15">
        <f>V4865*N4865*O4865</f>
        <v/>
      </c>
      <c r="X4865" s="12">
        <f>IF(LEFT(I4865,2)="MV",2*N4865*IF(L4865="1/C",O4865,1),0)</f>
        <v/>
      </c>
      <c r="Y4865" s="12">
        <f>IF(OR(LEFT(K4865,4)="LVAX",LEFT(K4865,6)="MV15AX",LEFT(K4865,4)="CTAX",LEFT(K4865,2)="W|"),2*N4865*O4865,0)</f>
        <v/>
      </c>
      <c r="Z4865" s="12" t="inlineStr"/>
      <c r="AA4865" s="12">
        <f>N4865*O4865</f>
        <v/>
      </c>
    </row>
    <row r="4866">
      <c r="A4866" s="12" t="inlineStr">
        <is>
          <t>I-I-0263</t>
        </is>
      </c>
      <c r="B4866" s="12" t="inlineStr">
        <is>
          <t>I</t>
        </is>
      </c>
      <c r="C4866" s="12" t="inlineStr">
        <is>
          <t>Modular / portable power</t>
        </is>
      </c>
      <c r="D4866" s="12" t="inlineStr">
        <is>
          <t>Analog instrument to JB JB-RICE-3-AI01: 20 x 1 pr (field cables)</t>
        </is>
      </c>
      <c r="E4866" s="12" t="inlineStr">
        <is>
          <t>RICE-3</t>
        </is>
      </c>
      <c r="F4866" s="12" t="inlineStr">
        <is>
          <t>RICE engine-generator 3</t>
        </is>
      </c>
      <c r="G4866" s="12" t="inlineStr">
        <is>
          <t>JB-RICE-3-AI01</t>
        </is>
      </c>
      <c r="H4866" s="12" t="inlineStr">
        <is>
          <t>RICE engine-generator 3</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5" t="n">
        <v>72</v>
      </c>
      <c r="U4866" s="15" t="n">
        <v>10</v>
      </c>
      <c r="V4866" s="15">
        <f>ROUNDUP((T4866+U4866+2*'Read Me'!$B$13)*(1+'Read Me'!$B$12),-1)</f>
        <v/>
      </c>
      <c r="W4866" s="15">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I-I-0264</t>
        </is>
      </c>
      <c r="B4867" s="12" t="inlineStr">
        <is>
          <t>I</t>
        </is>
      </c>
      <c r="C4867" s="12" t="inlineStr">
        <is>
          <t>Modular / portable power</t>
        </is>
      </c>
      <c r="D4867" s="12" t="inlineStr">
        <is>
          <t>Home run JB-RICE-3-AI01 to the control / marshalling room</t>
        </is>
      </c>
      <c r="E4867" s="12" t="inlineStr"/>
      <c r="F4867" s="12" t="inlineStr">
        <is>
          <t>PCM: power control module</t>
        </is>
      </c>
      <c r="G4867" s="12" t="inlineStr">
        <is>
          <t>JB-RICE-3-AI01</t>
        </is>
      </c>
      <c r="H4867" s="12" t="inlineStr">
        <is>
          <t>RICE engine-generator 3</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Duct bank</t>
        </is>
      </c>
      <c r="T4867" s="15" t="n">
        <v>516</v>
      </c>
      <c r="U4867" s="15" t="n">
        <v>81</v>
      </c>
      <c r="V4867" s="15">
        <f>ROUNDUP((T4867+U4867+2*'Read Me'!$B$13)*(1+'Read Me'!$B$12),-1)</f>
        <v/>
      </c>
      <c r="W4867" s="15">
        <f>V4867*N4867*O4867</f>
        <v/>
      </c>
      <c r="X4867" s="12">
        <f>IF(LEFT(I4867,2)="MV",2*N4867*IF(L4867="1/C",O4867,1),0)</f>
        <v/>
      </c>
      <c r="Y4867" s="12">
        <f>IF(OR(LEFT(K4867,4)="LVAX",LEFT(K4867,6)="MV15AX",LEFT(K4867,4)="CTAX",LEFT(K4867,2)="W|"),2*N4867*O4867,0)</f>
        <v/>
      </c>
      <c r="Z4867" s="12" t="inlineStr"/>
      <c r="AA4867" s="12">
        <f>N4867*O4867</f>
        <v/>
      </c>
    </row>
    <row r="4868">
      <c r="A4868" s="12" t="inlineStr">
        <is>
          <t>I-I-0265</t>
        </is>
      </c>
      <c r="B4868" s="12" t="inlineStr">
        <is>
          <t>I</t>
        </is>
      </c>
      <c r="C4868" s="12" t="inlineStr">
        <is>
          <t>Modular / portable power</t>
        </is>
      </c>
      <c r="D4868" s="12" t="inlineStr">
        <is>
          <t>Analog instrument to JB JB-RICE-3-AI02: 20 x 1 pr (field cables)</t>
        </is>
      </c>
      <c r="E4868" s="12" t="inlineStr">
        <is>
          <t>RICE-3</t>
        </is>
      </c>
      <c r="F4868" s="12" t="inlineStr">
        <is>
          <t>RICE engine-generator 3</t>
        </is>
      </c>
      <c r="G4868" s="12" t="inlineStr">
        <is>
          <t>JB-RICE-3-AI02</t>
        </is>
      </c>
      <c r="H4868" s="12" t="inlineStr">
        <is>
          <t>RICE engine-generator 3</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5" t="n">
        <v>72</v>
      </c>
      <c r="U4868" s="15" t="n">
        <v>10</v>
      </c>
      <c r="V4868" s="15">
        <f>ROUNDUP((T4868+U4868+2*'Read Me'!$B$13)*(1+'Read Me'!$B$12),-1)</f>
        <v/>
      </c>
      <c r="W4868" s="15">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I-I-0266</t>
        </is>
      </c>
      <c r="B4869" s="12" t="inlineStr">
        <is>
          <t>I</t>
        </is>
      </c>
      <c r="C4869" s="12" t="inlineStr">
        <is>
          <t>Modular / portable power</t>
        </is>
      </c>
      <c r="D4869" s="12" t="inlineStr">
        <is>
          <t>Home run JB-RICE-3-AI02 to the control / marshalling room</t>
        </is>
      </c>
      <c r="E4869" s="12" t="inlineStr"/>
      <c r="F4869" s="12" t="inlineStr">
        <is>
          <t>PCM: power control module</t>
        </is>
      </c>
      <c r="G4869" s="12" t="inlineStr">
        <is>
          <t>JB-RICE-3-AI02</t>
        </is>
      </c>
      <c r="H4869" s="12" t="inlineStr">
        <is>
          <t>RICE engine-generator 3</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Duct bank</t>
        </is>
      </c>
      <c r="T4869" s="15" t="n">
        <v>516</v>
      </c>
      <c r="U4869" s="15" t="n">
        <v>81</v>
      </c>
      <c r="V4869" s="15">
        <f>ROUNDUP((T4869+U4869+2*'Read Me'!$B$13)*(1+'Read Me'!$B$12),-1)</f>
        <v/>
      </c>
      <c r="W4869" s="15">
        <f>V4869*N4869*O4869</f>
        <v/>
      </c>
      <c r="X4869" s="12">
        <f>IF(LEFT(I4869,2)="MV",2*N4869*IF(L4869="1/C",O4869,1),0)</f>
        <v/>
      </c>
      <c r="Y4869" s="12">
        <f>IF(OR(LEFT(K4869,4)="LVAX",LEFT(K4869,6)="MV15AX",LEFT(K4869,4)="CTAX",LEFT(K4869,2)="W|"),2*N4869*O4869,0)</f>
        <v/>
      </c>
      <c r="Z4869" s="12" t="inlineStr"/>
      <c r="AA4869" s="12">
        <f>N4869*O4869</f>
        <v/>
      </c>
    </row>
    <row r="4870">
      <c r="A4870" s="12" t="inlineStr">
        <is>
          <t>I-I-0267</t>
        </is>
      </c>
      <c r="B4870" s="12" t="inlineStr">
        <is>
          <t>I</t>
        </is>
      </c>
      <c r="C4870" s="12" t="inlineStr">
        <is>
          <t>Modular / portable power</t>
        </is>
      </c>
      <c r="D4870" s="12" t="inlineStr">
        <is>
          <t>Analog instrument to JB JB-RICE-3-AI03: 20 x 1 pr (field cables)</t>
        </is>
      </c>
      <c r="E4870" s="12" t="inlineStr">
        <is>
          <t>RICE-3</t>
        </is>
      </c>
      <c r="F4870" s="12" t="inlineStr">
        <is>
          <t>RICE engine-generator 3</t>
        </is>
      </c>
      <c r="G4870" s="12" t="inlineStr">
        <is>
          <t>JB-RICE-3-AI03</t>
        </is>
      </c>
      <c r="H4870" s="12" t="inlineStr">
        <is>
          <t>RICE engine-generator 3</t>
        </is>
      </c>
      <c r="I4870" s="12" t="inlineStr">
        <is>
          <t>Instrumentation</t>
        </is>
      </c>
      <c r="J4870" s="12" t="inlineStr">
        <is>
          <t>Instrumentation PLTC / TC-ER 300 V, #18 twisted shielded pairs, overall shield</t>
        </is>
      </c>
      <c r="K4870" s="12" t="inlineStr">
        <is>
          <t>PLTC|1 pr|16</t>
        </is>
      </c>
      <c r="L4870" s="12" t="inlineStr">
        <is>
          <t>1 pr</t>
        </is>
      </c>
      <c r="M4870" s="12" t="inlineStr">
        <is>
          <t>16</t>
        </is>
      </c>
      <c r="N4870" s="12" t="n">
        <v>20</v>
      </c>
      <c r="O4870" s="12" t="n">
        <v>1</v>
      </c>
      <c r="P4870" s="12" t="n"/>
      <c r="Q4870" s="12" t="n"/>
      <c r="R4870" s="12" t="n"/>
      <c r="S4870" s="12" t="inlineStr">
        <is>
          <t>Tray / conduit</t>
        </is>
      </c>
      <c r="T4870" s="15" t="n">
        <v>72</v>
      </c>
      <c r="U4870" s="15" t="n">
        <v>10</v>
      </c>
      <c r="V4870" s="15">
        <f>ROUNDUP((T4870+U4870+2*'Read Me'!$B$13)*(1+'Read Me'!$B$12),-1)</f>
        <v/>
      </c>
      <c r="W4870" s="15">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I-I-0268</t>
        </is>
      </c>
      <c r="B4871" s="12" t="inlineStr">
        <is>
          <t>I</t>
        </is>
      </c>
      <c r="C4871" s="12" t="inlineStr">
        <is>
          <t>Modular / portable power</t>
        </is>
      </c>
      <c r="D4871" s="12" t="inlineStr">
        <is>
          <t>Home run JB-RICE-3-AI03 to the control / marshalling room</t>
        </is>
      </c>
      <c r="E4871" s="12" t="inlineStr"/>
      <c r="F4871" s="12" t="inlineStr">
        <is>
          <t>PCM: power control module</t>
        </is>
      </c>
      <c r="G4871" s="12" t="inlineStr">
        <is>
          <t>JB-RICE-3-AI03</t>
        </is>
      </c>
      <c r="H4871" s="12" t="inlineStr">
        <is>
          <t>RICE engine-generator 3</t>
        </is>
      </c>
      <c r="I4871" s="12" t="inlineStr">
        <is>
          <t>Instrumentation</t>
        </is>
      </c>
      <c r="J4871" s="12" t="inlineStr">
        <is>
          <t>Instrumentation PLTC / TC-ER 300 V, #18 twisted shielded pairs, overall shield</t>
        </is>
      </c>
      <c r="K4871" s="12" t="inlineStr">
        <is>
          <t>PLTC|24 pr|18</t>
        </is>
      </c>
      <c r="L4871" s="12" t="inlineStr">
        <is>
          <t>24 pr</t>
        </is>
      </c>
      <c r="M4871" s="12" t="inlineStr">
        <is>
          <t>18</t>
        </is>
      </c>
      <c r="N4871" s="12" t="n">
        <v>1</v>
      </c>
      <c r="O4871" s="12" t="n">
        <v>1</v>
      </c>
      <c r="P4871" s="12" t="n"/>
      <c r="Q4871" s="12" t="n"/>
      <c r="R4871" s="12" t="n"/>
      <c r="S4871" s="12" t="inlineStr">
        <is>
          <t>Duct bank</t>
        </is>
      </c>
      <c r="T4871" s="15" t="n">
        <v>516</v>
      </c>
      <c r="U4871" s="15" t="n">
        <v>81</v>
      </c>
      <c r="V4871" s="15">
        <f>ROUNDUP((T4871+U4871+2*'Read Me'!$B$13)*(1+'Read Me'!$B$12),-1)</f>
        <v/>
      </c>
      <c r="W4871" s="15">
        <f>V4871*N4871*O4871</f>
        <v/>
      </c>
      <c r="X4871" s="12">
        <f>IF(LEFT(I4871,2)="MV",2*N4871*IF(L4871="1/C",O4871,1),0)</f>
        <v/>
      </c>
      <c r="Y4871" s="12">
        <f>IF(OR(LEFT(K4871,4)="LVAX",LEFT(K4871,6)="MV15AX",LEFT(K4871,4)="CTAX",LEFT(K4871,2)="W|"),2*N4871*O4871,0)</f>
        <v/>
      </c>
      <c r="Z4871" s="12" t="inlineStr"/>
      <c r="AA4871" s="12">
        <f>N4871*O4871</f>
        <v/>
      </c>
    </row>
    <row r="4872">
      <c r="A4872" s="12" t="inlineStr">
        <is>
          <t>I-I-0269</t>
        </is>
      </c>
      <c r="B4872" s="12" t="inlineStr">
        <is>
          <t>I</t>
        </is>
      </c>
      <c r="C4872" s="12" t="inlineStr">
        <is>
          <t>Modular / portable power</t>
        </is>
      </c>
      <c r="D4872" s="12" t="inlineStr">
        <is>
          <t>Analog instrument to JB JB-RICE-3-AI04: 20 x 1 pr (field cables)</t>
        </is>
      </c>
      <c r="E4872" s="12" t="inlineStr">
        <is>
          <t>RICE-3</t>
        </is>
      </c>
      <c r="F4872" s="12" t="inlineStr">
        <is>
          <t>RICE engine-generator 3</t>
        </is>
      </c>
      <c r="G4872" s="12" t="inlineStr">
        <is>
          <t>JB-RICE-3-AI04</t>
        </is>
      </c>
      <c r="H4872" s="12" t="inlineStr">
        <is>
          <t>RICE engine-generator 3</t>
        </is>
      </c>
      <c r="I4872" s="12" t="inlineStr">
        <is>
          <t>Instrumentation</t>
        </is>
      </c>
      <c r="J4872" s="12" t="inlineStr">
        <is>
          <t>Instrumentation PLTC / TC-ER 300 V, #18 twisted shielded pairs, overall shield</t>
        </is>
      </c>
      <c r="K4872" s="12" t="inlineStr">
        <is>
          <t>PLTC|1 pr|16</t>
        </is>
      </c>
      <c r="L4872" s="12" t="inlineStr">
        <is>
          <t>1 pr</t>
        </is>
      </c>
      <c r="M4872" s="12" t="inlineStr">
        <is>
          <t>16</t>
        </is>
      </c>
      <c r="N4872" s="12" t="n">
        <v>20</v>
      </c>
      <c r="O4872" s="12" t="n">
        <v>1</v>
      </c>
      <c r="P4872" s="12" t="n"/>
      <c r="Q4872" s="12" t="n"/>
      <c r="R4872" s="12" t="n"/>
      <c r="S4872" s="12" t="inlineStr">
        <is>
          <t>Tray / conduit</t>
        </is>
      </c>
      <c r="T4872" s="15" t="n">
        <v>72</v>
      </c>
      <c r="U4872" s="15" t="n">
        <v>10</v>
      </c>
      <c r="V4872" s="15">
        <f>ROUNDUP((T4872+U4872+2*'Read Me'!$B$13)*(1+'Read Me'!$B$12),-1)</f>
        <v/>
      </c>
      <c r="W4872" s="15">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I-I-0270</t>
        </is>
      </c>
      <c r="B4873" s="12" t="inlineStr">
        <is>
          <t>I</t>
        </is>
      </c>
      <c r="C4873" s="12" t="inlineStr">
        <is>
          <t>Modular / portable power</t>
        </is>
      </c>
      <c r="D4873" s="12" t="inlineStr">
        <is>
          <t>Home run JB-RICE-3-AI04 to the control / marshalling room</t>
        </is>
      </c>
      <c r="E4873" s="12" t="inlineStr"/>
      <c r="F4873" s="12" t="inlineStr">
        <is>
          <t>PCM: power control module</t>
        </is>
      </c>
      <c r="G4873" s="12" t="inlineStr">
        <is>
          <t>JB-RICE-3-AI04</t>
        </is>
      </c>
      <c r="H4873" s="12" t="inlineStr">
        <is>
          <t>RICE engine-generator 3</t>
        </is>
      </c>
      <c r="I4873" s="12" t="inlineStr">
        <is>
          <t>Instrumentation</t>
        </is>
      </c>
      <c r="J4873" s="12" t="inlineStr">
        <is>
          <t>Instrumentation PLTC / TC-ER 300 V, #18 twisted shielded pairs, overall shield</t>
        </is>
      </c>
      <c r="K4873" s="12" t="inlineStr">
        <is>
          <t>PLTC|24 pr|18</t>
        </is>
      </c>
      <c r="L4873" s="12" t="inlineStr">
        <is>
          <t>24 pr</t>
        </is>
      </c>
      <c r="M4873" s="12" t="inlineStr">
        <is>
          <t>18</t>
        </is>
      </c>
      <c r="N4873" s="12" t="n">
        <v>1</v>
      </c>
      <c r="O4873" s="12" t="n">
        <v>1</v>
      </c>
      <c r="P4873" s="12" t="n"/>
      <c r="Q4873" s="12" t="n"/>
      <c r="R4873" s="12" t="n"/>
      <c r="S4873" s="12" t="inlineStr">
        <is>
          <t>Duct bank</t>
        </is>
      </c>
      <c r="T4873" s="15" t="n">
        <v>516</v>
      </c>
      <c r="U4873" s="15" t="n">
        <v>81</v>
      </c>
      <c r="V4873" s="15">
        <f>ROUNDUP((T4873+U4873+2*'Read Me'!$B$13)*(1+'Read Me'!$B$12),-1)</f>
        <v/>
      </c>
      <c r="W4873" s="15">
        <f>V4873*N4873*O4873</f>
        <v/>
      </c>
      <c r="X4873" s="12">
        <f>IF(LEFT(I4873,2)="MV",2*N4873*IF(L4873="1/C",O4873,1),0)</f>
        <v/>
      </c>
      <c r="Y4873" s="12">
        <f>IF(OR(LEFT(K4873,4)="LVAX",LEFT(K4873,6)="MV15AX",LEFT(K4873,4)="CTAX",LEFT(K4873,2)="W|"),2*N4873*O4873,0)</f>
        <v/>
      </c>
      <c r="Z4873" s="12" t="inlineStr"/>
      <c r="AA4873" s="12">
        <f>N4873*O4873</f>
        <v/>
      </c>
    </row>
    <row r="4874">
      <c r="A4874" s="12" t="inlineStr">
        <is>
          <t>I-I-0271</t>
        </is>
      </c>
      <c r="B4874" s="12" t="inlineStr">
        <is>
          <t>I</t>
        </is>
      </c>
      <c r="C4874" s="12" t="inlineStr">
        <is>
          <t>Modular / portable power</t>
        </is>
      </c>
      <c r="D4874" s="12" t="inlineStr">
        <is>
          <t>Discrete device to JB JB-RICE-3-DI01: 20 x 1 pr (field cables)</t>
        </is>
      </c>
      <c r="E4874" s="12" t="inlineStr">
        <is>
          <t>RICE-3</t>
        </is>
      </c>
      <c r="F4874" s="12" t="inlineStr">
        <is>
          <t>RICE engine-generator 3</t>
        </is>
      </c>
      <c r="G4874" s="12" t="inlineStr">
        <is>
          <t>JB-RICE-3-DI01</t>
        </is>
      </c>
      <c r="H4874" s="12" t="inlineStr">
        <is>
          <t>RICE engine-generator 3</t>
        </is>
      </c>
      <c r="I4874" s="12" t="inlineStr">
        <is>
          <t>Instrumentation</t>
        </is>
      </c>
      <c r="J4874" s="12" t="inlineStr">
        <is>
          <t>Instrumentation PLTC / TC-ER 300 V, #18 twisted shielded pairs, overall shield</t>
        </is>
      </c>
      <c r="K4874" s="12" t="inlineStr">
        <is>
          <t>PLTC|1 pr|16</t>
        </is>
      </c>
      <c r="L4874" s="12" t="inlineStr">
        <is>
          <t>1 pr</t>
        </is>
      </c>
      <c r="M4874" s="12" t="inlineStr">
        <is>
          <t>16</t>
        </is>
      </c>
      <c r="N4874" s="12" t="n">
        <v>20</v>
      </c>
      <c r="O4874" s="12" t="n">
        <v>1</v>
      </c>
      <c r="P4874" s="12" t="n"/>
      <c r="Q4874" s="12" t="n"/>
      <c r="R4874" s="12" t="n"/>
      <c r="S4874" s="12" t="inlineStr">
        <is>
          <t>Tray / conduit</t>
        </is>
      </c>
      <c r="T4874" s="15" t="n">
        <v>72</v>
      </c>
      <c r="U4874" s="15" t="n">
        <v>10</v>
      </c>
      <c r="V4874" s="15">
        <f>ROUNDUP((T4874+U4874+2*'Read Me'!$B$13)*(1+'Read Me'!$B$12),-1)</f>
        <v/>
      </c>
      <c r="W4874" s="15">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I-I-0272</t>
        </is>
      </c>
      <c r="B4875" s="12" t="inlineStr">
        <is>
          <t>I</t>
        </is>
      </c>
      <c r="C4875" s="12" t="inlineStr">
        <is>
          <t>Modular / portable power</t>
        </is>
      </c>
      <c r="D4875" s="12" t="inlineStr">
        <is>
          <t>Home run JB-RICE-3-DI01 to the control / marshalling room</t>
        </is>
      </c>
      <c r="E4875" s="12" t="inlineStr"/>
      <c r="F4875" s="12" t="inlineStr">
        <is>
          <t>PCM: power control module</t>
        </is>
      </c>
      <c r="G4875" s="12" t="inlineStr">
        <is>
          <t>JB-RICE-3-DI01</t>
        </is>
      </c>
      <c r="H4875" s="12" t="inlineStr">
        <is>
          <t>RICE engine-generator 3</t>
        </is>
      </c>
      <c r="I4875" s="12" t="inlineStr">
        <is>
          <t>Instrumentation</t>
        </is>
      </c>
      <c r="J4875" s="12" t="inlineStr">
        <is>
          <t>Instrumentation PLTC / TC-ER 300 V, #18 twisted shielded pairs, overall shield</t>
        </is>
      </c>
      <c r="K4875" s="12" t="inlineStr">
        <is>
          <t>PLTC|24 pr|18</t>
        </is>
      </c>
      <c r="L4875" s="12" t="inlineStr">
        <is>
          <t>24 pr</t>
        </is>
      </c>
      <c r="M4875" s="12" t="inlineStr">
        <is>
          <t>18</t>
        </is>
      </c>
      <c r="N4875" s="12" t="n">
        <v>1</v>
      </c>
      <c r="O4875" s="12" t="n">
        <v>1</v>
      </c>
      <c r="P4875" s="12" t="n"/>
      <c r="Q4875" s="12" t="n"/>
      <c r="R4875" s="12" t="n"/>
      <c r="S4875" s="12" t="inlineStr">
        <is>
          <t>Duct bank</t>
        </is>
      </c>
      <c r="T4875" s="15" t="n">
        <v>516</v>
      </c>
      <c r="U4875" s="15" t="n">
        <v>81</v>
      </c>
      <c r="V4875" s="15">
        <f>ROUNDUP((T4875+U4875+2*'Read Me'!$B$13)*(1+'Read Me'!$B$12),-1)</f>
        <v/>
      </c>
      <c r="W4875" s="15">
        <f>V4875*N4875*O4875</f>
        <v/>
      </c>
      <c r="X4875" s="12">
        <f>IF(LEFT(I4875,2)="MV",2*N4875*IF(L4875="1/C",O4875,1),0)</f>
        <v/>
      </c>
      <c r="Y4875" s="12">
        <f>IF(OR(LEFT(K4875,4)="LVAX",LEFT(K4875,6)="MV15AX",LEFT(K4875,4)="CTAX",LEFT(K4875,2)="W|"),2*N4875*O4875,0)</f>
        <v/>
      </c>
      <c r="Z4875" s="12" t="inlineStr"/>
      <c r="AA4875" s="12">
        <f>N4875*O4875</f>
        <v/>
      </c>
    </row>
    <row r="4876">
      <c r="A4876" s="12" t="inlineStr">
        <is>
          <t>I-I-0273</t>
        </is>
      </c>
      <c r="B4876" s="12" t="inlineStr">
        <is>
          <t>I</t>
        </is>
      </c>
      <c r="C4876" s="12" t="inlineStr">
        <is>
          <t>Modular / portable power</t>
        </is>
      </c>
      <c r="D4876" s="12" t="inlineStr">
        <is>
          <t>Discrete device to JB JB-RICE-3-DI02: 20 x 1 pr (field cables)</t>
        </is>
      </c>
      <c r="E4876" s="12" t="inlineStr">
        <is>
          <t>RICE-3</t>
        </is>
      </c>
      <c r="F4876" s="12" t="inlineStr">
        <is>
          <t>RICE engine-generator 3</t>
        </is>
      </c>
      <c r="G4876" s="12" t="inlineStr">
        <is>
          <t>JB-RICE-3-DI02</t>
        </is>
      </c>
      <c r="H4876" s="12" t="inlineStr">
        <is>
          <t>RICE engine-generator 3</t>
        </is>
      </c>
      <c r="I4876" s="12" t="inlineStr">
        <is>
          <t>Instrumentation</t>
        </is>
      </c>
      <c r="J4876" s="12" t="inlineStr">
        <is>
          <t>Instrumentation PLTC / TC-ER 300 V, #18 twisted shielded pairs, overall shield</t>
        </is>
      </c>
      <c r="K4876" s="12" t="inlineStr">
        <is>
          <t>PLTC|1 pr|16</t>
        </is>
      </c>
      <c r="L4876" s="12" t="inlineStr">
        <is>
          <t>1 pr</t>
        </is>
      </c>
      <c r="M4876" s="12" t="inlineStr">
        <is>
          <t>16</t>
        </is>
      </c>
      <c r="N4876" s="12" t="n">
        <v>20</v>
      </c>
      <c r="O4876" s="12" t="n">
        <v>1</v>
      </c>
      <c r="P4876" s="12" t="n"/>
      <c r="Q4876" s="12" t="n"/>
      <c r="R4876" s="12" t="n"/>
      <c r="S4876" s="12" t="inlineStr">
        <is>
          <t>Tray / conduit</t>
        </is>
      </c>
      <c r="T4876" s="15" t="n">
        <v>72</v>
      </c>
      <c r="U4876" s="15" t="n">
        <v>10</v>
      </c>
      <c r="V4876" s="15">
        <f>ROUNDUP((T4876+U4876+2*'Read Me'!$B$13)*(1+'Read Me'!$B$12),-1)</f>
        <v/>
      </c>
      <c r="W4876" s="15">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I-I-0274</t>
        </is>
      </c>
      <c r="B4877" s="12" t="inlineStr">
        <is>
          <t>I</t>
        </is>
      </c>
      <c r="C4877" s="12" t="inlineStr">
        <is>
          <t>Modular / portable power</t>
        </is>
      </c>
      <c r="D4877" s="12" t="inlineStr">
        <is>
          <t>Home run JB-RICE-3-DI02 to the control / marshalling room</t>
        </is>
      </c>
      <c r="E4877" s="12" t="inlineStr"/>
      <c r="F4877" s="12" t="inlineStr">
        <is>
          <t>PCM: power control module</t>
        </is>
      </c>
      <c r="G4877" s="12" t="inlineStr">
        <is>
          <t>JB-RICE-3-DI02</t>
        </is>
      </c>
      <c r="H4877" s="12" t="inlineStr">
        <is>
          <t>RICE engine-generator 3</t>
        </is>
      </c>
      <c r="I4877" s="12" t="inlineStr">
        <is>
          <t>Instrumentation</t>
        </is>
      </c>
      <c r="J4877" s="12" t="inlineStr">
        <is>
          <t>Instrumentation PLTC / TC-ER 300 V, #18 twisted shielded pairs, overall shield</t>
        </is>
      </c>
      <c r="K4877" s="12" t="inlineStr">
        <is>
          <t>PLTC|24 pr|18</t>
        </is>
      </c>
      <c r="L4877" s="12" t="inlineStr">
        <is>
          <t>24 pr</t>
        </is>
      </c>
      <c r="M4877" s="12" t="inlineStr">
        <is>
          <t>18</t>
        </is>
      </c>
      <c r="N4877" s="12" t="n">
        <v>1</v>
      </c>
      <c r="O4877" s="12" t="n">
        <v>1</v>
      </c>
      <c r="P4877" s="12" t="n"/>
      <c r="Q4877" s="12" t="n"/>
      <c r="R4877" s="12" t="n"/>
      <c r="S4877" s="12" t="inlineStr">
        <is>
          <t>Duct bank</t>
        </is>
      </c>
      <c r="T4877" s="15" t="n">
        <v>516</v>
      </c>
      <c r="U4877" s="15" t="n">
        <v>81</v>
      </c>
      <c r="V4877" s="15">
        <f>ROUNDUP((T4877+U4877+2*'Read Me'!$B$13)*(1+'Read Me'!$B$12),-1)</f>
        <v/>
      </c>
      <c r="W4877" s="15">
        <f>V4877*N4877*O4877</f>
        <v/>
      </c>
      <c r="X4877" s="12">
        <f>IF(LEFT(I4877,2)="MV",2*N4877*IF(L4877="1/C",O4877,1),0)</f>
        <v/>
      </c>
      <c r="Y4877" s="12">
        <f>IF(OR(LEFT(K4877,4)="LVAX",LEFT(K4877,6)="MV15AX",LEFT(K4877,4)="CTAX",LEFT(K4877,2)="W|"),2*N4877*O4877,0)</f>
        <v/>
      </c>
      <c r="Z4877" s="12" t="inlineStr"/>
      <c r="AA4877" s="12">
        <f>N4877*O4877</f>
        <v/>
      </c>
    </row>
    <row r="4878">
      <c r="A4878" s="12" t="inlineStr">
        <is>
          <t>I-I-0275</t>
        </is>
      </c>
      <c r="B4878" s="12" t="inlineStr">
        <is>
          <t>I</t>
        </is>
      </c>
      <c r="C4878" s="12" t="inlineStr">
        <is>
          <t>Modular / portable power</t>
        </is>
      </c>
      <c r="D4878" s="12" t="inlineStr">
        <is>
          <t>Discrete device to JB JB-RICE-3-DI03: 20 x 1 pr (field cables)</t>
        </is>
      </c>
      <c r="E4878" s="12" t="inlineStr">
        <is>
          <t>RICE-3</t>
        </is>
      </c>
      <c r="F4878" s="12" t="inlineStr">
        <is>
          <t>RICE engine-generator 3</t>
        </is>
      </c>
      <c r="G4878" s="12" t="inlineStr">
        <is>
          <t>JB-RICE-3-DI03</t>
        </is>
      </c>
      <c r="H4878" s="12" t="inlineStr">
        <is>
          <t>RICE engine-generator 3</t>
        </is>
      </c>
      <c r="I4878" s="12" t="inlineStr">
        <is>
          <t>Instrumentation</t>
        </is>
      </c>
      <c r="J4878" s="12" t="inlineStr">
        <is>
          <t>Instrumentation PLTC / TC-ER 300 V, #18 twisted shielded pairs, overall shield</t>
        </is>
      </c>
      <c r="K4878" s="12" t="inlineStr">
        <is>
          <t>PLTC|1 pr|16</t>
        </is>
      </c>
      <c r="L4878" s="12" t="inlineStr">
        <is>
          <t>1 pr</t>
        </is>
      </c>
      <c r="M4878" s="12" t="inlineStr">
        <is>
          <t>16</t>
        </is>
      </c>
      <c r="N4878" s="12" t="n">
        <v>20</v>
      </c>
      <c r="O4878" s="12" t="n">
        <v>1</v>
      </c>
      <c r="P4878" s="12" t="n"/>
      <c r="Q4878" s="12" t="n"/>
      <c r="R4878" s="12" t="n"/>
      <c r="S4878" s="12" t="inlineStr">
        <is>
          <t>Tray / conduit</t>
        </is>
      </c>
      <c r="T4878" s="15" t="n">
        <v>72</v>
      </c>
      <c r="U4878" s="15" t="n">
        <v>10</v>
      </c>
      <c r="V4878" s="15">
        <f>ROUNDUP((T4878+U4878+2*'Read Me'!$B$13)*(1+'Read Me'!$B$12),-1)</f>
        <v/>
      </c>
      <c r="W4878" s="15">
        <f>V4878*N4878*O4878</f>
        <v/>
      </c>
      <c r="X4878" s="12">
        <f>IF(LEFT(I4878,2)="MV",2*N4878*IF(L4878="1/C",O4878,1),0)</f>
        <v/>
      </c>
      <c r="Y4878" s="12">
        <f>IF(OR(LEFT(K4878,4)="LVAX",LEFT(K4878,6)="MV15AX",LEFT(K4878,4)="CTAX",LEFT(K4878,2)="W|"),2*N4878*O4878,0)</f>
        <v/>
      </c>
      <c r="Z4878" s="12" t="inlineStr">
        <is>
          <t>device-to-JB field wiring, one cable per device</t>
        </is>
      </c>
      <c r="AA4878" s="12">
        <f>N4878*O4878</f>
        <v/>
      </c>
    </row>
    <row r="4879">
      <c r="A4879" s="12" t="inlineStr">
        <is>
          <t>I-I-0276</t>
        </is>
      </c>
      <c r="B4879" s="12" t="inlineStr">
        <is>
          <t>I</t>
        </is>
      </c>
      <c r="C4879" s="12" t="inlineStr">
        <is>
          <t>Modular / portable power</t>
        </is>
      </c>
      <c r="D4879" s="12" t="inlineStr">
        <is>
          <t>Home run JB-RICE-3-DI03 to the control / marshalling room</t>
        </is>
      </c>
      <c r="E4879" s="12" t="inlineStr"/>
      <c r="F4879" s="12" t="inlineStr">
        <is>
          <t>PCM: power control module</t>
        </is>
      </c>
      <c r="G4879" s="12" t="inlineStr">
        <is>
          <t>JB-RICE-3-DI03</t>
        </is>
      </c>
      <c r="H4879" s="12" t="inlineStr">
        <is>
          <t>RICE engine-generator 3</t>
        </is>
      </c>
      <c r="I4879" s="12" t="inlineStr">
        <is>
          <t>Instrumentation</t>
        </is>
      </c>
      <c r="J4879" s="12" t="inlineStr">
        <is>
          <t>Instrumentation PLTC / TC-ER 300 V, #18 twisted shielded pairs, overall shield</t>
        </is>
      </c>
      <c r="K4879" s="12" t="inlineStr">
        <is>
          <t>PLTC|24 pr|18</t>
        </is>
      </c>
      <c r="L4879" s="12" t="inlineStr">
        <is>
          <t>24 pr</t>
        </is>
      </c>
      <c r="M4879" s="12" t="inlineStr">
        <is>
          <t>18</t>
        </is>
      </c>
      <c r="N4879" s="12" t="n">
        <v>1</v>
      </c>
      <c r="O4879" s="12" t="n">
        <v>1</v>
      </c>
      <c r="P4879" s="12" t="n"/>
      <c r="Q4879" s="12" t="n"/>
      <c r="R4879" s="12" t="n"/>
      <c r="S4879" s="12" t="inlineStr">
        <is>
          <t>Duct bank</t>
        </is>
      </c>
      <c r="T4879" s="15" t="n">
        <v>516</v>
      </c>
      <c r="U4879" s="15" t="n">
        <v>81</v>
      </c>
      <c r="V4879" s="15">
        <f>ROUNDUP((T4879+U4879+2*'Read Me'!$B$13)*(1+'Read Me'!$B$12),-1)</f>
        <v/>
      </c>
      <c r="W4879" s="15">
        <f>V4879*N4879*O4879</f>
        <v/>
      </c>
      <c r="X4879" s="12">
        <f>IF(LEFT(I4879,2)="MV",2*N4879*IF(L4879="1/C",O4879,1),0)</f>
        <v/>
      </c>
      <c r="Y4879" s="12">
        <f>IF(OR(LEFT(K4879,4)="LVAX",LEFT(K4879,6)="MV15AX",LEFT(K4879,4)="CTAX",LEFT(K4879,2)="W|"),2*N4879*O4879,0)</f>
        <v/>
      </c>
      <c r="Z4879" s="12" t="inlineStr"/>
      <c r="AA4879" s="12">
        <f>N4879*O4879</f>
        <v/>
      </c>
    </row>
    <row r="4880">
      <c r="A4880" s="12" t="inlineStr">
        <is>
          <t>I-I-0277</t>
        </is>
      </c>
      <c r="B4880" s="12" t="inlineStr">
        <is>
          <t>I</t>
        </is>
      </c>
      <c r="C4880" s="12" t="inlineStr">
        <is>
          <t>Modular / portable power</t>
        </is>
      </c>
      <c r="D4880" s="12" t="inlineStr">
        <is>
          <t>Thermocouple to TC JB JB-RICE-3-TC01: 20 x 1 pr (field cables)</t>
        </is>
      </c>
      <c r="E4880" s="12" t="inlineStr">
        <is>
          <t>RICE-3</t>
        </is>
      </c>
      <c r="F4880" s="12" t="inlineStr">
        <is>
          <t>RICE engine-generator 3</t>
        </is>
      </c>
      <c r="G4880" s="12" t="inlineStr">
        <is>
          <t>JB-RICE-3-TC01</t>
        </is>
      </c>
      <c r="H4880" s="12" t="inlineStr">
        <is>
          <t>RICE engine-generator 3</t>
        </is>
      </c>
      <c r="I4880" s="12" t="inlineStr">
        <is>
          <t>Instrumentation</t>
        </is>
      </c>
      <c r="J4880" s="12" t="inlineStr">
        <is>
          <t>Thermocouple extension KX, #16 shielded pairs, PLTC</t>
        </is>
      </c>
      <c r="K4880" s="12" t="inlineStr">
        <is>
          <t>TCX|1 pr|16</t>
        </is>
      </c>
      <c r="L4880" s="12" t="inlineStr">
        <is>
          <t>1 pr</t>
        </is>
      </c>
      <c r="M4880" s="12" t="inlineStr">
        <is>
          <t>16</t>
        </is>
      </c>
      <c r="N4880" s="12" t="n">
        <v>20</v>
      </c>
      <c r="O4880" s="12" t="n">
        <v>1</v>
      </c>
      <c r="P4880" s="12" t="n"/>
      <c r="Q4880" s="12" t="n"/>
      <c r="R4880" s="12" t="n"/>
      <c r="S4880" s="12" t="inlineStr">
        <is>
          <t>Tray / conduit</t>
        </is>
      </c>
      <c r="T4880" s="15" t="n">
        <v>72</v>
      </c>
      <c r="U4880" s="15" t="n">
        <v>10</v>
      </c>
      <c r="V4880" s="15">
        <f>ROUNDUP((T4880+U4880+2*'Read Me'!$B$13)*(1+'Read Me'!$B$12),-1)</f>
        <v/>
      </c>
      <c r="W4880" s="15">
        <f>V4880*N4880*O4880</f>
        <v/>
      </c>
      <c r="X4880" s="12">
        <f>IF(LEFT(I4880,2)="MV",2*N4880*IF(L4880="1/C",O4880,1),0)</f>
        <v/>
      </c>
      <c r="Y4880" s="12">
        <f>IF(OR(LEFT(K4880,4)="LVAX",LEFT(K4880,6)="MV15AX",LEFT(K4880,4)="CTAX",LEFT(K4880,2)="W|"),2*N4880*O4880,0)</f>
        <v/>
      </c>
      <c r="Z4880" s="12" t="inlineStr">
        <is>
          <t>device-to-JB field wiring, one cable per device</t>
        </is>
      </c>
      <c r="AA4880" s="12">
        <f>N4880*O4880</f>
        <v/>
      </c>
    </row>
    <row r="4881">
      <c r="A4881" s="12" t="inlineStr">
        <is>
          <t>I-I-0278</t>
        </is>
      </c>
      <c r="B4881" s="12" t="inlineStr">
        <is>
          <t>I</t>
        </is>
      </c>
      <c r="C4881" s="12" t="inlineStr">
        <is>
          <t>Modular / portable power</t>
        </is>
      </c>
      <c r="D4881" s="12" t="inlineStr">
        <is>
          <t>Home run JB-RICE-3-TC01 to the control / marshalling room</t>
        </is>
      </c>
      <c r="E4881" s="12" t="inlineStr"/>
      <c r="F4881" s="12" t="inlineStr">
        <is>
          <t>PCM: power control module</t>
        </is>
      </c>
      <c r="G4881" s="12" t="inlineStr">
        <is>
          <t>JB-RICE-3-TC01</t>
        </is>
      </c>
      <c r="H4881" s="12" t="inlineStr">
        <is>
          <t>RICE engine-generator 3</t>
        </is>
      </c>
      <c r="I4881" s="12" t="inlineStr">
        <is>
          <t>Instrumentation</t>
        </is>
      </c>
      <c r="J4881" s="12" t="inlineStr">
        <is>
          <t>Thermocouple extension KX, #16 shielded pairs, PLTC</t>
        </is>
      </c>
      <c r="K4881" s="12" t="inlineStr">
        <is>
          <t>TCX|24 pr|16</t>
        </is>
      </c>
      <c r="L4881" s="12" t="inlineStr">
        <is>
          <t>24 pr</t>
        </is>
      </c>
      <c r="M4881" s="12" t="inlineStr">
        <is>
          <t>16</t>
        </is>
      </c>
      <c r="N4881" s="12" t="n">
        <v>1</v>
      </c>
      <c r="O4881" s="12" t="n">
        <v>1</v>
      </c>
      <c r="P4881" s="12" t="n"/>
      <c r="Q4881" s="12" t="n"/>
      <c r="R4881" s="12" t="n"/>
      <c r="S4881" s="12" t="inlineStr">
        <is>
          <t>Duct bank</t>
        </is>
      </c>
      <c r="T4881" s="15" t="n">
        <v>516</v>
      </c>
      <c r="U4881" s="15" t="n">
        <v>81</v>
      </c>
      <c r="V4881" s="15">
        <f>ROUNDUP((T4881+U4881+2*'Read Me'!$B$13)*(1+'Read Me'!$B$12),-1)</f>
        <v/>
      </c>
      <c r="W4881" s="15">
        <f>V4881*N4881*O4881</f>
        <v/>
      </c>
      <c r="X4881" s="12">
        <f>IF(LEFT(I4881,2)="MV",2*N4881*IF(L4881="1/C",O4881,1),0)</f>
        <v/>
      </c>
      <c r="Y4881" s="12">
        <f>IF(OR(LEFT(K4881,4)="LVAX",LEFT(K4881,6)="MV15AX",LEFT(K4881,4)="CTAX",LEFT(K4881,2)="W|"),2*N4881*O4881,0)</f>
        <v/>
      </c>
      <c r="Z4881" s="12" t="inlineStr"/>
      <c r="AA4881" s="12">
        <f>N4881*O4881</f>
        <v/>
      </c>
    </row>
    <row r="4882">
      <c r="A4882" s="12" t="inlineStr">
        <is>
          <t>I-I-0279</t>
        </is>
      </c>
      <c r="B4882" s="12" t="inlineStr">
        <is>
          <t>I</t>
        </is>
      </c>
      <c r="C4882" s="12" t="inlineStr">
        <is>
          <t>Modular / portable power</t>
        </is>
      </c>
      <c r="D4882" s="12" t="inlineStr">
        <is>
          <t>Thermocouple to TC JB JB-RICE-3-TC02: 10 x 1 pr (field cables)</t>
        </is>
      </c>
      <c r="E4882" s="12" t="inlineStr">
        <is>
          <t>RICE-3</t>
        </is>
      </c>
      <c r="F4882" s="12" t="inlineStr">
        <is>
          <t>RICE engine-generator 3</t>
        </is>
      </c>
      <c r="G4882" s="12" t="inlineStr">
        <is>
          <t>JB-RICE-3-TC02</t>
        </is>
      </c>
      <c r="H4882" s="12" t="inlineStr">
        <is>
          <t>RICE engine-generator 3</t>
        </is>
      </c>
      <c r="I4882" s="12" t="inlineStr">
        <is>
          <t>Instrumentation</t>
        </is>
      </c>
      <c r="J4882" s="12" t="inlineStr">
        <is>
          <t>Thermocouple extension KX, #16 shielded pairs, PLTC</t>
        </is>
      </c>
      <c r="K4882" s="12" t="inlineStr">
        <is>
          <t>TCX|1 pr|16</t>
        </is>
      </c>
      <c r="L4882" s="12" t="inlineStr">
        <is>
          <t>1 pr</t>
        </is>
      </c>
      <c r="M4882" s="12" t="inlineStr">
        <is>
          <t>16</t>
        </is>
      </c>
      <c r="N4882" s="12" t="n">
        <v>10</v>
      </c>
      <c r="O4882" s="12" t="n">
        <v>1</v>
      </c>
      <c r="P4882" s="12" t="n"/>
      <c r="Q4882" s="12" t="n"/>
      <c r="R4882" s="12" t="n"/>
      <c r="S4882" s="12" t="inlineStr">
        <is>
          <t>Tray / conduit</t>
        </is>
      </c>
      <c r="T4882" s="15" t="n">
        <v>72</v>
      </c>
      <c r="U4882" s="15" t="n">
        <v>10</v>
      </c>
      <c r="V4882" s="15">
        <f>ROUNDUP((T4882+U4882+2*'Read Me'!$B$13)*(1+'Read Me'!$B$12),-1)</f>
        <v/>
      </c>
      <c r="W4882" s="15">
        <f>V4882*N4882*O4882</f>
        <v/>
      </c>
      <c r="X4882" s="12">
        <f>IF(LEFT(I4882,2)="MV",2*N4882*IF(L4882="1/C",O4882,1),0)</f>
        <v/>
      </c>
      <c r="Y4882" s="12">
        <f>IF(OR(LEFT(K4882,4)="LVAX",LEFT(K4882,6)="MV15AX",LEFT(K4882,4)="CTAX",LEFT(K4882,2)="W|"),2*N4882*O4882,0)</f>
        <v/>
      </c>
      <c r="Z4882" s="12" t="inlineStr">
        <is>
          <t>device-to-JB field wiring, one cable per device</t>
        </is>
      </c>
      <c r="AA4882" s="12">
        <f>N4882*O4882</f>
        <v/>
      </c>
    </row>
    <row r="4883">
      <c r="A4883" s="12" t="inlineStr">
        <is>
          <t>I-I-0280</t>
        </is>
      </c>
      <c r="B4883" s="12" t="inlineStr">
        <is>
          <t>I</t>
        </is>
      </c>
      <c r="C4883" s="12" t="inlineStr">
        <is>
          <t>Modular / portable power</t>
        </is>
      </c>
      <c r="D4883" s="12" t="inlineStr">
        <is>
          <t>Home run JB-RICE-3-TC02 to the control / marshalling room</t>
        </is>
      </c>
      <c r="E4883" s="12" t="inlineStr"/>
      <c r="F4883" s="12" t="inlineStr">
        <is>
          <t>PCM: power control module</t>
        </is>
      </c>
      <c r="G4883" s="12" t="inlineStr">
        <is>
          <t>JB-RICE-3-TC02</t>
        </is>
      </c>
      <c r="H4883" s="12" t="inlineStr">
        <is>
          <t>RICE engine-generator 3</t>
        </is>
      </c>
      <c r="I4883" s="12" t="inlineStr">
        <is>
          <t>Instrumentation</t>
        </is>
      </c>
      <c r="J4883" s="12" t="inlineStr">
        <is>
          <t>Thermocouple extension KX, #16 shielded pairs, PLTC</t>
        </is>
      </c>
      <c r="K4883" s="12" t="inlineStr">
        <is>
          <t>TCX|24 pr|16</t>
        </is>
      </c>
      <c r="L4883" s="12" t="inlineStr">
        <is>
          <t>24 pr</t>
        </is>
      </c>
      <c r="M4883" s="12" t="inlineStr">
        <is>
          <t>16</t>
        </is>
      </c>
      <c r="N4883" s="12" t="n">
        <v>1</v>
      </c>
      <c r="O4883" s="12" t="n">
        <v>1</v>
      </c>
      <c r="P4883" s="12" t="n"/>
      <c r="Q4883" s="12" t="n"/>
      <c r="R4883" s="12" t="n"/>
      <c r="S4883" s="12" t="inlineStr">
        <is>
          <t>Duct bank</t>
        </is>
      </c>
      <c r="T4883" s="15" t="n">
        <v>516</v>
      </c>
      <c r="U4883" s="15" t="n">
        <v>81</v>
      </c>
      <c r="V4883" s="15">
        <f>ROUNDUP((T4883+U4883+2*'Read Me'!$B$13)*(1+'Read Me'!$B$12),-1)</f>
        <v/>
      </c>
      <c r="W4883" s="15">
        <f>V4883*N4883*O4883</f>
        <v/>
      </c>
      <c r="X4883" s="12">
        <f>IF(LEFT(I4883,2)="MV",2*N4883*IF(L4883="1/C",O4883,1),0)</f>
        <v/>
      </c>
      <c r="Y4883" s="12">
        <f>IF(OR(LEFT(K4883,4)="LVAX",LEFT(K4883,6)="MV15AX",LEFT(K4883,4)="CTAX",LEFT(K4883,2)="W|"),2*N4883*O4883,0)</f>
        <v/>
      </c>
      <c r="Z4883" s="12" t="inlineStr"/>
      <c r="AA4883" s="12">
        <f>N4883*O4883</f>
        <v/>
      </c>
    </row>
    <row r="4884">
      <c r="A4884" s="12" t="inlineStr">
        <is>
          <t>I-I-0281</t>
        </is>
      </c>
      <c r="B4884" s="12" t="inlineStr">
        <is>
          <t>I</t>
        </is>
      </c>
      <c r="C4884" s="12" t="inlineStr">
        <is>
          <t>Modular / portable power</t>
        </is>
      </c>
      <c r="D4884" s="12" t="inlineStr">
        <is>
          <t>RTD to JB JB-RICE-3-RTD01: 10 x 1 tri (field cables)</t>
        </is>
      </c>
      <c r="E4884" s="12" t="inlineStr">
        <is>
          <t>RICE-3</t>
        </is>
      </c>
      <c r="F4884" s="12" t="inlineStr">
        <is>
          <t>RICE engine-generator 3</t>
        </is>
      </c>
      <c r="G4884" s="12" t="inlineStr">
        <is>
          <t>JB-RICE-3-RTD01</t>
        </is>
      </c>
      <c r="H4884" s="12" t="inlineStr">
        <is>
          <t>RICE engine-generator 3</t>
        </is>
      </c>
      <c r="I4884" s="12" t="inlineStr">
        <is>
          <t>Instrumentation</t>
        </is>
      </c>
      <c r="J4884" s="12" t="inlineStr">
        <is>
          <t>RTD cable, #18 shielded triads, PLTC</t>
        </is>
      </c>
      <c r="K4884" s="12" t="inlineStr">
        <is>
          <t>RTD|1 tri|18</t>
        </is>
      </c>
      <c r="L4884" s="12" t="inlineStr">
        <is>
          <t>1 tri</t>
        </is>
      </c>
      <c r="M4884" s="12" t="inlineStr">
        <is>
          <t>18</t>
        </is>
      </c>
      <c r="N4884" s="12" t="n">
        <v>10</v>
      </c>
      <c r="O4884" s="12" t="n">
        <v>1</v>
      </c>
      <c r="P4884" s="12" t="n"/>
      <c r="Q4884" s="12" t="n"/>
      <c r="R4884" s="12" t="n"/>
      <c r="S4884" s="12" t="inlineStr">
        <is>
          <t>Tray / conduit</t>
        </is>
      </c>
      <c r="T4884" s="15" t="n">
        <v>72</v>
      </c>
      <c r="U4884" s="15" t="n">
        <v>10</v>
      </c>
      <c r="V4884" s="15">
        <f>ROUNDUP((T4884+U4884+2*'Read Me'!$B$13)*(1+'Read Me'!$B$12),-1)</f>
        <v/>
      </c>
      <c r="W4884" s="15">
        <f>V4884*N4884*O4884</f>
        <v/>
      </c>
      <c r="X4884" s="12">
        <f>IF(LEFT(I4884,2)="MV",2*N4884*IF(L4884="1/C",O4884,1),0)</f>
        <v/>
      </c>
      <c r="Y4884" s="12">
        <f>IF(OR(LEFT(K4884,4)="LVAX",LEFT(K4884,6)="MV15AX",LEFT(K4884,4)="CTAX",LEFT(K4884,2)="W|"),2*N4884*O4884,0)</f>
        <v/>
      </c>
      <c r="Z4884" s="12" t="inlineStr">
        <is>
          <t>device-to-JB field wiring, one cable per device</t>
        </is>
      </c>
      <c r="AA4884" s="12">
        <f>N4884*O4884</f>
        <v/>
      </c>
    </row>
    <row r="4885">
      <c r="A4885" s="12" t="inlineStr">
        <is>
          <t>I-I-0282</t>
        </is>
      </c>
      <c r="B4885" s="12" t="inlineStr">
        <is>
          <t>I</t>
        </is>
      </c>
      <c r="C4885" s="12" t="inlineStr">
        <is>
          <t>Modular / portable power</t>
        </is>
      </c>
      <c r="D4885" s="12" t="inlineStr">
        <is>
          <t>Home run JB-RICE-3-RTD01 to the control / marshalling room</t>
        </is>
      </c>
      <c r="E4885" s="12" t="inlineStr"/>
      <c r="F4885" s="12" t="inlineStr">
        <is>
          <t>PCM: power control module</t>
        </is>
      </c>
      <c r="G4885" s="12" t="inlineStr">
        <is>
          <t>JB-RICE-3-RTD01</t>
        </is>
      </c>
      <c r="H4885" s="12" t="inlineStr">
        <is>
          <t>RICE engine-generator 3</t>
        </is>
      </c>
      <c r="I4885" s="12" t="inlineStr">
        <is>
          <t>Instrumentation</t>
        </is>
      </c>
      <c r="J4885" s="12" t="inlineStr">
        <is>
          <t>RTD cable, #18 shielded triads, PLTC</t>
        </is>
      </c>
      <c r="K4885" s="12" t="inlineStr">
        <is>
          <t>RTD|12 tri|18</t>
        </is>
      </c>
      <c r="L4885" s="12" t="inlineStr">
        <is>
          <t>12 tri</t>
        </is>
      </c>
      <c r="M4885" s="12" t="inlineStr">
        <is>
          <t>18</t>
        </is>
      </c>
      <c r="N4885" s="12" t="n">
        <v>1</v>
      </c>
      <c r="O4885" s="12" t="n">
        <v>1</v>
      </c>
      <c r="P4885" s="12" t="n"/>
      <c r="Q4885" s="12" t="n"/>
      <c r="R4885" s="12" t="n"/>
      <c r="S4885" s="12" t="inlineStr">
        <is>
          <t>Duct bank</t>
        </is>
      </c>
      <c r="T4885" s="15" t="n">
        <v>516</v>
      </c>
      <c r="U4885" s="15" t="n">
        <v>81</v>
      </c>
      <c r="V4885" s="15">
        <f>ROUNDUP((T4885+U4885+2*'Read Me'!$B$13)*(1+'Read Me'!$B$12),-1)</f>
        <v/>
      </c>
      <c r="W4885" s="15">
        <f>V4885*N4885*O4885</f>
        <v/>
      </c>
      <c r="X4885" s="12">
        <f>IF(LEFT(I4885,2)="MV",2*N4885*IF(L4885="1/C",O4885,1),0)</f>
        <v/>
      </c>
      <c r="Y4885" s="12">
        <f>IF(OR(LEFT(K4885,4)="LVAX",LEFT(K4885,6)="MV15AX",LEFT(K4885,4)="CTAX",LEFT(K4885,2)="W|"),2*N4885*O4885,0)</f>
        <v/>
      </c>
      <c r="Z4885" s="12" t="inlineStr"/>
      <c r="AA4885" s="12">
        <f>N4885*O4885</f>
        <v/>
      </c>
    </row>
    <row r="4886">
      <c r="A4886" s="12" t="inlineStr">
        <is>
          <t>I-I-0283</t>
        </is>
      </c>
      <c r="B4886" s="12" t="inlineStr">
        <is>
          <t>I</t>
        </is>
      </c>
      <c r="C4886" s="12" t="inlineStr">
        <is>
          <t>Modular / portable power</t>
        </is>
      </c>
      <c r="D4886" s="12" t="inlineStr">
        <is>
          <t>RTD to JB JB-RICE-3-RTD02: 2 x 1 tri (field cables)</t>
        </is>
      </c>
      <c r="E4886" s="12" t="inlineStr">
        <is>
          <t>RICE-3</t>
        </is>
      </c>
      <c r="F4886" s="12" t="inlineStr">
        <is>
          <t>RICE engine-generator 3</t>
        </is>
      </c>
      <c r="G4886" s="12" t="inlineStr">
        <is>
          <t>JB-RICE-3-RTD02</t>
        </is>
      </c>
      <c r="H4886" s="12" t="inlineStr">
        <is>
          <t>RICE engine-generator 3</t>
        </is>
      </c>
      <c r="I4886" s="12" t="inlineStr">
        <is>
          <t>Instrumentation</t>
        </is>
      </c>
      <c r="J4886" s="12" t="inlineStr">
        <is>
          <t>RTD cable, #18 shielded triads, PLTC</t>
        </is>
      </c>
      <c r="K4886" s="12" t="inlineStr">
        <is>
          <t>RTD|1 tri|18</t>
        </is>
      </c>
      <c r="L4886" s="12" t="inlineStr">
        <is>
          <t>1 tri</t>
        </is>
      </c>
      <c r="M4886" s="12" t="inlineStr">
        <is>
          <t>18</t>
        </is>
      </c>
      <c r="N4886" s="12" t="n">
        <v>2</v>
      </c>
      <c r="O4886" s="12" t="n">
        <v>1</v>
      </c>
      <c r="P4886" s="12" t="n"/>
      <c r="Q4886" s="12" t="n"/>
      <c r="R4886" s="12" t="n"/>
      <c r="S4886" s="12" t="inlineStr">
        <is>
          <t>Tray / conduit</t>
        </is>
      </c>
      <c r="T4886" s="15" t="n">
        <v>72</v>
      </c>
      <c r="U4886" s="15" t="n">
        <v>10</v>
      </c>
      <c r="V4886" s="15">
        <f>ROUNDUP((T4886+U4886+2*'Read Me'!$B$13)*(1+'Read Me'!$B$12),-1)</f>
        <v/>
      </c>
      <c r="W4886" s="15">
        <f>V4886*N4886*O4886</f>
        <v/>
      </c>
      <c r="X4886" s="12">
        <f>IF(LEFT(I4886,2)="MV",2*N4886*IF(L4886="1/C",O4886,1),0)</f>
        <v/>
      </c>
      <c r="Y4886" s="12">
        <f>IF(OR(LEFT(K4886,4)="LVAX",LEFT(K4886,6)="MV15AX",LEFT(K4886,4)="CTAX",LEFT(K4886,2)="W|"),2*N4886*O4886,0)</f>
        <v/>
      </c>
      <c r="Z4886" s="12" t="inlineStr">
        <is>
          <t>device-to-JB field wiring, one cable per device</t>
        </is>
      </c>
      <c r="AA4886" s="12">
        <f>N4886*O4886</f>
        <v/>
      </c>
    </row>
    <row r="4887">
      <c r="A4887" s="12" t="inlineStr">
        <is>
          <t>I-I-0284</t>
        </is>
      </c>
      <c r="B4887" s="12" t="inlineStr">
        <is>
          <t>I</t>
        </is>
      </c>
      <c r="C4887" s="12" t="inlineStr">
        <is>
          <t>Modular / portable power</t>
        </is>
      </c>
      <c r="D4887" s="12" t="inlineStr">
        <is>
          <t>Home run JB-RICE-3-RTD02 to the control / marshalling room</t>
        </is>
      </c>
      <c r="E4887" s="12" t="inlineStr"/>
      <c r="F4887" s="12" t="inlineStr">
        <is>
          <t>PCM: power control module</t>
        </is>
      </c>
      <c r="G4887" s="12" t="inlineStr">
        <is>
          <t>JB-RICE-3-RTD02</t>
        </is>
      </c>
      <c r="H4887" s="12" t="inlineStr">
        <is>
          <t>RICE engine-generator 3</t>
        </is>
      </c>
      <c r="I4887" s="12" t="inlineStr">
        <is>
          <t>Instrumentation</t>
        </is>
      </c>
      <c r="J4887" s="12" t="inlineStr">
        <is>
          <t>RTD cable, #18 shielded triads, PLTC</t>
        </is>
      </c>
      <c r="K4887" s="12" t="inlineStr">
        <is>
          <t>RTD|12 tri|18</t>
        </is>
      </c>
      <c r="L4887" s="12" t="inlineStr">
        <is>
          <t>12 tri</t>
        </is>
      </c>
      <c r="M4887" s="12" t="inlineStr">
        <is>
          <t>18</t>
        </is>
      </c>
      <c r="N4887" s="12" t="n">
        <v>1</v>
      </c>
      <c r="O4887" s="12" t="n">
        <v>1</v>
      </c>
      <c r="P4887" s="12" t="n"/>
      <c r="Q4887" s="12" t="n"/>
      <c r="R4887" s="12" t="n"/>
      <c r="S4887" s="12" t="inlineStr">
        <is>
          <t>Duct bank</t>
        </is>
      </c>
      <c r="T4887" s="15" t="n">
        <v>516</v>
      </c>
      <c r="U4887" s="15" t="n">
        <v>81</v>
      </c>
      <c r="V4887" s="15">
        <f>ROUNDUP((T4887+U4887+2*'Read Me'!$B$13)*(1+'Read Me'!$B$12),-1)</f>
        <v/>
      </c>
      <c r="W4887" s="15">
        <f>V4887*N4887*O4887</f>
        <v/>
      </c>
      <c r="X4887" s="12">
        <f>IF(LEFT(I4887,2)="MV",2*N4887*IF(L4887="1/C",O4887,1),0)</f>
        <v/>
      </c>
      <c r="Y4887" s="12">
        <f>IF(OR(LEFT(K4887,4)="LVAX",LEFT(K4887,6)="MV15AX",LEFT(K4887,4)="CTAX",LEFT(K4887,2)="W|"),2*N4887*O4887,0)</f>
        <v/>
      </c>
      <c r="Z4887" s="12" t="inlineStr"/>
      <c r="AA4887" s="12">
        <f>N4887*O4887</f>
        <v/>
      </c>
    </row>
    <row r="4888">
      <c r="A4888" s="12" t="inlineStr">
        <is>
          <t>I-I-0285</t>
        </is>
      </c>
      <c r="B4888" s="12" t="inlineStr">
        <is>
          <t>I</t>
        </is>
      </c>
      <c r="C4888" s="12" t="inlineStr">
        <is>
          <t>Modular / portable power</t>
        </is>
      </c>
      <c r="D4888" s="12" t="inlineStr">
        <is>
          <t>Analog instrument to JB JB-RICE-4-AI01: 20 x 1 pr (field cables)</t>
        </is>
      </c>
      <c r="E4888" s="12" t="inlineStr">
        <is>
          <t>RICE-4</t>
        </is>
      </c>
      <c r="F4888" s="12" t="inlineStr">
        <is>
          <t>RICE engine-generator 4</t>
        </is>
      </c>
      <c r="G4888" s="12" t="inlineStr">
        <is>
          <t>JB-RICE-4-AI01</t>
        </is>
      </c>
      <c r="H4888" s="12" t="inlineStr">
        <is>
          <t>RICE engine-generator 4</t>
        </is>
      </c>
      <c r="I4888" s="12" t="inlineStr">
        <is>
          <t>Instrumentation</t>
        </is>
      </c>
      <c r="J4888" s="12" t="inlineStr">
        <is>
          <t>Instrumentation PLTC / TC-ER 300 V, #18 twisted shielded pairs, overall shield</t>
        </is>
      </c>
      <c r="K4888" s="12" t="inlineStr">
        <is>
          <t>PLTC|1 pr|16</t>
        </is>
      </c>
      <c r="L4888" s="12" t="inlineStr">
        <is>
          <t>1 pr</t>
        </is>
      </c>
      <c r="M4888" s="12" t="inlineStr">
        <is>
          <t>16</t>
        </is>
      </c>
      <c r="N4888" s="12" t="n">
        <v>20</v>
      </c>
      <c r="O4888" s="12" t="n">
        <v>1</v>
      </c>
      <c r="P4888" s="12" t="n"/>
      <c r="Q4888" s="12" t="n"/>
      <c r="R4888" s="12" t="n"/>
      <c r="S4888" s="12" t="inlineStr">
        <is>
          <t>Tray / conduit</t>
        </is>
      </c>
      <c r="T4888" s="15" t="n">
        <v>72</v>
      </c>
      <c r="U4888" s="15" t="n">
        <v>10</v>
      </c>
      <c r="V4888" s="15">
        <f>ROUNDUP((T4888+U4888+2*'Read Me'!$B$13)*(1+'Read Me'!$B$12),-1)</f>
        <v/>
      </c>
      <c r="W4888" s="15">
        <f>V4888*N4888*O4888</f>
        <v/>
      </c>
      <c r="X4888" s="12">
        <f>IF(LEFT(I4888,2)="MV",2*N4888*IF(L4888="1/C",O4888,1),0)</f>
        <v/>
      </c>
      <c r="Y4888" s="12">
        <f>IF(OR(LEFT(K4888,4)="LVAX",LEFT(K4888,6)="MV15AX",LEFT(K4888,4)="CTAX",LEFT(K4888,2)="W|"),2*N4888*O4888,0)</f>
        <v/>
      </c>
      <c r="Z4888" s="12" t="inlineStr">
        <is>
          <t>device-to-JB field wiring, one cable per device</t>
        </is>
      </c>
      <c r="AA4888" s="12">
        <f>N4888*O4888</f>
        <v/>
      </c>
    </row>
    <row r="4889">
      <c r="A4889" s="12" t="inlineStr">
        <is>
          <t>I-I-0286</t>
        </is>
      </c>
      <c r="B4889" s="12" t="inlineStr">
        <is>
          <t>I</t>
        </is>
      </c>
      <c r="C4889" s="12" t="inlineStr">
        <is>
          <t>Modular / portable power</t>
        </is>
      </c>
      <c r="D4889" s="12" t="inlineStr">
        <is>
          <t>Home run JB-RICE-4-AI01 to the control / marshalling room</t>
        </is>
      </c>
      <c r="E4889" s="12" t="inlineStr"/>
      <c r="F4889" s="12" t="inlineStr">
        <is>
          <t>PCM: power control module</t>
        </is>
      </c>
      <c r="G4889" s="12" t="inlineStr">
        <is>
          <t>JB-RICE-4-AI01</t>
        </is>
      </c>
      <c r="H4889" s="12" t="inlineStr">
        <is>
          <t>RICE engine-generator 4</t>
        </is>
      </c>
      <c r="I4889" s="12" t="inlineStr">
        <is>
          <t>Instrumentation</t>
        </is>
      </c>
      <c r="J4889" s="12" t="inlineStr">
        <is>
          <t>Instrumentation PLTC / TC-ER 300 V, #18 twisted shielded pairs, overall shield</t>
        </is>
      </c>
      <c r="K4889" s="12" t="inlineStr">
        <is>
          <t>PLTC|24 pr|18</t>
        </is>
      </c>
      <c r="L4889" s="12" t="inlineStr">
        <is>
          <t>24 pr</t>
        </is>
      </c>
      <c r="M4889" s="12" t="inlineStr">
        <is>
          <t>18</t>
        </is>
      </c>
      <c r="N4889" s="12" t="n">
        <v>1</v>
      </c>
      <c r="O4889" s="12" t="n">
        <v>1</v>
      </c>
      <c r="P4889" s="12" t="n"/>
      <c r="Q4889" s="12" t="n"/>
      <c r="R4889" s="12" t="n"/>
      <c r="S4889" s="12" t="inlineStr">
        <is>
          <t>Duct bank</t>
        </is>
      </c>
      <c r="T4889" s="15" t="n">
        <v>516</v>
      </c>
      <c r="U4889" s="15" t="n">
        <v>53</v>
      </c>
      <c r="V4889" s="15">
        <f>ROUNDUP((T4889+U4889+2*'Read Me'!$B$13)*(1+'Read Me'!$B$12),-1)</f>
        <v/>
      </c>
      <c r="W4889" s="15">
        <f>V4889*N4889*O4889</f>
        <v/>
      </c>
      <c r="X4889" s="12">
        <f>IF(LEFT(I4889,2)="MV",2*N4889*IF(L4889="1/C",O4889,1),0)</f>
        <v/>
      </c>
      <c r="Y4889" s="12">
        <f>IF(OR(LEFT(K4889,4)="LVAX",LEFT(K4889,6)="MV15AX",LEFT(K4889,4)="CTAX",LEFT(K4889,2)="W|"),2*N4889*O4889,0)</f>
        <v/>
      </c>
      <c r="Z4889" s="12" t="inlineStr"/>
      <c r="AA4889" s="12">
        <f>N4889*O4889</f>
        <v/>
      </c>
    </row>
    <row r="4890">
      <c r="A4890" s="12" t="inlineStr">
        <is>
          <t>I-I-0287</t>
        </is>
      </c>
      <c r="B4890" s="12" t="inlineStr">
        <is>
          <t>I</t>
        </is>
      </c>
      <c r="C4890" s="12" t="inlineStr">
        <is>
          <t>Modular / portable power</t>
        </is>
      </c>
      <c r="D4890" s="12" t="inlineStr">
        <is>
          <t>Analog instrument to JB JB-RICE-4-AI02: 20 x 1 pr (field cables)</t>
        </is>
      </c>
      <c r="E4890" s="12" t="inlineStr">
        <is>
          <t>RICE-4</t>
        </is>
      </c>
      <c r="F4890" s="12" t="inlineStr">
        <is>
          <t>RICE engine-generator 4</t>
        </is>
      </c>
      <c r="G4890" s="12" t="inlineStr">
        <is>
          <t>JB-RICE-4-AI02</t>
        </is>
      </c>
      <c r="H4890" s="12" t="inlineStr">
        <is>
          <t>RICE engine-generator 4</t>
        </is>
      </c>
      <c r="I4890" s="12" t="inlineStr">
        <is>
          <t>Instrumentation</t>
        </is>
      </c>
      <c r="J4890" s="12" t="inlineStr">
        <is>
          <t>Instrumentation PLTC / TC-ER 300 V, #18 twisted shielded pairs, overall shield</t>
        </is>
      </c>
      <c r="K4890" s="12" t="inlineStr">
        <is>
          <t>PLTC|1 pr|16</t>
        </is>
      </c>
      <c r="L4890" s="12" t="inlineStr">
        <is>
          <t>1 pr</t>
        </is>
      </c>
      <c r="M4890" s="12" t="inlineStr">
        <is>
          <t>16</t>
        </is>
      </c>
      <c r="N4890" s="12" t="n">
        <v>20</v>
      </c>
      <c r="O4890" s="12" t="n">
        <v>1</v>
      </c>
      <c r="P4890" s="12" t="n"/>
      <c r="Q4890" s="12" t="n"/>
      <c r="R4890" s="12" t="n"/>
      <c r="S4890" s="12" t="inlineStr">
        <is>
          <t>Tray / conduit</t>
        </is>
      </c>
      <c r="T4890" s="15" t="n">
        <v>72</v>
      </c>
      <c r="U4890" s="15" t="n">
        <v>10</v>
      </c>
      <c r="V4890" s="15">
        <f>ROUNDUP((T4890+U4890+2*'Read Me'!$B$13)*(1+'Read Me'!$B$12),-1)</f>
        <v/>
      </c>
      <c r="W4890" s="15">
        <f>V4890*N4890*O4890</f>
        <v/>
      </c>
      <c r="X4890" s="12">
        <f>IF(LEFT(I4890,2)="MV",2*N4890*IF(L4890="1/C",O4890,1),0)</f>
        <v/>
      </c>
      <c r="Y4890" s="12">
        <f>IF(OR(LEFT(K4890,4)="LVAX",LEFT(K4890,6)="MV15AX",LEFT(K4890,4)="CTAX",LEFT(K4890,2)="W|"),2*N4890*O4890,0)</f>
        <v/>
      </c>
      <c r="Z4890" s="12" t="inlineStr">
        <is>
          <t>device-to-JB field wiring, one cable per device</t>
        </is>
      </c>
      <c r="AA4890" s="12">
        <f>N4890*O4890</f>
        <v/>
      </c>
    </row>
    <row r="4891">
      <c r="A4891" s="12" t="inlineStr">
        <is>
          <t>I-I-0288</t>
        </is>
      </c>
      <c r="B4891" s="12" t="inlineStr">
        <is>
          <t>I</t>
        </is>
      </c>
      <c r="C4891" s="12" t="inlineStr">
        <is>
          <t>Modular / portable power</t>
        </is>
      </c>
      <c r="D4891" s="12" t="inlineStr">
        <is>
          <t>Home run JB-RICE-4-AI02 to the control / marshalling room</t>
        </is>
      </c>
      <c r="E4891" s="12" t="inlineStr"/>
      <c r="F4891" s="12" t="inlineStr">
        <is>
          <t>PCM: power control module</t>
        </is>
      </c>
      <c r="G4891" s="12" t="inlineStr">
        <is>
          <t>JB-RICE-4-AI02</t>
        </is>
      </c>
      <c r="H4891" s="12" t="inlineStr">
        <is>
          <t>RICE engine-generator 4</t>
        </is>
      </c>
      <c r="I4891" s="12" t="inlineStr">
        <is>
          <t>Instrumentation</t>
        </is>
      </c>
      <c r="J4891" s="12" t="inlineStr">
        <is>
          <t>Instrumentation PLTC / TC-ER 300 V, #18 twisted shielded pairs, overall shield</t>
        </is>
      </c>
      <c r="K4891" s="12" t="inlineStr">
        <is>
          <t>PLTC|24 pr|18</t>
        </is>
      </c>
      <c r="L4891" s="12" t="inlineStr">
        <is>
          <t>24 pr</t>
        </is>
      </c>
      <c r="M4891" s="12" t="inlineStr">
        <is>
          <t>18</t>
        </is>
      </c>
      <c r="N4891" s="12" t="n">
        <v>1</v>
      </c>
      <c r="O4891" s="12" t="n">
        <v>1</v>
      </c>
      <c r="P4891" s="12" t="n"/>
      <c r="Q4891" s="12" t="n"/>
      <c r="R4891" s="12" t="n"/>
      <c r="S4891" s="12" t="inlineStr">
        <is>
          <t>Duct bank</t>
        </is>
      </c>
      <c r="T4891" s="15" t="n">
        <v>516</v>
      </c>
      <c r="U4891" s="15" t="n">
        <v>53</v>
      </c>
      <c r="V4891" s="15">
        <f>ROUNDUP((T4891+U4891+2*'Read Me'!$B$13)*(1+'Read Me'!$B$12),-1)</f>
        <v/>
      </c>
      <c r="W4891" s="15">
        <f>V4891*N4891*O4891</f>
        <v/>
      </c>
      <c r="X4891" s="12">
        <f>IF(LEFT(I4891,2)="MV",2*N4891*IF(L4891="1/C",O4891,1),0)</f>
        <v/>
      </c>
      <c r="Y4891" s="12">
        <f>IF(OR(LEFT(K4891,4)="LVAX",LEFT(K4891,6)="MV15AX",LEFT(K4891,4)="CTAX",LEFT(K4891,2)="W|"),2*N4891*O4891,0)</f>
        <v/>
      </c>
      <c r="Z4891" s="12" t="inlineStr"/>
      <c r="AA4891" s="12">
        <f>N4891*O4891</f>
        <v/>
      </c>
    </row>
    <row r="4892">
      <c r="A4892" s="12" t="inlineStr">
        <is>
          <t>I-I-0289</t>
        </is>
      </c>
      <c r="B4892" s="12" t="inlineStr">
        <is>
          <t>I</t>
        </is>
      </c>
      <c r="C4892" s="12" t="inlineStr">
        <is>
          <t>Modular / portable power</t>
        </is>
      </c>
      <c r="D4892" s="12" t="inlineStr">
        <is>
          <t>Analog instrument to JB JB-RICE-4-AI03: 20 x 1 pr (field cables)</t>
        </is>
      </c>
      <c r="E4892" s="12" t="inlineStr">
        <is>
          <t>RICE-4</t>
        </is>
      </c>
      <c r="F4892" s="12" t="inlineStr">
        <is>
          <t>RICE engine-generator 4</t>
        </is>
      </c>
      <c r="G4892" s="12" t="inlineStr">
        <is>
          <t>JB-RICE-4-AI03</t>
        </is>
      </c>
      <c r="H4892" s="12" t="inlineStr">
        <is>
          <t>RICE engine-generator 4</t>
        </is>
      </c>
      <c r="I4892" s="12" t="inlineStr">
        <is>
          <t>Instrumentation</t>
        </is>
      </c>
      <c r="J4892" s="12" t="inlineStr">
        <is>
          <t>Instrumentation PLTC / TC-ER 300 V, #18 twisted shielded pairs, overall shield</t>
        </is>
      </c>
      <c r="K4892" s="12" t="inlineStr">
        <is>
          <t>PLTC|1 pr|16</t>
        </is>
      </c>
      <c r="L4892" s="12" t="inlineStr">
        <is>
          <t>1 pr</t>
        </is>
      </c>
      <c r="M4892" s="12" t="inlineStr">
        <is>
          <t>16</t>
        </is>
      </c>
      <c r="N4892" s="12" t="n">
        <v>20</v>
      </c>
      <c r="O4892" s="12" t="n">
        <v>1</v>
      </c>
      <c r="P4892" s="12" t="n"/>
      <c r="Q4892" s="12" t="n"/>
      <c r="R4892" s="12" t="n"/>
      <c r="S4892" s="12" t="inlineStr">
        <is>
          <t>Tray / conduit</t>
        </is>
      </c>
      <c r="T4892" s="15" t="n">
        <v>72</v>
      </c>
      <c r="U4892" s="15" t="n">
        <v>10</v>
      </c>
      <c r="V4892" s="15">
        <f>ROUNDUP((T4892+U4892+2*'Read Me'!$B$13)*(1+'Read Me'!$B$12),-1)</f>
        <v/>
      </c>
      <c r="W4892" s="15">
        <f>V4892*N4892*O4892</f>
        <v/>
      </c>
      <c r="X4892" s="12">
        <f>IF(LEFT(I4892,2)="MV",2*N4892*IF(L4892="1/C",O4892,1),0)</f>
        <v/>
      </c>
      <c r="Y4892" s="12">
        <f>IF(OR(LEFT(K4892,4)="LVAX",LEFT(K4892,6)="MV15AX",LEFT(K4892,4)="CTAX",LEFT(K4892,2)="W|"),2*N4892*O4892,0)</f>
        <v/>
      </c>
      <c r="Z4892" s="12" t="inlineStr">
        <is>
          <t>device-to-JB field wiring, one cable per device</t>
        </is>
      </c>
      <c r="AA4892" s="12">
        <f>N4892*O4892</f>
        <v/>
      </c>
    </row>
    <row r="4893">
      <c r="A4893" s="12" t="inlineStr">
        <is>
          <t>I-I-0290</t>
        </is>
      </c>
      <c r="B4893" s="12" t="inlineStr">
        <is>
          <t>I</t>
        </is>
      </c>
      <c r="C4893" s="12" t="inlineStr">
        <is>
          <t>Modular / portable power</t>
        </is>
      </c>
      <c r="D4893" s="12" t="inlineStr">
        <is>
          <t>Home run JB-RICE-4-AI03 to the control / marshalling room</t>
        </is>
      </c>
      <c r="E4893" s="12" t="inlineStr"/>
      <c r="F4893" s="12" t="inlineStr">
        <is>
          <t>PCM: power control module</t>
        </is>
      </c>
      <c r="G4893" s="12" t="inlineStr">
        <is>
          <t>JB-RICE-4-AI03</t>
        </is>
      </c>
      <c r="H4893" s="12" t="inlineStr">
        <is>
          <t>RICE engine-generator 4</t>
        </is>
      </c>
      <c r="I4893" s="12" t="inlineStr">
        <is>
          <t>Instrumentation</t>
        </is>
      </c>
      <c r="J4893" s="12" t="inlineStr">
        <is>
          <t>Instrumentation PLTC / TC-ER 300 V, #18 twisted shielded pairs, overall shield</t>
        </is>
      </c>
      <c r="K4893" s="12" t="inlineStr">
        <is>
          <t>PLTC|24 pr|18</t>
        </is>
      </c>
      <c r="L4893" s="12" t="inlineStr">
        <is>
          <t>24 pr</t>
        </is>
      </c>
      <c r="M4893" s="12" t="inlineStr">
        <is>
          <t>18</t>
        </is>
      </c>
      <c r="N4893" s="12" t="n">
        <v>1</v>
      </c>
      <c r="O4893" s="12" t="n">
        <v>1</v>
      </c>
      <c r="P4893" s="12" t="n"/>
      <c r="Q4893" s="12" t="n"/>
      <c r="R4893" s="12" t="n"/>
      <c r="S4893" s="12" t="inlineStr">
        <is>
          <t>Duct bank</t>
        </is>
      </c>
      <c r="T4893" s="15" t="n">
        <v>516</v>
      </c>
      <c r="U4893" s="15" t="n">
        <v>53</v>
      </c>
      <c r="V4893" s="15">
        <f>ROUNDUP((T4893+U4893+2*'Read Me'!$B$13)*(1+'Read Me'!$B$12),-1)</f>
        <v/>
      </c>
      <c r="W4893" s="15">
        <f>V4893*N4893*O4893</f>
        <v/>
      </c>
      <c r="X4893" s="12">
        <f>IF(LEFT(I4893,2)="MV",2*N4893*IF(L4893="1/C",O4893,1),0)</f>
        <v/>
      </c>
      <c r="Y4893" s="12">
        <f>IF(OR(LEFT(K4893,4)="LVAX",LEFT(K4893,6)="MV15AX",LEFT(K4893,4)="CTAX",LEFT(K4893,2)="W|"),2*N4893*O4893,0)</f>
        <v/>
      </c>
      <c r="Z4893" s="12" t="inlineStr"/>
      <c r="AA4893" s="12">
        <f>N4893*O4893</f>
        <v/>
      </c>
    </row>
    <row r="4894">
      <c r="A4894" s="12" t="inlineStr">
        <is>
          <t>I-I-0291</t>
        </is>
      </c>
      <c r="B4894" s="12" t="inlineStr">
        <is>
          <t>I</t>
        </is>
      </c>
      <c r="C4894" s="12" t="inlineStr">
        <is>
          <t>Modular / portable power</t>
        </is>
      </c>
      <c r="D4894" s="12" t="inlineStr">
        <is>
          <t>Analog instrument to JB JB-RICE-4-AI04: 20 x 1 pr (field cables)</t>
        </is>
      </c>
      <c r="E4894" s="12" t="inlineStr">
        <is>
          <t>RICE-4</t>
        </is>
      </c>
      <c r="F4894" s="12" t="inlineStr">
        <is>
          <t>RICE engine-generator 4</t>
        </is>
      </c>
      <c r="G4894" s="12" t="inlineStr">
        <is>
          <t>JB-RICE-4-AI04</t>
        </is>
      </c>
      <c r="H4894" s="12" t="inlineStr">
        <is>
          <t>RICE engine-generator 4</t>
        </is>
      </c>
      <c r="I4894" s="12" t="inlineStr">
        <is>
          <t>Instrumentation</t>
        </is>
      </c>
      <c r="J4894" s="12" t="inlineStr">
        <is>
          <t>Instrumentation PLTC / TC-ER 300 V, #18 twisted shielded pairs, overall shield</t>
        </is>
      </c>
      <c r="K4894" s="12" t="inlineStr">
        <is>
          <t>PLTC|1 pr|16</t>
        </is>
      </c>
      <c r="L4894" s="12" t="inlineStr">
        <is>
          <t>1 pr</t>
        </is>
      </c>
      <c r="M4894" s="12" t="inlineStr">
        <is>
          <t>16</t>
        </is>
      </c>
      <c r="N4894" s="12" t="n">
        <v>20</v>
      </c>
      <c r="O4894" s="12" t="n">
        <v>1</v>
      </c>
      <c r="P4894" s="12" t="n"/>
      <c r="Q4894" s="12" t="n"/>
      <c r="R4894" s="12" t="n"/>
      <c r="S4894" s="12" t="inlineStr">
        <is>
          <t>Tray / conduit</t>
        </is>
      </c>
      <c r="T4894" s="15" t="n">
        <v>72</v>
      </c>
      <c r="U4894" s="15" t="n">
        <v>10</v>
      </c>
      <c r="V4894" s="15">
        <f>ROUNDUP((T4894+U4894+2*'Read Me'!$B$13)*(1+'Read Me'!$B$12),-1)</f>
        <v/>
      </c>
      <c r="W4894" s="15">
        <f>V4894*N4894*O4894</f>
        <v/>
      </c>
      <c r="X4894" s="12">
        <f>IF(LEFT(I4894,2)="MV",2*N4894*IF(L4894="1/C",O4894,1),0)</f>
        <v/>
      </c>
      <c r="Y4894" s="12">
        <f>IF(OR(LEFT(K4894,4)="LVAX",LEFT(K4894,6)="MV15AX",LEFT(K4894,4)="CTAX",LEFT(K4894,2)="W|"),2*N4894*O4894,0)</f>
        <v/>
      </c>
      <c r="Z4894" s="12" t="inlineStr">
        <is>
          <t>device-to-JB field wiring, one cable per device</t>
        </is>
      </c>
      <c r="AA4894" s="12">
        <f>N4894*O4894</f>
        <v/>
      </c>
    </row>
    <row r="4895">
      <c r="A4895" s="12" t="inlineStr">
        <is>
          <t>I-I-0292</t>
        </is>
      </c>
      <c r="B4895" s="12" t="inlineStr">
        <is>
          <t>I</t>
        </is>
      </c>
      <c r="C4895" s="12" t="inlineStr">
        <is>
          <t>Modular / portable power</t>
        </is>
      </c>
      <c r="D4895" s="12" t="inlineStr">
        <is>
          <t>Home run JB-RICE-4-AI04 to the control / marshalling room</t>
        </is>
      </c>
      <c r="E4895" s="12" t="inlineStr"/>
      <c r="F4895" s="12" t="inlineStr">
        <is>
          <t>PCM: power control module</t>
        </is>
      </c>
      <c r="G4895" s="12" t="inlineStr">
        <is>
          <t>JB-RICE-4-AI04</t>
        </is>
      </c>
      <c r="H4895" s="12" t="inlineStr">
        <is>
          <t>RICE engine-generator 4</t>
        </is>
      </c>
      <c r="I4895" s="12" t="inlineStr">
        <is>
          <t>Instrumentation</t>
        </is>
      </c>
      <c r="J4895" s="12" t="inlineStr">
        <is>
          <t>Instrumentation PLTC / TC-ER 300 V, #18 twisted shielded pairs, overall shield</t>
        </is>
      </c>
      <c r="K4895" s="12" t="inlineStr">
        <is>
          <t>PLTC|24 pr|18</t>
        </is>
      </c>
      <c r="L4895" s="12" t="inlineStr">
        <is>
          <t>24 pr</t>
        </is>
      </c>
      <c r="M4895" s="12" t="inlineStr">
        <is>
          <t>18</t>
        </is>
      </c>
      <c r="N4895" s="12" t="n">
        <v>1</v>
      </c>
      <c r="O4895" s="12" t="n">
        <v>1</v>
      </c>
      <c r="P4895" s="12" t="n"/>
      <c r="Q4895" s="12" t="n"/>
      <c r="R4895" s="12" t="n"/>
      <c r="S4895" s="12" t="inlineStr">
        <is>
          <t>Duct bank</t>
        </is>
      </c>
      <c r="T4895" s="15" t="n">
        <v>516</v>
      </c>
      <c r="U4895" s="15" t="n">
        <v>53</v>
      </c>
      <c r="V4895" s="15">
        <f>ROUNDUP((T4895+U4895+2*'Read Me'!$B$13)*(1+'Read Me'!$B$12),-1)</f>
        <v/>
      </c>
      <c r="W4895" s="15">
        <f>V4895*N4895*O4895</f>
        <v/>
      </c>
      <c r="X4895" s="12">
        <f>IF(LEFT(I4895,2)="MV",2*N4895*IF(L4895="1/C",O4895,1),0)</f>
        <v/>
      </c>
      <c r="Y4895" s="12">
        <f>IF(OR(LEFT(K4895,4)="LVAX",LEFT(K4895,6)="MV15AX",LEFT(K4895,4)="CTAX",LEFT(K4895,2)="W|"),2*N4895*O4895,0)</f>
        <v/>
      </c>
      <c r="Z4895" s="12" t="inlineStr"/>
      <c r="AA4895" s="12">
        <f>N4895*O4895</f>
        <v/>
      </c>
    </row>
    <row r="4896">
      <c r="A4896" s="12" t="inlineStr">
        <is>
          <t>I-I-0293</t>
        </is>
      </c>
      <c r="B4896" s="12" t="inlineStr">
        <is>
          <t>I</t>
        </is>
      </c>
      <c r="C4896" s="12" t="inlineStr">
        <is>
          <t>Modular / portable power</t>
        </is>
      </c>
      <c r="D4896" s="12" t="inlineStr">
        <is>
          <t>Discrete device to JB JB-RICE-4-DI01: 20 x 1 pr (field cables)</t>
        </is>
      </c>
      <c r="E4896" s="12" t="inlineStr">
        <is>
          <t>RICE-4</t>
        </is>
      </c>
      <c r="F4896" s="12" t="inlineStr">
        <is>
          <t>RICE engine-generator 4</t>
        </is>
      </c>
      <c r="G4896" s="12" t="inlineStr">
        <is>
          <t>JB-RICE-4-DI01</t>
        </is>
      </c>
      <c r="H4896" s="12" t="inlineStr">
        <is>
          <t>RICE engine-generator 4</t>
        </is>
      </c>
      <c r="I4896" s="12" t="inlineStr">
        <is>
          <t>Instrumentation</t>
        </is>
      </c>
      <c r="J4896" s="12" t="inlineStr">
        <is>
          <t>Instrumentation PLTC / TC-ER 300 V, #18 twisted shielded pairs, overall shield</t>
        </is>
      </c>
      <c r="K4896" s="12" t="inlineStr">
        <is>
          <t>PLTC|1 pr|16</t>
        </is>
      </c>
      <c r="L4896" s="12" t="inlineStr">
        <is>
          <t>1 pr</t>
        </is>
      </c>
      <c r="M4896" s="12" t="inlineStr">
        <is>
          <t>16</t>
        </is>
      </c>
      <c r="N4896" s="12" t="n">
        <v>20</v>
      </c>
      <c r="O4896" s="12" t="n">
        <v>1</v>
      </c>
      <c r="P4896" s="12" t="n"/>
      <c r="Q4896" s="12" t="n"/>
      <c r="R4896" s="12" t="n"/>
      <c r="S4896" s="12" t="inlineStr">
        <is>
          <t>Tray / conduit</t>
        </is>
      </c>
      <c r="T4896" s="15" t="n">
        <v>72</v>
      </c>
      <c r="U4896" s="15" t="n">
        <v>10</v>
      </c>
      <c r="V4896" s="15">
        <f>ROUNDUP((T4896+U4896+2*'Read Me'!$B$13)*(1+'Read Me'!$B$12),-1)</f>
        <v/>
      </c>
      <c r="W4896" s="15">
        <f>V4896*N4896*O4896</f>
        <v/>
      </c>
      <c r="X4896" s="12">
        <f>IF(LEFT(I4896,2)="MV",2*N4896*IF(L4896="1/C",O4896,1),0)</f>
        <v/>
      </c>
      <c r="Y4896" s="12">
        <f>IF(OR(LEFT(K4896,4)="LVAX",LEFT(K4896,6)="MV15AX",LEFT(K4896,4)="CTAX",LEFT(K4896,2)="W|"),2*N4896*O4896,0)</f>
        <v/>
      </c>
      <c r="Z4896" s="12" t="inlineStr">
        <is>
          <t>device-to-JB field wiring, one cable per device</t>
        </is>
      </c>
      <c r="AA4896" s="12">
        <f>N4896*O4896</f>
        <v/>
      </c>
    </row>
    <row r="4897">
      <c r="A4897" s="12" t="inlineStr">
        <is>
          <t>I-I-0294</t>
        </is>
      </c>
      <c r="B4897" s="12" t="inlineStr">
        <is>
          <t>I</t>
        </is>
      </c>
      <c r="C4897" s="12" t="inlineStr">
        <is>
          <t>Modular / portable power</t>
        </is>
      </c>
      <c r="D4897" s="12" t="inlineStr">
        <is>
          <t>Home run JB-RICE-4-DI01 to the control / marshalling room</t>
        </is>
      </c>
      <c r="E4897" s="12" t="inlineStr"/>
      <c r="F4897" s="12" t="inlineStr">
        <is>
          <t>PCM: power control module</t>
        </is>
      </c>
      <c r="G4897" s="12" t="inlineStr">
        <is>
          <t>JB-RICE-4-DI01</t>
        </is>
      </c>
      <c r="H4897" s="12" t="inlineStr">
        <is>
          <t>RICE engine-generator 4</t>
        </is>
      </c>
      <c r="I4897" s="12" t="inlineStr">
        <is>
          <t>Instrumentation</t>
        </is>
      </c>
      <c r="J4897" s="12" t="inlineStr">
        <is>
          <t>Instrumentation PLTC / TC-ER 300 V, #18 twisted shielded pairs, overall shield</t>
        </is>
      </c>
      <c r="K4897" s="12" t="inlineStr">
        <is>
          <t>PLTC|24 pr|18</t>
        </is>
      </c>
      <c r="L4897" s="12" t="inlineStr">
        <is>
          <t>24 pr</t>
        </is>
      </c>
      <c r="M4897" s="12" t="inlineStr">
        <is>
          <t>18</t>
        </is>
      </c>
      <c r="N4897" s="12" t="n">
        <v>1</v>
      </c>
      <c r="O4897" s="12" t="n">
        <v>1</v>
      </c>
      <c r="P4897" s="12" t="n"/>
      <c r="Q4897" s="12" t="n"/>
      <c r="R4897" s="12" t="n"/>
      <c r="S4897" s="12" t="inlineStr">
        <is>
          <t>Duct bank</t>
        </is>
      </c>
      <c r="T4897" s="15" t="n">
        <v>516</v>
      </c>
      <c r="U4897" s="15" t="n">
        <v>53</v>
      </c>
      <c r="V4897" s="15">
        <f>ROUNDUP((T4897+U4897+2*'Read Me'!$B$13)*(1+'Read Me'!$B$12),-1)</f>
        <v/>
      </c>
      <c r="W4897" s="15">
        <f>V4897*N4897*O4897</f>
        <v/>
      </c>
      <c r="X4897" s="12">
        <f>IF(LEFT(I4897,2)="MV",2*N4897*IF(L4897="1/C",O4897,1),0)</f>
        <v/>
      </c>
      <c r="Y4897" s="12">
        <f>IF(OR(LEFT(K4897,4)="LVAX",LEFT(K4897,6)="MV15AX",LEFT(K4897,4)="CTAX",LEFT(K4897,2)="W|"),2*N4897*O4897,0)</f>
        <v/>
      </c>
      <c r="Z4897" s="12" t="inlineStr"/>
      <c r="AA4897" s="12">
        <f>N4897*O4897</f>
        <v/>
      </c>
    </row>
    <row r="4898">
      <c r="A4898" s="12" t="inlineStr">
        <is>
          <t>I-I-0295</t>
        </is>
      </c>
      <c r="B4898" s="12" t="inlineStr">
        <is>
          <t>I</t>
        </is>
      </c>
      <c r="C4898" s="12" t="inlineStr">
        <is>
          <t>Modular / portable power</t>
        </is>
      </c>
      <c r="D4898" s="12" t="inlineStr">
        <is>
          <t>Discrete device to JB JB-RICE-4-DI02: 20 x 1 pr (field cables)</t>
        </is>
      </c>
      <c r="E4898" s="12" t="inlineStr">
        <is>
          <t>RICE-4</t>
        </is>
      </c>
      <c r="F4898" s="12" t="inlineStr">
        <is>
          <t>RICE engine-generator 4</t>
        </is>
      </c>
      <c r="G4898" s="12" t="inlineStr">
        <is>
          <t>JB-RICE-4-DI02</t>
        </is>
      </c>
      <c r="H4898" s="12" t="inlineStr">
        <is>
          <t>RICE engine-generator 4</t>
        </is>
      </c>
      <c r="I4898" s="12" t="inlineStr">
        <is>
          <t>Instrumentation</t>
        </is>
      </c>
      <c r="J4898" s="12" t="inlineStr">
        <is>
          <t>Instrumentation PLTC / TC-ER 300 V, #18 twisted shielded pairs, overall shield</t>
        </is>
      </c>
      <c r="K4898" s="12" t="inlineStr">
        <is>
          <t>PLTC|1 pr|16</t>
        </is>
      </c>
      <c r="L4898" s="12" t="inlineStr">
        <is>
          <t>1 pr</t>
        </is>
      </c>
      <c r="M4898" s="12" t="inlineStr">
        <is>
          <t>16</t>
        </is>
      </c>
      <c r="N4898" s="12" t="n">
        <v>20</v>
      </c>
      <c r="O4898" s="12" t="n">
        <v>1</v>
      </c>
      <c r="P4898" s="12" t="n"/>
      <c r="Q4898" s="12" t="n"/>
      <c r="R4898" s="12" t="n"/>
      <c r="S4898" s="12" t="inlineStr">
        <is>
          <t>Tray / conduit</t>
        </is>
      </c>
      <c r="T4898" s="15" t="n">
        <v>72</v>
      </c>
      <c r="U4898" s="15" t="n">
        <v>10</v>
      </c>
      <c r="V4898" s="15">
        <f>ROUNDUP((T4898+U4898+2*'Read Me'!$B$13)*(1+'Read Me'!$B$12),-1)</f>
        <v/>
      </c>
      <c r="W4898" s="15">
        <f>V4898*N4898*O4898</f>
        <v/>
      </c>
      <c r="X4898" s="12">
        <f>IF(LEFT(I4898,2)="MV",2*N4898*IF(L4898="1/C",O4898,1),0)</f>
        <v/>
      </c>
      <c r="Y4898" s="12">
        <f>IF(OR(LEFT(K4898,4)="LVAX",LEFT(K4898,6)="MV15AX",LEFT(K4898,4)="CTAX",LEFT(K4898,2)="W|"),2*N4898*O4898,0)</f>
        <v/>
      </c>
      <c r="Z4898" s="12" t="inlineStr">
        <is>
          <t>device-to-JB field wiring, one cable per device</t>
        </is>
      </c>
      <c r="AA4898" s="12">
        <f>N4898*O4898</f>
        <v/>
      </c>
    </row>
    <row r="4899">
      <c r="A4899" s="12" t="inlineStr">
        <is>
          <t>I-I-0296</t>
        </is>
      </c>
      <c r="B4899" s="12" t="inlineStr">
        <is>
          <t>I</t>
        </is>
      </c>
      <c r="C4899" s="12" t="inlineStr">
        <is>
          <t>Modular / portable power</t>
        </is>
      </c>
      <c r="D4899" s="12" t="inlineStr">
        <is>
          <t>Home run JB-RICE-4-DI02 to the control / marshalling room</t>
        </is>
      </c>
      <c r="E4899" s="12" t="inlineStr"/>
      <c r="F4899" s="12" t="inlineStr">
        <is>
          <t>PCM: power control module</t>
        </is>
      </c>
      <c r="G4899" s="12" t="inlineStr">
        <is>
          <t>JB-RICE-4-DI02</t>
        </is>
      </c>
      <c r="H4899" s="12" t="inlineStr">
        <is>
          <t>RICE engine-generator 4</t>
        </is>
      </c>
      <c r="I4899" s="12" t="inlineStr">
        <is>
          <t>Instrumentation</t>
        </is>
      </c>
      <c r="J4899" s="12" t="inlineStr">
        <is>
          <t>Instrumentation PLTC / TC-ER 300 V, #18 twisted shielded pairs, overall shield</t>
        </is>
      </c>
      <c r="K4899" s="12" t="inlineStr">
        <is>
          <t>PLTC|24 pr|18</t>
        </is>
      </c>
      <c r="L4899" s="12" t="inlineStr">
        <is>
          <t>24 pr</t>
        </is>
      </c>
      <c r="M4899" s="12" t="inlineStr">
        <is>
          <t>18</t>
        </is>
      </c>
      <c r="N4899" s="12" t="n">
        <v>1</v>
      </c>
      <c r="O4899" s="12" t="n">
        <v>1</v>
      </c>
      <c r="P4899" s="12" t="n"/>
      <c r="Q4899" s="12" t="n"/>
      <c r="R4899" s="12" t="n"/>
      <c r="S4899" s="12" t="inlineStr">
        <is>
          <t>Duct bank</t>
        </is>
      </c>
      <c r="T4899" s="15" t="n">
        <v>516</v>
      </c>
      <c r="U4899" s="15" t="n">
        <v>53</v>
      </c>
      <c r="V4899" s="15">
        <f>ROUNDUP((T4899+U4899+2*'Read Me'!$B$13)*(1+'Read Me'!$B$12),-1)</f>
        <v/>
      </c>
      <c r="W4899" s="15">
        <f>V4899*N4899*O4899</f>
        <v/>
      </c>
      <c r="X4899" s="12">
        <f>IF(LEFT(I4899,2)="MV",2*N4899*IF(L4899="1/C",O4899,1),0)</f>
        <v/>
      </c>
      <c r="Y4899" s="12">
        <f>IF(OR(LEFT(K4899,4)="LVAX",LEFT(K4899,6)="MV15AX",LEFT(K4899,4)="CTAX",LEFT(K4899,2)="W|"),2*N4899*O4899,0)</f>
        <v/>
      </c>
      <c r="Z4899" s="12" t="inlineStr"/>
      <c r="AA4899" s="12">
        <f>N4899*O4899</f>
        <v/>
      </c>
    </row>
    <row r="4900">
      <c r="A4900" s="12" t="inlineStr">
        <is>
          <t>I-I-0297</t>
        </is>
      </c>
      <c r="B4900" s="12" t="inlineStr">
        <is>
          <t>I</t>
        </is>
      </c>
      <c r="C4900" s="12" t="inlineStr">
        <is>
          <t>Modular / portable power</t>
        </is>
      </c>
      <c r="D4900" s="12" t="inlineStr">
        <is>
          <t>Discrete device to JB JB-RICE-4-DI03: 20 x 1 pr (field cables)</t>
        </is>
      </c>
      <c r="E4900" s="12" t="inlineStr">
        <is>
          <t>RICE-4</t>
        </is>
      </c>
      <c r="F4900" s="12" t="inlineStr">
        <is>
          <t>RICE engine-generator 4</t>
        </is>
      </c>
      <c r="G4900" s="12" t="inlineStr">
        <is>
          <t>JB-RICE-4-DI03</t>
        </is>
      </c>
      <c r="H4900" s="12" t="inlineStr">
        <is>
          <t>RICE engine-generator 4</t>
        </is>
      </c>
      <c r="I4900" s="12" t="inlineStr">
        <is>
          <t>Instrumentation</t>
        </is>
      </c>
      <c r="J4900" s="12" t="inlineStr">
        <is>
          <t>Instrumentation PLTC / TC-ER 300 V, #18 twisted shielded pairs, overall shield</t>
        </is>
      </c>
      <c r="K4900" s="12" t="inlineStr">
        <is>
          <t>PLTC|1 pr|16</t>
        </is>
      </c>
      <c r="L4900" s="12" t="inlineStr">
        <is>
          <t>1 pr</t>
        </is>
      </c>
      <c r="M4900" s="12" t="inlineStr">
        <is>
          <t>16</t>
        </is>
      </c>
      <c r="N4900" s="12" t="n">
        <v>20</v>
      </c>
      <c r="O4900" s="12" t="n">
        <v>1</v>
      </c>
      <c r="P4900" s="12" t="n"/>
      <c r="Q4900" s="12" t="n"/>
      <c r="R4900" s="12" t="n"/>
      <c r="S4900" s="12" t="inlineStr">
        <is>
          <t>Tray / conduit</t>
        </is>
      </c>
      <c r="T4900" s="15" t="n">
        <v>72</v>
      </c>
      <c r="U4900" s="15" t="n">
        <v>10</v>
      </c>
      <c r="V4900" s="15">
        <f>ROUNDUP((T4900+U4900+2*'Read Me'!$B$13)*(1+'Read Me'!$B$12),-1)</f>
        <v/>
      </c>
      <c r="W4900" s="15">
        <f>V4900*N4900*O4900</f>
        <v/>
      </c>
      <c r="X4900" s="12">
        <f>IF(LEFT(I4900,2)="MV",2*N4900*IF(L4900="1/C",O4900,1),0)</f>
        <v/>
      </c>
      <c r="Y4900" s="12">
        <f>IF(OR(LEFT(K4900,4)="LVAX",LEFT(K4900,6)="MV15AX",LEFT(K4900,4)="CTAX",LEFT(K4900,2)="W|"),2*N4900*O4900,0)</f>
        <v/>
      </c>
      <c r="Z4900" s="12" t="inlineStr">
        <is>
          <t>device-to-JB field wiring, one cable per device</t>
        </is>
      </c>
      <c r="AA4900" s="12">
        <f>N4900*O4900</f>
        <v/>
      </c>
    </row>
    <row r="4901">
      <c r="A4901" s="12" t="inlineStr">
        <is>
          <t>I-I-0298</t>
        </is>
      </c>
      <c r="B4901" s="12" t="inlineStr">
        <is>
          <t>I</t>
        </is>
      </c>
      <c r="C4901" s="12" t="inlineStr">
        <is>
          <t>Modular / portable power</t>
        </is>
      </c>
      <c r="D4901" s="12" t="inlineStr">
        <is>
          <t>Home run JB-RICE-4-DI03 to the control / marshalling room</t>
        </is>
      </c>
      <c r="E4901" s="12" t="inlineStr"/>
      <c r="F4901" s="12" t="inlineStr">
        <is>
          <t>PCM: power control module</t>
        </is>
      </c>
      <c r="G4901" s="12" t="inlineStr">
        <is>
          <t>JB-RICE-4-DI03</t>
        </is>
      </c>
      <c r="H4901" s="12" t="inlineStr">
        <is>
          <t>RICE engine-generator 4</t>
        </is>
      </c>
      <c r="I4901" s="12" t="inlineStr">
        <is>
          <t>Instrumentation</t>
        </is>
      </c>
      <c r="J4901" s="12" t="inlineStr">
        <is>
          <t>Instrumentation PLTC / TC-ER 300 V, #18 twisted shielded pairs, overall shield</t>
        </is>
      </c>
      <c r="K4901" s="12" t="inlineStr">
        <is>
          <t>PLTC|24 pr|18</t>
        </is>
      </c>
      <c r="L4901" s="12" t="inlineStr">
        <is>
          <t>24 pr</t>
        </is>
      </c>
      <c r="M4901" s="12" t="inlineStr">
        <is>
          <t>18</t>
        </is>
      </c>
      <c r="N4901" s="12" t="n">
        <v>1</v>
      </c>
      <c r="O4901" s="12" t="n">
        <v>1</v>
      </c>
      <c r="P4901" s="12" t="n"/>
      <c r="Q4901" s="12" t="n"/>
      <c r="R4901" s="12" t="n"/>
      <c r="S4901" s="12" t="inlineStr">
        <is>
          <t>Duct bank</t>
        </is>
      </c>
      <c r="T4901" s="15" t="n">
        <v>516</v>
      </c>
      <c r="U4901" s="15" t="n">
        <v>53</v>
      </c>
      <c r="V4901" s="15">
        <f>ROUNDUP((T4901+U4901+2*'Read Me'!$B$13)*(1+'Read Me'!$B$12),-1)</f>
        <v/>
      </c>
      <c r="W4901" s="15">
        <f>V4901*N4901*O4901</f>
        <v/>
      </c>
      <c r="X4901" s="12">
        <f>IF(LEFT(I4901,2)="MV",2*N4901*IF(L4901="1/C",O4901,1),0)</f>
        <v/>
      </c>
      <c r="Y4901" s="12">
        <f>IF(OR(LEFT(K4901,4)="LVAX",LEFT(K4901,6)="MV15AX",LEFT(K4901,4)="CTAX",LEFT(K4901,2)="W|"),2*N4901*O4901,0)</f>
        <v/>
      </c>
      <c r="Z4901" s="12" t="inlineStr"/>
      <c r="AA4901" s="12">
        <f>N4901*O4901</f>
        <v/>
      </c>
    </row>
    <row r="4902">
      <c r="A4902" s="12" t="inlineStr">
        <is>
          <t>I-I-0299</t>
        </is>
      </c>
      <c r="B4902" s="12" t="inlineStr">
        <is>
          <t>I</t>
        </is>
      </c>
      <c r="C4902" s="12" t="inlineStr">
        <is>
          <t>Modular / portable power</t>
        </is>
      </c>
      <c r="D4902" s="12" t="inlineStr">
        <is>
          <t>Thermocouple to TC JB JB-RICE-4-TC01: 20 x 1 pr (field cables)</t>
        </is>
      </c>
      <c r="E4902" s="12" t="inlineStr">
        <is>
          <t>RICE-4</t>
        </is>
      </c>
      <c r="F4902" s="12" t="inlineStr">
        <is>
          <t>RICE engine-generator 4</t>
        </is>
      </c>
      <c r="G4902" s="12" t="inlineStr">
        <is>
          <t>JB-RICE-4-TC01</t>
        </is>
      </c>
      <c r="H4902" s="12" t="inlineStr">
        <is>
          <t>RICE engine-generator 4</t>
        </is>
      </c>
      <c r="I4902" s="12" t="inlineStr">
        <is>
          <t>Instrumentation</t>
        </is>
      </c>
      <c r="J4902" s="12" t="inlineStr">
        <is>
          <t>Thermocouple extension KX, #16 shielded pairs, PLTC</t>
        </is>
      </c>
      <c r="K4902" s="12" t="inlineStr">
        <is>
          <t>TCX|1 pr|16</t>
        </is>
      </c>
      <c r="L4902" s="12" t="inlineStr">
        <is>
          <t>1 pr</t>
        </is>
      </c>
      <c r="M4902" s="12" t="inlineStr">
        <is>
          <t>16</t>
        </is>
      </c>
      <c r="N4902" s="12" t="n">
        <v>20</v>
      </c>
      <c r="O4902" s="12" t="n">
        <v>1</v>
      </c>
      <c r="P4902" s="12" t="n"/>
      <c r="Q4902" s="12" t="n"/>
      <c r="R4902" s="12" t="n"/>
      <c r="S4902" s="12" t="inlineStr">
        <is>
          <t>Tray / conduit</t>
        </is>
      </c>
      <c r="T4902" s="15" t="n">
        <v>72</v>
      </c>
      <c r="U4902" s="15" t="n">
        <v>10</v>
      </c>
      <c r="V4902" s="15">
        <f>ROUNDUP((T4902+U4902+2*'Read Me'!$B$13)*(1+'Read Me'!$B$12),-1)</f>
        <v/>
      </c>
      <c r="W4902" s="15">
        <f>V4902*N4902*O4902</f>
        <v/>
      </c>
      <c r="X4902" s="12">
        <f>IF(LEFT(I4902,2)="MV",2*N4902*IF(L4902="1/C",O4902,1),0)</f>
        <v/>
      </c>
      <c r="Y4902" s="12">
        <f>IF(OR(LEFT(K4902,4)="LVAX",LEFT(K4902,6)="MV15AX",LEFT(K4902,4)="CTAX",LEFT(K4902,2)="W|"),2*N4902*O4902,0)</f>
        <v/>
      </c>
      <c r="Z4902" s="12" t="inlineStr">
        <is>
          <t>device-to-JB field wiring, one cable per device</t>
        </is>
      </c>
      <c r="AA4902" s="12">
        <f>N4902*O4902</f>
        <v/>
      </c>
    </row>
    <row r="4903">
      <c r="A4903" s="12" t="inlineStr">
        <is>
          <t>I-I-0300</t>
        </is>
      </c>
      <c r="B4903" s="12" t="inlineStr">
        <is>
          <t>I</t>
        </is>
      </c>
      <c r="C4903" s="12" t="inlineStr">
        <is>
          <t>Modular / portable power</t>
        </is>
      </c>
      <c r="D4903" s="12" t="inlineStr">
        <is>
          <t>Home run JB-RICE-4-TC01 to the control / marshalling room</t>
        </is>
      </c>
      <c r="E4903" s="12" t="inlineStr"/>
      <c r="F4903" s="12" t="inlineStr">
        <is>
          <t>PCM: power control module</t>
        </is>
      </c>
      <c r="G4903" s="12" t="inlineStr">
        <is>
          <t>JB-RICE-4-TC01</t>
        </is>
      </c>
      <c r="H4903" s="12" t="inlineStr">
        <is>
          <t>RICE engine-generator 4</t>
        </is>
      </c>
      <c r="I4903" s="12" t="inlineStr">
        <is>
          <t>Instrumentation</t>
        </is>
      </c>
      <c r="J4903" s="12" t="inlineStr">
        <is>
          <t>Thermocouple extension KX, #16 shielded pairs, PLTC</t>
        </is>
      </c>
      <c r="K4903" s="12" t="inlineStr">
        <is>
          <t>TCX|24 pr|16</t>
        </is>
      </c>
      <c r="L4903" s="12" t="inlineStr">
        <is>
          <t>24 pr</t>
        </is>
      </c>
      <c r="M4903" s="12" t="inlineStr">
        <is>
          <t>16</t>
        </is>
      </c>
      <c r="N4903" s="12" t="n">
        <v>1</v>
      </c>
      <c r="O4903" s="12" t="n">
        <v>1</v>
      </c>
      <c r="P4903" s="12" t="n"/>
      <c r="Q4903" s="12" t="n"/>
      <c r="R4903" s="12" t="n"/>
      <c r="S4903" s="12" t="inlineStr">
        <is>
          <t>Duct bank</t>
        </is>
      </c>
      <c r="T4903" s="15" t="n">
        <v>516</v>
      </c>
      <c r="U4903" s="15" t="n">
        <v>53</v>
      </c>
      <c r="V4903" s="15">
        <f>ROUNDUP((T4903+U4903+2*'Read Me'!$B$13)*(1+'Read Me'!$B$12),-1)</f>
        <v/>
      </c>
      <c r="W4903" s="15">
        <f>V4903*N4903*O4903</f>
        <v/>
      </c>
      <c r="X4903" s="12">
        <f>IF(LEFT(I4903,2)="MV",2*N4903*IF(L4903="1/C",O4903,1),0)</f>
        <v/>
      </c>
      <c r="Y4903" s="12">
        <f>IF(OR(LEFT(K4903,4)="LVAX",LEFT(K4903,6)="MV15AX",LEFT(K4903,4)="CTAX",LEFT(K4903,2)="W|"),2*N4903*O4903,0)</f>
        <v/>
      </c>
      <c r="Z4903" s="12" t="inlineStr"/>
      <c r="AA4903" s="12">
        <f>N4903*O4903</f>
        <v/>
      </c>
    </row>
    <row r="4904">
      <c r="A4904" s="12" t="inlineStr">
        <is>
          <t>I-I-0301</t>
        </is>
      </c>
      <c r="B4904" s="12" t="inlineStr">
        <is>
          <t>I</t>
        </is>
      </c>
      <c r="C4904" s="12" t="inlineStr">
        <is>
          <t>Modular / portable power</t>
        </is>
      </c>
      <c r="D4904" s="12" t="inlineStr">
        <is>
          <t>Thermocouple to TC JB JB-RICE-4-TC02: 10 x 1 pr (field cables)</t>
        </is>
      </c>
      <c r="E4904" s="12" t="inlineStr">
        <is>
          <t>RICE-4</t>
        </is>
      </c>
      <c r="F4904" s="12" t="inlineStr">
        <is>
          <t>RICE engine-generator 4</t>
        </is>
      </c>
      <c r="G4904" s="12" t="inlineStr">
        <is>
          <t>JB-RICE-4-TC02</t>
        </is>
      </c>
      <c r="H4904" s="12" t="inlineStr">
        <is>
          <t>RICE engine-generator 4</t>
        </is>
      </c>
      <c r="I4904" s="12" t="inlineStr">
        <is>
          <t>Instrumentation</t>
        </is>
      </c>
      <c r="J4904" s="12" t="inlineStr">
        <is>
          <t>Thermocouple extension KX, #16 shielded pairs, PLTC</t>
        </is>
      </c>
      <c r="K4904" s="12" t="inlineStr">
        <is>
          <t>TCX|1 pr|16</t>
        </is>
      </c>
      <c r="L4904" s="12" t="inlineStr">
        <is>
          <t>1 pr</t>
        </is>
      </c>
      <c r="M4904" s="12" t="inlineStr">
        <is>
          <t>16</t>
        </is>
      </c>
      <c r="N4904" s="12" t="n">
        <v>10</v>
      </c>
      <c r="O4904" s="12" t="n">
        <v>1</v>
      </c>
      <c r="P4904" s="12" t="n"/>
      <c r="Q4904" s="12" t="n"/>
      <c r="R4904" s="12" t="n"/>
      <c r="S4904" s="12" t="inlineStr">
        <is>
          <t>Tray / conduit</t>
        </is>
      </c>
      <c r="T4904" s="15" t="n">
        <v>72</v>
      </c>
      <c r="U4904" s="15" t="n">
        <v>10</v>
      </c>
      <c r="V4904" s="15">
        <f>ROUNDUP((T4904+U4904+2*'Read Me'!$B$13)*(1+'Read Me'!$B$12),-1)</f>
        <v/>
      </c>
      <c r="W4904" s="15">
        <f>V4904*N4904*O4904</f>
        <v/>
      </c>
      <c r="X4904" s="12">
        <f>IF(LEFT(I4904,2)="MV",2*N4904*IF(L4904="1/C",O4904,1),0)</f>
        <v/>
      </c>
      <c r="Y4904" s="12">
        <f>IF(OR(LEFT(K4904,4)="LVAX",LEFT(K4904,6)="MV15AX",LEFT(K4904,4)="CTAX",LEFT(K4904,2)="W|"),2*N4904*O4904,0)</f>
        <v/>
      </c>
      <c r="Z4904" s="12" t="inlineStr">
        <is>
          <t>device-to-JB field wiring, one cable per device</t>
        </is>
      </c>
      <c r="AA4904" s="12">
        <f>N4904*O4904</f>
        <v/>
      </c>
    </row>
    <row r="4905">
      <c r="A4905" s="12" t="inlineStr">
        <is>
          <t>I-I-0302</t>
        </is>
      </c>
      <c r="B4905" s="12" t="inlineStr">
        <is>
          <t>I</t>
        </is>
      </c>
      <c r="C4905" s="12" t="inlineStr">
        <is>
          <t>Modular / portable power</t>
        </is>
      </c>
      <c r="D4905" s="12" t="inlineStr">
        <is>
          <t>Home run JB-RICE-4-TC02 to the control / marshalling room</t>
        </is>
      </c>
      <c r="E4905" s="12" t="inlineStr"/>
      <c r="F4905" s="12" t="inlineStr">
        <is>
          <t>PCM: power control module</t>
        </is>
      </c>
      <c r="G4905" s="12" t="inlineStr">
        <is>
          <t>JB-RICE-4-TC02</t>
        </is>
      </c>
      <c r="H4905" s="12" t="inlineStr">
        <is>
          <t>RICE engine-generator 4</t>
        </is>
      </c>
      <c r="I4905" s="12" t="inlineStr">
        <is>
          <t>Instrumentation</t>
        </is>
      </c>
      <c r="J4905" s="12" t="inlineStr">
        <is>
          <t>Thermocouple extension KX, #16 shielded pairs, PLTC</t>
        </is>
      </c>
      <c r="K4905" s="12" t="inlineStr">
        <is>
          <t>TCX|24 pr|16</t>
        </is>
      </c>
      <c r="L4905" s="12" t="inlineStr">
        <is>
          <t>24 pr</t>
        </is>
      </c>
      <c r="M4905" s="12" t="inlineStr">
        <is>
          <t>16</t>
        </is>
      </c>
      <c r="N4905" s="12" t="n">
        <v>1</v>
      </c>
      <c r="O4905" s="12" t="n">
        <v>1</v>
      </c>
      <c r="P4905" s="12" t="n"/>
      <c r="Q4905" s="12" t="n"/>
      <c r="R4905" s="12" t="n"/>
      <c r="S4905" s="12" t="inlineStr">
        <is>
          <t>Duct bank</t>
        </is>
      </c>
      <c r="T4905" s="15" t="n">
        <v>516</v>
      </c>
      <c r="U4905" s="15" t="n">
        <v>53</v>
      </c>
      <c r="V4905" s="15">
        <f>ROUNDUP((T4905+U4905+2*'Read Me'!$B$13)*(1+'Read Me'!$B$12),-1)</f>
        <v/>
      </c>
      <c r="W4905" s="15">
        <f>V4905*N4905*O4905</f>
        <v/>
      </c>
      <c r="X4905" s="12">
        <f>IF(LEFT(I4905,2)="MV",2*N4905*IF(L4905="1/C",O4905,1),0)</f>
        <v/>
      </c>
      <c r="Y4905" s="12">
        <f>IF(OR(LEFT(K4905,4)="LVAX",LEFT(K4905,6)="MV15AX",LEFT(K4905,4)="CTAX",LEFT(K4905,2)="W|"),2*N4905*O4905,0)</f>
        <v/>
      </c>
      <c r="Z4905" s="12" t="inlineStr"/>
      <c r="AA4905" s="12">
        <f>N4905*O4905</f>
        <v/>
      </c>
    </row>
    <row r="4906">
      <c r="A4906" s="12" t="inlineStr">
        <is>
          <t>I-I-0303</t>
        </is>
      </c>
      <c r="B4906" s="12" t="inlineStr">
        <is>
          <t>I</t>
        </is>
      </c>
      <c r="C4906" s="12" t="inlineStr">
        <is>
          <t>Modular / portable power</t>
        </is>
      </c>
      <c r="D4906" s="12" t="inlineStr">
        <is>
          <t>RTD to JB JB-RICE-4-RTD01: 10 x 1 tri (field cables)</t>
        </is>
      </c>
      <c r="E4906" s="12" t="inlineStr">
        <is>
          <t>RICE-4</t>
        </is>
      </c>
      <c r="F4906" s="12" t="inlineStr">
        <is>
          <t>RICE engine-generator 4</t>
        </is>
      </c>
      <c r="G4906" s="12" t="inlineStr">
        <is>
          <t>JB-RICE-4-RTD01</t>
        </is>
      </c>
      <c r="H4906" s="12" t="inlineStr">
        <is>
          <t>RICE engine-generator 4</t>
        </is>
      </c>
      <c r="I4906" s="12" t="inlineStr">
        <is>
          <t>Instrumentation</t>
        </is>
      </c>
      <c r="J4906" s="12" t="inlineStr">
        <is>
          <t>RTD cable, #18 shielded triads, PLTC</t>
        </is>
      </c>
      <c r="K4906" s="12" t="inlineStr">
        <is>
          <t>RTD|1 tri|18</t>
        </is>
      </c>
      <c r="L4906" s="12" t="inlineStr">
        <is>
          <t>1 tri</t>
        </is>
      </c>
      <c r="M4906" s="12" t="inlineStr">
        <is>
          <t>18</t>
        </is>
      </c>
      <c r="N4906" s="12" t="n">
        <v>10</v>
      </c>
      <c r="O4906" s="12" t="n">
        <v>1</v>
      </c>
      <c r="P4906" s="12" t="n"/>
      <c r="Q4906" s="12" t="n"/>
      <c r="R4906" s="12" t="n"/>
      <c r="S4906" s="12" t="inlineStr">
        <is>
          <t>Tray / conduit</t>
        </is>
      </c>
      <c r="T4906" s="15" t="n">
        <v>72</v>
      </c>
      <c r="U4906" s="15" t="n">
        <v>10</v>
      </c>
      <c r="V4906" s="15">
        <f>ROUNDUP((T4906+U4906+2*'Read Me'!$B$13)*(1+'Read Me'!$B$12),-1)</f>
        <v/>
      </c>
      <c r="W4906" s="15">
        <f>V4906*N4906*O4906</f>
        <v/>
      </c>
      <c r="X4906" s="12">
        <f>IF(LEFT(I4906,2)="MV",2*N4906*IF(L4906="1/C",O4906,1),0)</f>
        <v/>
      </c>
      <c r="Y4906" s="12">
        <f>IF(OR(LEFT(K4906,4)="LVAX",LEFT(K4906,6)="MV15AX",LEFT(K4906,4)="CTAX",LEFT(K4906,2)="W|"),2*N4906*O4906,0)</f>
        <v/>
      </c>
      <c r="Z4906" s="12" t="inlineStr">
        <is>
          <t>device-to-JB field wiring, one cable per device</t>
        </is>
      </c>
      <c r="AA4906" s="12">
        <f>N4906*O4906</f>
        <v/>
      </c>
    </row>
    <row r="4907">
      <c r="A4907" s="12" t="inlineStr">
        <is>
          <t>I-I-0304</t>
        </is>
      </c>
      <c r="B4907" s="12" t="inlineStr">
        <is>
          <t>I</t>
        </is>
      </c>
      <c r="C4907" s="12" t="inlineStr">
        <is>
          <t>Modular / portable power</t>
        </is>
      </c>
      <c r="D4907" s="12" t="inlineStr">
        <is>
          <t>Home run JB-RICE-4-RTD01 to the control / marshalling room</t>
        </is>
      </c>
      <c r="E4907" s="12" t="inlineStr"/>
      <c r="F4907" s="12" t="inlineStr">
        <is>
          <t>PCM: power control module</t>
        </is>
      </c>
      <c r="G4907" s="12" t="inlineStr">
        <is>
          <t>JB-RICE-4-RTD01</t>
        </is>
      </c>
      <c r="H4907" s="12" t="inlineStr">
        <is>
          <t>RICE engine-generator 4</t>
        </is>
      </c>
      <c r="I4907" s="12" t="inlineStr">
        <is>
          <t>Instrumentation</t>
        </is>
      </c>
      <c r="J4907" s="12" t="inlineStr">
        <is>
          <t>RTD cable, #18 shielded triads, PLTC</t>
        </is>
      </c>
      <c r="K4907" s="12" t="inlineStr">
        <is>
          <t>RTD|12 tri|18</t>
        </is>
      </c>
      <c r="L4907" s="12" t="inlineStr">
        <is>
          <t>12 tri</t>
        </is>
      </c>
      <c r="M4907" s="12" t="inlineStr">
        <is>
          <t>18</t>
        </is>
      </c>
      <c r="N4907" s="12" t="n">
        <v>1</v>
      </c>
      <c r="O4907" s="12" t="n">
        <v>1</v>
      </c>
      <c r="P4907" s="12" t="n"/>
      <c r="Q4907" s="12" t="n"/>
      <c r="R4907" s="12" t="n"/>
      <c r="S4907" s="12" t="inlineStr">
        <is>
          <t>Duct bank</t>
        </is>
      </c>
      <c r="T4907" s="15" t="n">
        <v>516</v>
      </c>
      <c r="U4907" s="15" t="n">
        <v>53</v>
      </c>
      <c r="V4907" s="15">
        <f>ROUNDUP((T4907+U4907+2*'Read Me'!$B$13)*(1+'Read Me'!$B$12),-1)</f>
        <v/>
      </c>
      <c r="W4907" s="15">
        <f>V4907*N4907*O4907</f>
        <v/>
      </c>
      <c r="X4907" s="12">
        <f>IF(LEFT(I4907,2)="MV",2*N4907*IF(L4907="1/C",O4907,1),0)</f>
        <v/>
      </c>
      <c r="Y4907" s="12">
        <f>IF(OR(LEFT(K4907,4)="LVAX",LEFT(K4907,6)="MV15AX",LEFT(K4907,4)="CTAX",LEFT(K4907,2)="W|"),2*N4907*O4907,0)</f>
        <v/>
      </c>
      <c r="Z4907" s="12" t="inlineStr"/>
      <c r="AA4907" s="12">
        <f>N4907*O4907</f>
        <v/>
      </c>
    </row>
    <row r="4908">
      <c r="A4908" s="12" t="inlineStr">
        <is>
          <t>I-I-0305</t>
        </is>
      </c>
      <c r="B4908" s="12" t="inlineStr">
        <is>
          <t>I</t>
        </is>
      </c>
      <c r="C4908" s="12" t="inlineStr">
        <is>
          <t>Modular / portable power</t>
        </is>
      </c>
      <c r="D4908" s="12" t="inlineStr">
        <is>
          <t>RTD to JB JB-RICE-4-RTD02: 2 x 1 tri (field cables)</t>
        </is>
      </c>
      <c r="E4908" s="12" t="inlineStr">
        <is>
          <t>RICE-4</t>
        </is>
      </c>
      <c r="F4908" s="12" t="inlineStr">
        <is>
          <t>RICE engine-generator 4</t>
        </is>
      </c>
      <c r="G4908" s="12" t="inlineStr">
        <is>
          <t>JB-RICE-4-RTD02</t>
        </is>
      </c>
      <c r="H4908" s="12" t="inlineStr">
        <is>
          <t>RICE engine-generator 4</t>
        </is>
      </c>
      <c r="I4908" s="12" t="inlineStr">
        <is>
          <t>Instrumentation</t>
        </is>
      </c>
      <c r="J4908" s="12" t="inlineStr">
        <is>
          <t>RTD cable, #18 shielded triads, PLTC</t>
        </is>
      </c>
      <c r="K4908" s="12" t="inlineStr">
        <is>
          <t>RTD|1 tri|18</t>
        </is>
      </c>
      <c r="L4908" s="12" t="inlineStr">
        <is>
          <t>1 tri</t>
        </is>
      </c>
      <c r="M4908" s="12" t="inlineStr">
        <is>
          <t>18</t>
        </is>
      </c>
      <c r="N4908" s="12" t="n">
        <v>2</v>
      </c>
      <c r="O4908" s="12" t="n">
        <v>1</v>
      </c>
      <c r="P4908" s="12" t="n"/>
      <c r="Q4908" s="12" t="n"/>
      <c r="R4908" s="12" t="n"/>
      <c r="S4908" s="12" t="inlineStr">
        <is>
          <t>Tray / conduit</t>
        </is>
      </c>
      <c r="T4908" s="15" t="n">
        <v>72</v>
      </c>
      <c r="U4908" s="15" t="n">
        <v>10</v>
      </c>
      <c r="V4908" s="15">
        <f>ROUNDUP((T4908+U4908+2*'Read Me'!$B$13)*(1+'Read Me'!$B$12),-1)</f>
        <v/>
      </c>
      <c r="W4908" s="15">
        <f>V4908*N4908*O4908</f>
        <v/>
      </c>
      <c r="X4908" s="12">
        <f>IF(LEFT(I4908,2)="MV",2*N4908*IF(L4908="1/C",O4908,1),0)</f>
        <v/>
      </c>
      <c r="Y4908" s="12">
        <f>IF(OR(LEFT(K4908,4)="LVAX",LEFT(K4908,6)="MV15AX",LEFT(K4908,4)="CTAX",LEFT(K4908,2)="W|"),2*N4908*O4908,0)</f>
        <v/>
      </c>
      <c r="Z4908" s="12" t="inlineStr">
        <is>
          <t>device-to-JB field wiring, one cable per device</t>
        </is>
      </c>
      <c r="AA4908" s="12">
        <f>N4908*O4908</f>
        <v/>
      </c>
    </row>
    <row r="4909">
      <c r="A4909" s="12" t="inlineStr">
        <is>
          <t>I-I-0306</t>
        </is>
      </c>
      <c r="B4909" s="12" t="inlineStr">
        <is>
          <t>I</t>
        </is>
      </c>
      <c r="C4909" s="12" t="inlineStr">
        <is>
          <t>Modular / portable power</t>
        </is>
      </c>
      <c r="D4909" s="12" t="inlineStr">
        <is>
          <t>Home run JB-RICE-4-RTD02 to the control / marshalling room</t>
        </is>
      </c>
      <c r="E4909" s="12" t="inlineStr"/>
      <c r="F4909" s="12" t="inlineStr">
        <is>
          <t>PCM: power control module</t>
        </is>
      </c>
      <c r="G4909" s="12" t="inlineStr">
        <is>
          <t>JB-RICE-4-RTD02</t>
        </is>
      </c>
      <c r="H4909" s="12" t="inlineStr">
        <is>
          <t>RICE engine-generator 4</t>
        </is>
      </c>
      <c r="I4909" s="12" t="inlineStr">
        <is>
          <t>Instrumentation</t>
        </is>
      </c>
      <c r="J4909" s="12" t="inlineStr">
        <is>
          <t>RTD cable, #18 shielded triads, PLTC</t>
        </is>
      </c>
      <c r="K4909" s="12" t="inlineStr">
        <is>
          <t>RTD|12 tri|18</t>
        </is>
      </c>
      <c r="L4909" s="12" t="inlineStr">
        <is>
          <t>12 tri</t>
        </is>
      </c>
      <c r="M4909" s="12" t="inlineStr">
        <is>
          <t>18</t>
        </is>
      </c>
      <c r="N4909" s="12" t="n">
        <v>1</v>
      </c>
      <c r="O4909" s="12" t="n">
        <v>1</v>
      </c>
      <c r="P4909" s="12" t="n"/>
      <c r="Q4909" s="12" t="n"/>
      <c r="R4909" s="12" t="n"/>
      <c r="S4909" s="12" t="inlineStr">
        <is>
          <t>Duct bank</t>
        </is>
      </c>
      <c r="T4909" s="15" t="n">
        <v>516</v>
      </c>
      <c r="U4909" s="15" t="n">
        <v>53</v>
      </c>
      <c r="V4909" s="15">
        <f>ROUNDUP((T4909+U4909+2*'Read Me'!$B$13)*(1+'Read Me'!$B$12),-1)</f>
        <v/>
      </c>
      <c r="W4909" s="15">
        <f>V4909*N4909*O4909</f>
        <v/>
      </c>
      <c r="X4909" s="12">
        <f>IF(LEFT(I4909,2)="MV",2*N4909*IF(L4909="1/C",O4909,1),0)</f>
        <v/>
      </c>
      <c r="Y4909" s="12">
        <f>IF(OR(LEFT(K4909,4)="LVAX",LEFT(K4909,6)="MV15AX",LEFT(K4909,4)="CTAX",LEFT(K4909,2)="W|"),2*N4909*O4909,0)</f>
        <v/>
      </c>
      <c r="Z4909" s="12" t="inlineStr"/>
      <c r="AA4909" s="12">
        <f>N4909*O4909</f>
        <v/>
      </c>
    </row>
    <row r="4910">
      <c r="A4910" s="12" t="inlineStr">
        <is>
          <t>I-I-0307</t>
        </is>
      </c>
      <c r="B4910" s="12" t="inlineStr">
        <is>
          <t>I</t>
        </is>
      </c>
      <c r="C4910" s="12" t="inlineStr">
        <is>
          <t>Modular / portable power</t>
        </is>
      </c>
      <c r="D4910" s="12" t="inlineStr">
        <is>
          <t>Analog instrument to JB JB-RICE-5-AI01: 20 x 1 pr (field cables)</t>
        </is>
      </c>
      <c r="E4910" s="12" t="inlineStr">
        <is>
          <t>RICE-5</t>
        </is>
      </c>
      <c r="F4910" s="12" t="inlineStr">
        <is>
          <t>RICE engine-generator 5</t>
        </is>
      </c>
      <c r="G4910" s="12" t="inlineStr">
        <is>
          <t>JB-RICE-5-AI01</t>
        </is>
      </c>
      <c r="H4910" s="12" t="inlineStr">
        <is>
          <t>RICE engine-generator 5</t>
        </is>
      </c>
      <c r="I4910" s="12" t="inlineStr">
        <is>
          <t>Instrumentation</t>
        </is>
      </c>
      <c r="J4910" s="12" t="inlineStr">
        <is>
          <t>Instrumentation PLTC / TC-ER 300 V, #18 twisted shielded pairs, overall shield</t>
        </is>
      </c>
      <c r="K4910" s="12" t="inlineStr">
        <is>
          <t>PLTC|1 pr|16</t>
        </is>
      </c>
      <c r="L4910" s="12" t="inlineStr">
        <is>
          <t>1 pr</t>
        </is>
      </c>
      <c r="M4910" s="12" t="inlineStr">
        <is>
          <t>16</t>
        </is>
      </c>
      <c r="N4910" s="12" t="n">
        <v>20</v>
      </c>
      <c r="O4910" s="12" t="n">
        <v>1</v>
      </c>
      <c r="P4910" s="12" t="n"/>
      <c r="Q4910" s="12" t="n"/>
      <c r="R4910" s="12" t="n"/>
      <c r="S4910" s="12" t="inlineStr">
        <is>
          <t>Tray / conduit</t>
        </is>
      </c>
      <c r="T4910" s="15" t="n">
        <v>72</v>
      </c>
      <c r="U4910" s="15" t="n">
        <v>10</v>
      </c>
      <c r="V4910" s="15">
        <f>ROUNDUP((T4910+U4910+2*'Read Me'!$B$13)*(1+'Read Me'!$B$12),-1)</f>
        <v/>
      </c>
      <c r="W4910" s="15">
        <f>V4910*N4910*O4910</f>
        <v/>
      </c>
      <c r="X4910" s="12">
        <f>IF(LEFT(I4910,2)="MV",2*N4910*IF(L4910="1/C",O4910,1),0)</f>
        <v/>
      </c>
      <c r="Y4910" s="12">
        <f>IF(OR(LEFT(K4910,4)="LVAX",LEFT(K4910,6)="MV15AX",LEFT(K4910,4)="CTAX",LEFT(K4910,2)="W|"),2*N4910*O4910,0)</f>
        <v/>
      </c>
      <c r="Z4910" s="12" t="inlineStr">
        <is>
          <t>device-to-JB field wiring, one cable per device</t>
        </is>
      </c>
      <c r="AA4910" s="12">
        <f>N4910*O4910</f>
        <v/>
      </c>
    </row>
    <row r="4911">
      <c r="A4911" s="12" t="inlineStr">
        <is>
          <t>I-I-0308</t>
        </is>
      </c>
      <c r="B4911" s="12" t="inlineStr">
        <is>
          <t>I</t>
        </is>
      </c>
      <c r="C4911" s="12" t="inlineStr">
        <is>
          <t>Modular / portable power</t>
        </is>
      </c>
      <c r="D4911" s="12" t="inlineStr">
        <is>
          <t>Home run JB-RICE-5-AI01 to the control / marshalling room</t>
        </is>
      </c>
      <c r="E4911" s="12" t="inlineStr"/>
      <c r="F4911" s="12" t="inlineStr">
        <is>
          <t>PCM: power control module</t>
        </is>
      </c>
      <c r="G4911" s="12" t="inlineStr">
        <is>
          <t>JB-RICE-5-AI01</t>
        </is>
      </c>
      <c r="H4911" s="12" t="inlineStr">
        <is>
          <t>RICE engine-generator 5</t>
        </is>
      </c>
      <c r="I4911" s="12" t="inlineStr">
        <is>
          <t>Instrumentation</t>
        </is>
      </c>
      <c r="J4911" s="12" t="inlineStr">
        <is>
          <t>Instrumentation PLTC / TC-ER 300 V, #18 twisted shielded pairs, overall shield</t>
        </is>
      </c>
      <c r="K4911" s="12" t="inlineStr">
        <is>
          <t>PLTC|24 pr|18</t>
        </is>
      </c>
      <c r="L4911" s="12" t="inlineStr">
        <is>
          <t>24 pr</t>
        </is>
      </c>
      <c r="M4911" s="12" t="inlineStr">
        <is>
          <t>18</t>
        </is>
      </c>
      <c r="N4911" s="12" t="n">
        <v>1</v>
      </c>
      <c r="O4911" s="12" t="n">
        <v>1</v>
      </c>
      <c r="P4911" s="12" t="n"/>
      <c r="Q4911" s="12" t="n"/>
      <c r="R4911" s="12" t="n"/>
      <c r="S4911" s="12" t="inlineStr">
        <is>
          <t>Duct bank</t>
        </is>
      </c>
      <c r="T4911" s="15" t="n">
        <v>57</v>
      </c>
      <c r="U4911" s="15" t="n">
        <v>181</v>
      </c>
      <c r="V4911" s="15">
        <f>ROUNDUP((T4911+U4911+2*'Read Me'!$B$13)*(1+'Read Me'!$B$12),-1)</f>
        <v/>
      </c>
      <c r="W4911" s="15">
        <f>V4911*N4911*O4911</f>
        <v/>
      </c>
      <c r="X4911" s="12">
        <f>IF(LEFT(I4911,2)="MV",2*N4911*IF(L4911="1/C",O4911,1),0)</f>
        <v/>
      </c>
      <c r="Y4911" s="12">
        <f>IF(OR(LEFT(K4911,4)="LVAX",LEFT(K4911,6)="MV15AX",LEFT(K4911,4)="CTAX",LEFT(K4911,2)="W|"),2*N4911*O4911,0)</f>
        <v/>
      </c>
      <c r="Z4911" s="12" t="inlineStr"/>
      <c r="AA4911" s="12">
        <f>N4911*O4911</f>
        <v/>
      </c>
    </row>
    <row r="4912">
      <c r="A4912" s="12" t="inlineStr">
        <is>
          <t>I-I-0309</t>
        </is>
      </c>
      <c r="B4912" s="12" t="inlineStr">
        <is>
          <t>I</t>
        </is>
      </c>
      <c r="C4912" s="12" t="inlineStr">
        <is>
          <t>Modular / portable power</t>
        </is>
      </c>
      <c r="D4912" s="12" t="inlineStr">
        <is>
          <t>Analog instrument to JB JB-RICE-5-AI02: 20 x 1 pr (field cables)</t>
        </is>
      </c>
      <c r="E4912" s="12" t="inlineStr">
        <is>
          <t>RICE-5</t>
        </is>
      </c>
      <c r="F4912" s="12" t="inlineStr">
        <is>
          <t>RICE engine-generator 5</t>
        </is>
      </c>
      <c r="G4912" s="12" t="inlineStr">
        <is>
          <t>JB-RICE-5-AI02</t>
        </is>
      </c>
      <c r="H4912" s="12" t="inlineStr">
        <is>
          <t>RICE engine-generator 5</t>
        </is>
      </c>
      <c r="I4912" s="12" t="inlineStr">
        <is>
          <t>Instrumentation</t>
        </is>
      </c>
      <c r="J4912" s="12" t="inlineStr">
        <is>
          <t>Instrumentation PLTC / TC-ER 300 V, #18 twisted shielded pairs, overall shield</t>
        </is>
      </c>
      <c r="K4912" s="12" t="inlineStr">
        <is>
          <t>PLTC|1 pr|16</t>
        </is>
      </c>
      <c r="L4912" s="12" t="inlineStr">
        <is>
          <t>1 pr</t>
        </is>
      </c>
      <c r="M4912" s="12" t="inlineStr">
        <is>
          <t>16</t>
        </is>
      </c>
      <c r="N4912" s="12" t="n">
        <v>20</v>
      </c>
      <c r="O4912" s="12" t="n">
        <v>1</v>
      </c>
      <c r="P4912" s="12" t="n"/>
      <c r="Q4912" s="12" t="n"/>
      <c r="R4912" s="12" t="n"/>
      <c r="S4912" s="12" t="inlineStr">
        <is>
          <t>Tray / conduit</t>
        </is>
      </c>
      <c r="T4912" s="15" t="n">
        <v>72</v>
      </c>
      <c r="U4912" s="15" t="n">
        <v>10</v>
      </c>
      <c r="V4912" s="15">
        <f>ROUNDUP((T4912+U4912+2*'Read Me'!$B$13)*(1+'Read Me'!$B$12),-1)</f>
        <v/>
      </c>
      <c r="W4912" s="15">
        <f>V4912*N4912*O4912</f>
        <v/>
      </c>
      <c r="X4912" s="12">
        <f>IF(LEFT(I4912,2)="MV",2*N4912*IF(L4912="1/C",O4912,1),0)</f>
        <v/>
      </c>
      <c r="Y4912" s="12">
        <f>IF(OR(LEFT(K4912,4)="LVAX",LEFT(K4912,6)="MV15AX",LEFT(K4912,4)="CTAX",LEFT(K4912,2)="W|"),2*N4912*O4912,0)</f>
        <v/>
      </c>
      <c r="Z4912" s="12" t="inlineStr">
        <is>
          <t>device-to-JB field wiring, one cable per device</t>
        </is>
      </c>
      <c r="AA4912" s="12">
        <f>N4912*O4912</f>
        <v/>
      </c>
    </row>
    <row r="4913">
      <c r="A4913" s="12" t="inlineStr">
        <is>
          <t>I-I-0310</t>
        </is>
      </c>
      <c r="B4913" s="12" t="inlineStr">
        <is>
          <t>I</t>
        </is>
      </c>
      <c r="C4913" s="12" t="inlineStr">
        <is>
          <t>Modular / portable power</t>
        </is>
      </c>
      <c r="D4913" s="12" t="inlineStr">
        <is>
          <t>Home run JB-RICE-5-AI02 to the control / marshalling room</t>
        </is>
      </c>
      <c r="E4913" s="12" t="inlineStr"/>
      <c r="F4913" s="12" t="inlineStr">
        <is>
          <t>PCM: power control module</t>
        </is>
      </c>
      <c r="G4913" s="12" t="inlineStr">
        <is>
          <t>JB-RICE-5-AI02</t>
        </is>
      </c>
      <c r="H4913" s="12" t="inlineStr">
        <is>
          <t>RICE engine-generator 5</t>
        </is>
      </c>
      <c r="I4913" s="12" t="inlineStr">
        <is>
          <t>Instrumentation</t>
        </is>
      </c>
      <c r="J4913" s="12" t="inlineStr">
        <is>
          <t>Instrumentation PLTC / TC-ER 300 V, #18 twisted shielded pairs, overall shield</t>
        </is>
      </c>
      <c r="K4913" s="12" t="inlineStr">
        <is>
          <t>PLTC|24 pr|18</t>
        </is>
      </c>
      <c r="L4913" s="12" t="inlineStr">
        <is>
          <t>24 pr</t>
        </is>
      </c>
      <c r="M4913" s="12" t="inlineStr">
        <is>
          <t>18</t>
        </is>
      </c>
      <c r="N4913" s="12" t="n">
        <v>1</v>
      </c>
      <c r="O4913" s="12" t="n">
        <v>1</v>
      </c>
      <c r="P4913" s="12" t="n"/>
      <c r="Q4913" s="12" t="n"/>
      <c r="R4913" s="12" t="n"/>
      <c r="S4913" s="12" t="inlineStr">
        <is>
          <t>Duct bank</t>
        </is>
      </c>
      <c r="T4913" s="15" t="n">
        <v>57</v>
      </c>
      <c r="U4913" s="15" t="n">
        <v>181</v>
      </c>
      <c r="V4913" s="15">
        <f>ROUNDUP((T4913+U4913+2*'Read Me'!$B$13)*(1+'Read Me'!$B$12),-1)</f>
        <v/>
      </c>
      <c r="W4913" s="15">
        <f>V4913*N4913*O4913</f>
        <v/>
      </c>
      <c r="X4913" s="12">
        <f>IF(LEFT(I4913,2)="MV",2*N4913*IF(L4913="1/C",O4913,1),0)</f>
        <v/>
      </c>
      <c r="Y4913" s="12">
        <f>IF(OR(LEFT(K4913,4)="LVAX",LEFT(K4913,6)="MV15AX",LEFT(K4913,4)="CTAX",LEFT(K4913,2)="W|"),2*N4913*O4913,0)</f>
        <v/>
      </c>
      <c r="Z4913" s="12" t="inlineStr"/>
      <c r="AA4913" s="12">
        <f>N4913*O4913</f>
        <v/>
      </c>
    </row>
    <row r="4914">
      <c r="A4914" s="12" t="inlineStr">
        <is>
          <t>I-I-0311</t>
        </is>
      </c>
      <c r="B4914" s="12" t="inlineStr">
        <is>
          <t>I</t>
        </is>
      </c>
      <c r="C4914" s="12" t="inlineStr">
        <is>
          <t>Modular / portable power</t>
        </is>
      </c>
      <c r="D4914" s="12" t="inlineStr">
        <is>
          <t>Analog instrument to JB JB-RICE-5-AI03: 20 x 1 pr (field cables)</t>
        </is>
      </c>
      <c r="E4914" s="12" t="inlineStr">
        <is>
          <t>RICE-5</t>
        </is>
      </c>
      <c r="F4914" s="12" t="inlineStr">
        <is>
          <t>RICE engine-generator 5</t>
        </is>
      </c>
      <c r="G4914" s="12" t="inlineStr">
        <is>
          <t>JB-RICE-5-AI03</t>
        </is>
      </c>
      <c r="H4914" s="12" t="inlineStr">
        <is>
          <t>RICE engine-generator 5</t>
        </is>
      </c>
      <c r="I4914" s="12" t="inlineStr">
        <is>
          <t>Instrumentation</t>
        </is>
      </c>
      <c r="J4914" s="12" t="inlineStr">
        <is>
          <t>Instrumentation PLTC / TC-ER 300 V, #18 twisted shielded pairs, overall shield</t>
        </is>
      </c>
      <c r="K4914" s="12" t="inlineStr">
        <is>
          <t>PLTC|1 pr|16</t>
        </is>
      </c>
      <c r="L4914" s="12" t="inlineStr">
        <is>
          <t>1 pr</t>
        </is>
      </c>
      <c r="M4914" s="12" t="inlineStr">
        <is>
          <t>16</t>
        </is>
      </c>
      <c r="N4914" s="12" t="n">
        <v>20</v>
      </c>
      <c r="O4914" s="12" t="n">
        <v>1</v>
      </c>
      <c r="P4914" s="12" t="n"/>
      <c r="Q4914" s="12" t="n"/>
      <c r="R4914" s="12" t="n"/>
      <c r="S4914" s="12" t="inlineStr">
        <is>
          <t>Tray / conduit</t>
        </is>
      </c>
      <c r="T4914" s="15" t="n">
        <v>72</v>
      </c>
      <c r="U4914" s="15" t="n">
        <v>10</v>
      </c>
      <c r="V4914" s="15">
        <f>ROUNDUP((T4914+U4914+2*'Read Me'!$B$13)*(1+'Read Me'!$B$12),-1)</f>
        <v/>
      </c>
      <c r="W4914" s="15">
        <f>V4914*N4914*O4914</f>
        <v/>
      </c>
      <c r="X4914" s="12">
        <f>IF(LEFT(I4914,2)="MV",2*N4914*IF(L4914="1/C",O4914,1),0)</f>
        <v/>
      </c>
      <c r="Y4914" s="12">
        <f>IF(OR(LEFT(K4914,4)="LVAX",LEFT(K4914,6)="MV15AX",LEFT(K4914,4)="CTAX",LEFT(K4914,2)="W|"),2*N4914*O4914,0)</f>
        <v/>
      </c>
      <c r="Z4914" s="12" t="inlineStr">
        <is>
          <t>device-to-JB field wiring, one cable per device</t>
        </is>
      </c>
      <c r="AA4914" s="12">
        <f>N4914*O4914</f>
        <v/>
      </c>
    </row>
    <row r="4915">
      <c r="A4915" s="12" t="inlineStr">
        <is>
          <t>I-I-0312</t>
        </is>
      </c>
      <c r="B4915" s="12" t="inlineStr">
        <is>
          <t>I</t>
        </is>
      </c>
      <c r="C4915" s="12" t="inlineStr">
        <is>
          <t>Modular / portable power</t>
        </is>
      </c>
      <c r="D4915" s="12" t="inlineStr">
        <is>
          <t>Home run JB-RICE-5-AI03 to the control / marshalling room</t>
        </is>
      </c>
      <c r="E4915" s="12" t="inlineStr"/>
      <c r="F4915" s="12" t="inlineStr">
        <is>
          <t>PCM: power control module</t>
        </is>
      </c>
      <c r="G4915" s="12" t="inlineStr">
        <is>
          <t>JB-RICE-5-AI03</t>
        </is>
      </c>
      <c r="H4915" s="12" t="inlineStr">
        <is>
          <t>RICE engine-generator 5</t>
        </is>
      </c>
      <c r="I4915" s="12" t="inlineStr">
        <is>
          <t>Instrumentation</t>
        </is>
      </c>
      <c r="J4915" s="12" t="inlineStr">
        <is>
          <t>Instrumentation PLTC / TC-ER 300 V, #18 twisted shielded pairs, overall shield</t>
        </is>
      </c>
      <c r="K4915" s="12" t="inlineStr">
        <is>
          <t>PLTC|24 pr|18</t>
        </is>
      </c>
      <c r="L4915" s="12" t="inlineStr">
        <is>
          <t>24 pr</t>
        </is>
      </c>
      <c r="M4915" s="12" t="inlineStr">
        <is>
          <t>18</t>
        </is>
      </c>
      <c r="N4915" s="12" t="n">
        <v>1</v>
      </c>
      <c r="O4915" s="12" t="n">
        <v>1</v>
      </c>
      <c r="P4915" s="12" t="n"/>
      <c r="Q4915" s="12" t="n"/>
      <c r="R4915" s="12" t="n"/>
      <c r="S4915" s="12" t="inlineStr">
        <is>
          <t>Duct bank</t>
        </is>
      </c>
      <c r="T4915" s="15" t="n">
        <v>57</v>
      </c>
      <c r="U4915" s="15" t="n">
        <v>181</v>
      </c>
      <c r="V4915" s="15">
        <f>ROUNDUP((T4915+U4915+2*'Read Me'!$B$13)*(1+'Read Me'!$B$12),-1)</f>
        <v/>
      </c>
      <c r="W4915" s="15">
        <f>V4915*N4915*O4915</f>
        <v/>
      </c>
      <c r="X4915" s="12">
        <f>IF(LEFT(I4915,2)="MV",2*N4915*IF(L4915="1/C",O4915,1),0)</f>
        <v/>
      </c>
      <c r="Y4915" s="12">
        <f>IF(OR(LEFT(K4915,4)="LVAX",LEFT(K4915,6)="MV15AX",LEFT(K4915,4)="CTAX",LEFT(K4915,2)="W|"),2*N4915*O4915,0)</f>
        <v/>
      </c>
      <c r="Z4915" s="12" t="inlineStr"/>
      <c r="AA4915" s="12">
        <f>N4915*O4915</f>
        <v/>
      </c>
    </row>
    <row r="4916">
      <c r="A4916" s="12" t="inlineStr">
        <is>
          <t>I-I-0313</t>
        </is>
      </c>
      <c r="B4916" s="12" t="inlineStr">
        <is>
          <t>I</t>
        </is>
      </c>
      <c r="C4916" s="12" t="inlineStr">
        <is>
          <t>Modular / portable power</t>
        </is>
      </c>
      <c r="D4916" s="12" t="inlineStr">
        <is>
          <t>Analog instrument to JB JB-RICE-5-AI04: 20 x 1 pr (field cables)</t>
        </is>
      </c>
      <c r="E4916" s="12" t="inlineStr">
        <is>
          <t>RICE-5</t>
        </is>
      </c>
      <c r="F4916" s="12" t="inlineStr">
        <is>
          <t>RICE engine-generator 5</t>
        </is>
      </c>
      <c r="G4916" s="12" t="inlineStr">
        <is>
          <t>JB-RICE-5-AI04</t>
        </is>
      </c>
      <c r="H4916" s="12" t="inlineStr">
        <is>
          <t>RICE engine-generator 5</t>
        </is>
      </c>
      <c r="I4916" s="12" t="inlineStr">
        <is>
          <t>Instrumentation</t>
        </is>
      </c>
      <c r="J4916" s="12" t="inlineStr">
        <is>
          <t>Instrumentation PLTC / TC-ER 300 V, #18 twisted shielded pairs, overall shield</t>
        </is>
      </c>
      <c r="K4916" s="12" t="inlineStr">
        <is>
          <t>PLTC|1 pr|16</t>
        </is>
      </c>
      <c r="L4916" s="12" t="inlineStr">
        <is>
          <t>1 pr</t>
        </is>
      </c>
      <c r="M4916" s="12" t="inlineStr">
        <is>
          <t>16</t>
        </is>
      </c>
      <c r="N4916" s="12" t="n">
        <v>20</v>
      </c>
      <c r="O4916" s="12" t="n">
        <v>1</v>
      </c>
      <c r="P4916" s="12" t="n"/>
      <c r="Q4916" s="12" t="n"/>
      <c r="R4916" s="12" t="n"/>
      <c r="S4916" s="12" t="inlineStr">
        <is>
          <t>Tray / conduit</t>
        </is>
      </c>
      <c r="T4916" s="15" t="n">
        <v>72</v>
      </c>
      <c r="U4916" s="15" t="n">
        <v>10</v>
      </c>
      <c r="V4916" s="15">
        <f>ROUNDUP((T4916+U4916+2*'Read Me'!$B$13)*(1+'Read Me'!$B$12),-1)</f>
        <v/>
      </c>
      <c r="W4916" s="15">
        <f>V4916*N4916*O4916</f>
        <v/>
      </c>
      <c r="X4916" s="12">
        <f>IF(LEFT(I4916,2)="MV",2*N4916*IF(L4916="1/C",O4916,1),0)</f>
        <v/>
      </c>
      <c r="Y4916" s="12">
        <f>IF(OR(LEFT(K4916,4)="LVAX",LEFT(K4916,6)="MV15AX",LEFT(K4916,4)="CTAX",LEFT(K4916,2)="W|"),2*N4916*O4916,0)</f>
        <v/>
      </c>
      <c r="Z4916" s="12" t="inlineStr">
        <is>
          <t>device-to-JB field wiring, one cable per device</t>
        </is>
      </c>
      <c r="AA4916" s="12">
        <f>N4916*O4916</f>
        <v/>
      </c>
    </row>
    <row r="4917">
      <c r="A4917" s="12" t="inlineStr">
        <is>
          <t>I-I-0314</t>
        </is>
      </c>
      <c r="B4917" s="12" t="inlineStr">
        <is>
          <t>I</t>
        </is>
      </c>
      <c r="C4917" s="12" t="inlineStr">
        <is>
          <t>Modular / portable power</t>
        </is>
      </c>
      <c r="D4917" s="12" t="inlineStr">
        <is>
          <t>Home run JB-RICE-5-AI04 to the control / marshalling room</t>
        </is>
      </c>
      <c r="E4917" s="12" t="inlineStr"/>
      <c r="F4917" s="12" t="inlineStr">
        <is>
          <t>PCM: power control module</t>
        </is>
      </c>
      <c r="G4917" s="12" t="inlineStr">
        <is>
          <t>JB-RICE-5-AI04</t>
        </is>
      </c>
      <c r="H4917" s="12" t="inlineStr">
        <is>
          <t>RICE engine-generator 5</t>
        </is>
      </c>
      <c r="I4917" s="12" t="inlineStr">
        <is>
          <t>Instrumentation</t>
        </is>
      </c>
      <c r="J4917" s="12" t="inlineStr">
        <is>
          <t>Instrumentation PLTC / TC-ER 300 V, #18 twisted shielded pairs, overall shield</t>
        </is>
      </c>
      <c r="K4917" s="12" t="inlineStr">
        <is>
          <t>PLTC|24 pr|18</t>
        </is>
      </c>
      <c r="L4917" s="12" t="inlineStr">
        <is>
          <t>24 pr</t>
        </is>
      </c>
      <c r="M4917" s="12" t="inlineStr">
        <is>
          <t>18</t>
        </is>
      </c>
      <c r="N4917" s="12" t="n">
        <v>1</v>
      </c>
      <c r="O4917" s="12" t="n">
        <v>1</v>
      </c>
      <c r="P4917" s="12" t="n"/>
      <c r="Q4917" s="12" t="n"/>
      <c r="R4917" s="12" t="n"/>
      <c r="S4917" s="12" t="inlineStr">
        <is>
          <t>Duct bank</t>
        </is>
      </c>
      <c r="T4917" s="15" t="n">
        <v>57</v>
      </c>
      <c r="U4917" s="15" t="n">
        <v>181</v>
      </c>
      <c r="V4917" s="15">
        <f>ROUNDUP((T4917+U4917+2*'Read Me'!$B$13)*(1+'Read Me'!$B$12),-1)</f>
        <v/>
      </c>
      <c r="W4917" s="15">
        <f>V4917*N4917*O4917</f>
        <v/>
      </c>
      <c r="X4917" s="12">
        <f>IF(LEFT(I4917,2)="MV",2*N4917*IF(L4917="1/C",O4917,1),0)</f>
        <v/>
      </c>
      <c r="Y4917" s="12">
        <f>IF(OR(LEFT(K4917,4)="LVAX",LEFT(K4917,6)="MV15AX",LEFT(K4917,4)="CTAX",LEFT(K4917,2)="W|"),2*N4917*O4917,0)</f>
        <v/>
      </c>
      <c r="Z4917" s="12" t="inlineStr"/>
      <c r="AA4917" s="12">
        <f>N4917*O4917</f>
        <v/>
      </c>
    </row>
    <row r="4918">
      <c r="A4918" s="12" t="inlineStr">
        <is>
          <t>I-I-0315</t>
        </is>
      </c>
      <c r="B4918" s="12" t="inlineStr">
        <is>
          <t>I</t>
        </is>
      </c>
      <c r="C4918" s="12" t="inlineStr">
        <is>
          <t>Modular / portable power</t>
        </is>
      </c>
      <c r="D4918" s="12" t="inlineStr">
        <is>
          <t>Discrete device to JB JB-RICE-5-DI01: 20 x 1 pr (field cables)</t>
        </is>
      </c>
      <c r="E4918" s="12" t="inlineStr">
        <is>
          <t>RICE-5</t>
        </is>
      </c>
      <c r="F4918" s="12" t="inlineStr">
        <is>
          <t>RICE engine-generator 5</t>
        </is>
      </c>
      <c r="G4918" s="12" t="inlineStr">
        <is>
          <t>JB-RICE-5-DI01</t>
        </is>
      </c>
      <c r="H4918" s="12" t="inlineStr">
        <is>
          <t>RICE engine-generator 5</t>
        </is>
      </c>
      <c r="I4918" s="12" t="inlineStr">
        <is>
          <t>Instrumentation</t>
        </is>
      </c>
      <c r="J4918" s="12" t="inlineStr">
        <is>
          <t>Instrumentation PLTC / TC-ER 300 V, #18 twisted shielded pairs, overall shield</t>
        </is>
      </c>
      <c r="K4918" s="12" t="inlineStr">
        <is>
          <t>PLTC|1 pr|16</t>
        </is>
      </c>
      <c r="L4918" s="12" t="inlineStr">
        <is>
          <t>1 pr</t>
        </is>
      </c>
      <c r="M4918" s="12" t="inlineStr">
        <is>
          <t>16</t>
        </is>
      </c>
      <c r="N4918" s="12" t="n">
        <v>20</v>
      </c>
      <c r="O4918" s="12" t="n">
        <v>1</v>
      </c>
      <c r="P4918" s="12" t="n"/>
      <c r="Q4918" s="12" t="n"/>
      <c r="R4918" s="12" t="n"/>
      <c r="S4918" s="12" t="inlineStr">
        <is>
          <t>Tray / conduit</t>
        </is>
      </c>
      <c r="T4918" s="15" t="n">
        <v>72</v>
      </c>
      <c r="U4918" s="15" t="n">
        <v>10</v>
      </c>
      <c r="V4918" s="15">
        <f>ROUNDUP((T4918+U4918+2*'Read Me'!$B$13)*(1+'Read Me'!$B$12),-1)</f>
        <v/>
      </c>
      <c r="W4918" s="15">
        <f>V4918*N4918*O4918</f>
        <v/>
      </c>
      <c r="X4918" s="12">
        <f>IF(LEFT(I4918,2)="MV",2*N4918*IF(L4918="1/C",O4918,1),0)</f>
        <v/>
      </c>
      <c r="Y4918" s="12">
        <f>IF(OR(LEFT(K4918,4)="LVAX",LEFT(K4918,6)="MV15AX",LEFT(K4918,4)="CTAX",LEFT(K4918,2)="W|"),2*N4918*O4918,0)</f>
        <v/>
      </c>
      <c r="Z4918" s="12" t="inlineStr">
        <is>
          <t>device-to-JB field wiring, one cable per device</t>
        </is>
      </c>
      <c r="AA4918" s="12">
        <f>N4918*O4918</f>
        <v/>
      </c>
    </row>
    <row r="4919">
      <c r="A4919" s="12" t="inlineStr">
        <is>
          <t>I-I-0316</t>
        </is>
      </c>
      <c r="B4919" s="12" t="inlineStr">
        <is>
          <t>I</t>
        </is>
      </c>
      <c r="C4919" s="12" t="inlineStr">
        <is>
          <t>Modular / portable power</t>
        </is>
      </c>
      <c r="D4919" s="12" t="inlineStr">
        <is>
          <t>Home run JB-RICE-5-DI01 to the control / marshalling room</t>
        </is>
      </c>
      <c r="E4919" s="12" t="inlineStr"/>
      <c r="F4919" s="12" t="inlineStr">
        <is>
          <t>PCM: power control module</t>
        </is>
      </c>
      <c r="G4919" s="12" t="inlineStr">
        <is>
          <t>JB-RICE-5-DI01</t>
        </is>
      </c>
      <c r="H4919" s="12" t="inlineStr">
        <is>
          <t>RICE engine-generator 5</t>
        </is>
      </c>
      <c r="I4919" s="12" t="inlineStr">
        <is>
          <t>Instrumentation</t>
        </is>
      </c>
      <c r="J4919" s="12" t="inlineStr">
        <is>
          <t>Instrumentation PLTC / TC-ER 300 V, #18 twisted shielded pairs, overall shield</t>
        </is>
      </c>
      <c r="K4919" s="12" t="inlineStr">
        <is>
          <t>PLTC|24 pr|18</t>
        </is>
      </c>
      <c r="L4919" s="12" t="inlineStr">
        <is>
          <t>24 pr</t>
        </is>
      </c>
      <c r="M4919" s="12" t="inlineStr">
        <is>
          <t>18</t>
        </is>
      </c>
      <c r="N4919" s="12" t="n">
        <v>1</v>
      </c>
      <c r="O4919" s="12" t="n">
        <v>1</v>
      </c>
      <c r="P4919" s="12" t="n"/>
      <c r="Q4919" s="12" t="n"/>
      <c r="R4919" s="12" t="n"/>
      <c r="S4919" s="12" t="inlineStr">
        <is>
          <t>Duct bank</t>
        </is>
      </c>
      <c r="T4919" s="15" t="n">
        <v>57</v>
      </c>
      <c r="U4919" s="15" t="n">
        <v>181</v>
      </c>
      <c r="V4919" s="15">
        <f>ROUNDUP((T4919+U4919+2*'Read Me'!$B$13)*(1+'Read Me'!$B$12),-1)</f>
        <v/>
      </c>
      <c r="W4919" s="15">
        <f>V4919*N4919*O4919</f>
        <v/>
      </c>
      <c r="X4919" s="12">
        <f>IF(LEFT(I4919,2)="MV",2*N4919*IF(L4919="1/C",O4919,1),0)</f>
        <v/>
      </c>
      <c r="Y4919" s="12">
        <f>IF(OR(LEFT(K4919,4)="LVAX",LEFT(K4919,6)="MV15AX",LEFT(K4919,4)="CTAX",LEFT(K4919,2)="W|"),2*N4919*O4919,0)</f>
        <v/>
      </c>
      <c r="Z4919" s="12" t="inlineStr"/>
      <c r="AA4919" s="12">
        <f>N4919*O4919</f>
        <v/>
      </c>
    </row>
    <row r="4920">
      <c r="A4920" s="12" t="inlineStr">
        <is>
          <t>I-I-0317</t>
        </is>
      </c>
      <c r="B4920" s="12" t="inlineStr">
        <is>
          <t>I</t>
        </is>
      </c>
      <c r="C4920" s="12" t="inlineStr">
        <is>
          <t>Modular / portable power</t>
        </is>
      </c>
      <c r="D4920" s="12" t="inlineStr">
        <is>
          <t>Discrete device to JB JB-RICE-5-DI02: 20 x 1 pr (field cables)</t>
        </is>
      </c>
      <c r="E4920" s="12" t="inlineStr">
        <is>
          <t>RICE-5</t>
        </is>
      </c>
      <c r="F4920" s="12" t="inlineStr">
        <is>
          <t>RICE engine-generator 5</t>
        </is>
      </c>
      <c r="G4920" s="12" t="inlineStr">
        <is>
          <t>JB-RICE-5-DI02</t>
        </is>
      </c>
      <c r="H4920" s="12" t="inlineStr">
        <is>
          <t>RICE engine-generator 5</t>
        </is>
      </c>
      <c r="I4920" s="12" t="inlineStr">
        <is>
          <t>Instrumentation</t>
        </is>
      </c>
      <c r="J4920" s="12" t="inlineStr">
        <is>
          <t>Instrumentation PLTC / TC-ER 300 V, #18 twisted shielded pairs, overall shield</t>
        </is>
      </c>
      <c r="K4920" s="12" t="inlineStr">
        <is>
          <t>PLTC|1 pr|16</t>
        </is>
      </c>
      <c r="L4920" s="12" t="inlineStr">
        <is>
          <t>1 pr</t>
        </is>
      </c>
      <c r="M4920" s="12" t="inlineStr">
        <is>
          <t>16</t>
        </is>
      </c>
      <c r="N4920" s="12" t="n">
        <v>20</v>
      </c>
      <c r="O4920" s="12" t="n">
        <v>1</v>
      </c>
      <c r="P4920" s="12" t="n"/>
      <c r="Q4920" s="12" t="n"/>
      <c r="R4920" s="12" t="n"/>
      <c r="S4920" s="12" t="inlineStr">
        <is>
          <t>Tray / conduit</t>
        </is>
      </c>
      <c r="T4920" s="15" t="n">
        <v>72</v>
      </c>
      <c r="U4920" s="15" t="n">
        <v>10</v>
      </c>
      <c r="V4920" s="15">
        <f>ROUNDUP((T4920+U4920+2*'Read Me'!$B$13)*(1+'Read Me'!$B$12),-1)</f>
        <v/>
      </c>
      <c r="W4920" s="15">
        <f>V4920*N4920*O4920</f>
        <v/>
      </c>
      <c r="X4920" s="12">
        <f>IF(LEFT(I4920,2)="MV",2*N4920*IF(L4920="1/C",O4920,1),0)</f>
        <v/>
      </c>
      <c r="Y4920" s="12">
        <f>IF(OR(LEFT(K4920,4)="LVAX",LEFT(K4920,6)="MV15AX",LEFT(K4920,4)="CTAX",LEFT(K4920,2)="W|"),2*N4920*O4920,0)</f>
        <v/>
      </c>
      <c r="Z4920" s="12" t="inlineStr">
        <is>
          <t>device-to-JB field wiring, one cable per device</t>
        </is>
      </c>
      <c r="AA4920" s="12">
        <f>N4920*O4920</f>
        <v/>
      </c>
    </row>
    <row r="4921">
      <c r="A4921" s="12" t="inlineStr">
        <is>
          <t>I-I-0318</t>
        </is>
      </c>
      <c r="B4921" s="12" t="inlineStr">
        <is>
          <t>I</t>
        </is>
      </c>
      <c r="C4921" s="12" t="inlineStr">
        <is>
          <t>Modular / portable power</t>
        </is>
      </c>
      <c r="D4921" s="12" t="inlineStr">
        <is>
          <t>Home run JB-RICE-5-DI02 to the control / marshalling room</t>
        </is>
      </c>
      <c r="E4921" s="12" t="inlineStr"/>
      <c r="F4921" s="12" t="inlineStr">
        <is>
          <t>PCM: power control module</t>
        </is>
      </c>
      <c r="G4921" s="12" t="inlineStr">
        <is>
          <t>JB-RICE-5-DI02</t>
        </is>
      </c>
      <c r="H4921" s="12" t="inlineStr">
        <is>
          <t>RICE engine-generator 5</t>
        </is>
      </c>
      <c r="I4921" s="12" t="inlineStr">
        <is>
          <t>Instrumentation</t>
        </is>
      </c>
      <c r="J4921" s="12" t="inlineStr">
        <is>
          <t>Instrumentation PLTC / TC-ER 300 V, #18 twisted shielded pairs, overall shield</t>
        </is>
      </c>
      <c r="K4921" s="12" t="inlineStr">
        <is>
          <t>PLTC|24 pr|18</t>
        </is>
      </c>
      <c r="L4921" s="12" t="inlineStr">
        <is>
          <t>24 pr</t>
        </is>
      </c>
      <c r="M4921" s="12" t="inlineStr">
        <is>
          <t>18</t>
        </is>
      </c>
      <c r="N4921" s="12" t="n">
        <v>1</v>
      </c>
      <c r="O4921" s="12" t="n">
        <v>1</v>
      </c>
      <c r="P4921" s="12" t="n"/>
      <c r="Q4921" s="12" t="n"/>
      <c r="R4921" s="12" t="n"/>
      <c r="S4921" s="12" t="inlineStr">
        <is>
          <t>Duct bank</t>
        </is>
      </c>
      <c r="T4921" s="15" t="n">
        <v>57</v>
      </c>
      <c r="U4921" s="15" t="n">
        <v>181</v>
      </c>
      <c r="V4921" s="15">
        <f>ROUNDUP((T4921+U4921+2*'Read Me'!$B$13)*(1+'Read Me'!$B$12),-1)</f>
        <v/>
      </c>
      <c r="W4921" s="15">
        <f>V4921*N4921*O4921</f>
        <v/>
      </c>
      <c r="X4921" s="12">
        <f>IF(LEFT(I4921,2)="MV",2*N4921*IF(L4921="1/C",O4921,1),0)</f>
        <v/>
      </c>
      <c r="Y4921" s="12">
        <f>IF(OR(LEFT(K4921,4)="LVAX",LEFT(K4921,6)="MV15AX",LEFT(K4921,4)="CTAX",LEFT(K4921,2)="W|"),2*N4921*O4921,0)</f>
        <v/>
      </c>
      <c r="Z4921" s="12" t="inlineStr"/>
      <c r="AA4921" s="12">
        <f>N4921*O4921</f>
        <v/>
      </c>
    </row>
    <row r="4922">
      <c r="A4922" s="12" t="inlineStr">
        <is>
          <t>I-I-0319</t>
        </is>
      </c>
      <c r="B4922" s="12" t="inlineStr">
        <is>
          <t>I</t>
        </is>
      </c>
      <c r="C4922" s="12" t="inlineStr">
        <is>
          <t>Modular / portable power</t>
        </is>
      </c>
      <c r="D4922" s="12" t="inlineStr">
        <is>
          <t>Discrete device to JB JB-RICE-5-DI03: 20 x 1 pr (field cables)</t>
        </is>
      </c>
      <c r="E4922" s="12" t="inlineStr">
        <is>
          <t>RICE-5</t>
        </is>
      </c>
      <c r="F4922" s="12" t="inlineStr">
        <is>
          <t>RICE engine-generator 5</t>
        </is>
      </c>
      <c r="G4922" s="12" t="inlineStr">
        <is>
          <t>JB-RICE-5-DI03</t>
        </is>
      </c>
      <c r="H4922" s="12" t="inlineStr">
        <is>
          <t>RICE engine-generator 5</t>
        </is>
      </c>
      <c r="I4922" s="12" t="inlineStr">
        <is>
          <t>Instrumentation</t>
        </is>
      </c>
      <c r="J4922" s="12" t="inlineStr">
        <is>
          <t>Instrumentation PLTC / TC-ER 300 V, #18 twisted shielded pairs, overall shield</t>
        </is>
      </c>
      <c r="K4922" s="12" t="inlineStr">
        <is>
          <t>PLTC|1 pr|16</t>
        </is>
      </c>
      <c r="L4922" s="12" t="inlineStr">
        <is>
          <t>1 pr</t>
        </is>
      </c>
      <c r="M4922" s="12" t="inlineStr">
        <is>
          <t>16</t>
        </is>
      </c>
      <c r="N4922" s="12" t="n">
        <v>20</v>
      </c>
      <c r="O4922" s="12" t="n">
        <v>1</v>
      </c>
      <c r="P4922" s="12" t="n"/>
      <c r="Q4922" s="12" t="n"/>
      <c r="R4922" s="12" t="n"/>
      <c r="S4922" s="12" t="inlineStr">
        <is>
          <t>Tray / conduit</t>
        </is>
      </c>
      <c r="T4922" s="15" t="n">
        <v>72</v>
      </c>
      <c r="U4922" s="15" t="n">
        <v>10</v>
      </c>
      <c r="V4922" s="15">
        <f>ROUNDUP((T4922+U4922+2*'Read Me'!$B$13)*(1+'Read Me'!$B$12),-1)</f>
        <v/>
      </c>
      <c r="W4922" s="15">
        <f>V4922*N4922*O4922</f>
        <v/>
      </c>
      <c r="X4922" s="12">
        <f>IF(LEFT(I4922,2)="MV",2*N4922*IF(L4922="1/C",O4922,1),0)</f>
        <v/>
      </c>
      <c r="Y4922" s="12">
        <f>IF(OR(LEFT(K4922,4)="LVAX",LEFT(K4922,6)="MV15AX",LEFT(K4922,4)="CTAX",LEFT(K4922,2)="W|"),2*N4922*O4922,0)</f>
        <v/>
      </c>
      <c r="Z4922" s="12" t="inlineStr">
        <is>
          <t>device-to-JB field wiring, one cable per device</t>
        </is>
      </c>
      <c r="AA4922" s="12">
        <f>N4922*O4922</f>
        <v/>
      </c>
    </row>
    <row r="4923">
      <c r="A4923" s="12" t="inlineStr">
        <is>
          <t>I-I-0320</t>
        </is>
      </c>
      <c r="B4923" s="12" t="inlineStr">
        <is>
          <t>I</t>
        </is>
      </c>
      <c r="C4923" s="12" t="inlineStr">
        <is>
          <t>Modular / portable power</t>
        </is>
      </c>
      <c r="D4923" s="12" t="inlineStr">
        <is>
          <t>Home run JB-RICE-5-DI03 to the control / marshalling room</t>
        </is>
      </c>
      <c r="E4923" s="12" t="inlineStr"/>
      <c r="F4923" s="12" t="inlineStr">
        <is>
          <t>PCM: power control module</t>
        </is>
      </c>
      <c r="G4923" s="12" t="inlineStr">
        <is>
          <t>JB-RICE-5-DI03</t>
        </is>
      </c>
      <c r="H4923" s="12" t="inlineStr">
        <is>
          <t>RICE engine-generator 5</t>
        </is>
      </c>
      <c r="I4923" s="12" t="inlineStr">
        <is>
          <t>Instrumentation</t>
        </is>
      </c>
      <c r="J4923" s="12" t="inlineStr">
        <is>
          <t>Instrumentation PLTC / TC-ER 300 V, #18 twisted shielded pairs, overall shield</t>
        </is>
      </c>
      <c r="K4923" s="12" t="inlineStr">
        <is>
          <t>PLTC|24 pr|18</t>
        </is>
      </c>
      <c r="L4923" s="12" t="inlineStr">
        <is>
          <t>24 pr</t>
        </is>
      </c>
      <c r="M4923" s="12" t="inlineStr">
        <is>
          <t>18</t>
        </is>
      </c>
      <c r="N4923" s="12" t="n">
        <v>1</v>
      </c>
      <c r="O4923" s="12" t="n">
        <v>1</v>
      </c>
      <c r="P4923" s="12" t="n"/>
      <c r="Q4923" s="12" t="n"/>
      <c r="R4923" s="12" t="n"/>
      <c r="S4923" s="12" t="inlineStr">
        <is>
          <t>Duct bank</t>
        </is>
      </c>
      <c r="T4923" s="15" t="n">
        <v>57</v>
      </c>
      <c r="U4923" s="15" t="n">
        <v>181</v>
      </c>
      <c r="V4923" s="15">
        <f>ROUNDUP((T4923+U4923+2*'Read Me'!$B$13)*(1+'Read Me'!$B$12),-1)</f>
        <v/>
      </c>
      <c r="W4923" s="15">
        <f>V4923*N4923*O4923</f>
        <v/>
      </c>
      <c r="X4923" s="12">
        <f>IF(LEFT(I4923,2)="MV",2*N4923*IF(L4923="1/C",O4923,1),0)</f>
        <v/>
      </c>
      <c r="Y4923" s="12">
        <f>IF(OR(LEFT(K4923,4)="LVAX",LEFT(K4923,6)="MV15AX",LEFT(K4923,4)="CTAX",LEFT(K4923,2)="W|"),2*N4923*O4923,0)</f>
        <v/>
      </c>
      <c r="Z4923" s="12" t="inlineStr"/>
      <c r="AA4923" s="12">
        <f>N4923*O4923</f>
        <v/>
      </c>
    </row>
    <row r="4924">
      <c r="A4924" s="12" t="inlineStr">
        <is>
          <t>I-I-0321</t>
        </is>
      </c>
      <c r="B4924" s="12" t="inlineStr">
        <is>
          <t>I</t>
        </is>
      </c>
      <c r="C4924" s="12" t="inlineStr">
        <is>
          <t>Modular / portable power</t>
        </is>
      </c>
      <c r="D4924" s="12" t="inlineStr">
        <is>
          <t>Thermocouple to TC JB JB-RICE-5-TC01: 20 x 1 pr (field cables)</t>
        </is>
      </c>
      <c r="E4924" s="12" t="inlineStr">
        <is>
          <t>RICE-5</t>
        </is>
      </c>
      <c r="F4924" s="12" t="inlineStr">
        <is>
          <t>RICE engine-generator 5</t>
        </is>
      </c>
      <c r="G4924" s="12" t="inlineStr">
        <is>
          <t>JB-RICE-5-TC01</t>
        </is>
      </c>
      <c r="H4924" s="12" t="inlineStr">
        <is>
          <t>RICE engine-generator 5</t>
        </is>
      </c>
      <c r="I4924" s="12" t="inlineStr">
        <is>
          <t>Instrumentation</t>
        </is>
      </c>
      <c r="J4924" s="12" t="inlineStr">
        <is>
          <t>Thermocouple extension KX, #16 shielded pairs, PLTC</t>
        </is>
      </c>
      <c r="K4924" s="12" t="inlineStr">
        <is>
          <t>TCX|1 pr|16</t>
        </is>
      </c>
      <c r="L4924" s="12" t="inlineStr">
        <is>
          <t>1 pr</t>
        </is>
      </c>
      <c r="M4924" s="12" t="inlineStr">
        <is>
          <t>16</t>
        </is>
      </c>
      <c r="N4924" s="12" t="n">
        <v>20</v>
      </c>
      <c r="O4924" s="12" t="n">
        <v>1</v>
      </c>
      <c r="P4924" s="12" t="n"/>
      <c r="Q4924" s="12" t="n"/>
      <c r="R4924" s="12" t="n"/>
      <c r="S4924" s="12" t="inlineStr">
        <is>
          <t>Tray / conduit</t>
        </is>
      </c>
      <c r="T4924" s="15" t="n">
        <v>72</v>
      </c>
      <c r="U4924" s="15" t="n">
        <v>10</v>
      </c>
      <c r="V4924" s="15">
        <f>ROUNDUP((T4924+U4924+2*'Read Me'!$B$13)*(1+'Read Me'!$B$12),-1)</f>
        <v/>
      </c>
      <c r="W4924" s="15">
        <f>V4924*N4924*O4924</f>
        <v/>
      </c>
      <c r="X4924" s="12">
        <f>IF(LEFT(I4924,2)="MV",2*N4924*IF(L4924="1/C",O4924,1),0)</f>
        <v/>
      </c>
      <c r="Y4924" s="12">
        <f>IF(OR(LEFT(K4924,4)="LVAX",LEFT(K4924,6)="MV15AX",LEFT(K4924,4)="CTAX",LEFT(K4924,2)="W|"),2*N4924*O4924,0)</f>
        <v/>
      </c>
      <c r="Z4924" s="12" t="inlineStr">
        <is>
          <t>device-to-JB field wiring, one cable per device</t>
        </is>
      </c>
      <c r="AA4924" s="12">
        <f>N4924*O4924</f>
        <v/>
      </c>
    </row>
    <row r="4925">
      <c r="A4925" s="12" t="inlineStr">
        <is>
          <t>I-I-0322</t>
        </is>
      </c>
      <c r="B4925" s="12" t="inlineStr">
        <is>
          <t>I</t>
        </is>
      </c>
      <c r="C4925" s="12" t="inlineStr">
        <is>
          <t>Modular / portable power</t>
        </is>
      </c>
      <c r="D4925" s="12" t="inlineStr">
        <is>
          <t>Home run JB-RICE-5-TC01 to the control / marshalling room</t>
        </is>
      </c>
      <c r="E4925" s="12" t="inlineStr"/>
      <c r="F4925" s="12" t="inlineStr">
        <is>
          <t>PCM: power control module</t>
        </is>
      </c>
      <c r="G4925" s="12" t="inlineStr">
        <is>
          <t>JB-RICE-5-TC01</t>
        </is>
      </c>
      <c r="H4925" s="12" t="inlineStr">
        <is>
          <t>RICE engine-generator 5</t>
        </is>
      </c>
      <c r="I4925" s="12" t="inlineStr">
        <is>
          <t>Instrumentation</t>
        </is>
      </c>
      <c r="J4925" s="12" t="inlineStr">
        <is>
          <t>Thermocouple extension KX, #16 shielded pairs, PLTC</t>
        </is>
      </c>
      <c r="K4925" s="12" t="inlineStr">
        <is>
          <t>TCX|24 pr|16</t>
        </is>
      </c>
      <c r="L4925" s="12" t="inlineStr">
        <is>
          <t>24 pr</t>
        </is>
      </c>
      <c r="M4925" s="12" t="inlineStr">
        <is>
          <t>16</t>
        </is>
      </c>
      <c r="N4925" s="12" t="n">
        <v>1</v>
      </c>
      <c r="O4925" s="12" t="n">
        <v>1</v>
      </c>
      <c r="P4925" s="12" t="n"/>
      <c r="Q4925" s="12" t="n"/>
      <c r="R4925" s="12" t="n"/>
      <c r="S4925" s="12" t="inlineStr">
        <is>
          <t>Duct bank</t>
        </is>
      </c>
      <c r="T4925" s="15" t="n">
        <v>57</v>
      </c>
      <c r="U4925" s="15" t="n">
        <v>181</v>
      </c>
      <c r="V4925" s="15">
        <f>ROUNDUP((T4925+U4925+2*'Read Me'!$B$13)*(1+'Read Me'!$B$12),-1)</f>
        <v/>
      </c>
      <c r="W4925" s="15">
        <f>V4925*N4925*O4925</f>
        <v/>
      </c>
      <c r="X4925" s="12">
        <f>IF(LEFT(I4925,2)="MV",2*N4925*IF(L4925="1/C",O4925,1),0)</f>
        <v/>
      </c>
      <c r="Y4925" s="12">
        <f>IF(OR(LEFT(K4925,4)="LVAX",LEFT(K4925,6)="MV15AX",LEFT(K4925,4)="CTAX",LEFT(K4925,2)="W|"),2*N4925*O4925,0)</f>
        <v/>
      </c>
      <c r="Z4925" s="12" t="inlineStr"/>
      <c r="AA4925" s="12">
        <f>N4925*O4925</f>
        <v/>
      </c>
    </row>
    <row r="4926">
      <c r="A4926" s="12" t="inlineStr">
        <is>
          <t>I-I-0323</t>
        </is>
      </c>
      <c r="B4926" s="12" t="inlineStr">
        <is>
          <t>I</t>
        </is>
      </c>
      <c r="C4926" s="12" t="inlineStr">
        <is>
          <t>Modular / portable power</t>
        </is>
      </c>
      <c r="D4926" s="12" t="inlineStr">
        <is>
          <t>Thermocouple to TC JB JB-RICE-5-TC02: 10 x 1 pr (field cables)</t>
        </is>
      </c>
      <c r="E4926" s="12" t="inlineStr">
        <is>
          <t>RICE-5</t>
        </is>
      </c>
      <c r="F4926" s="12" t="inlineStr">
        <is>
          <t>RICE engine-generator 5</t>
        </is>
      </c>
      <c r="G4926" s="12" t="inlineStr">
        <is>
          <t>JB-RICE-5-TC02</t>
        </is>
      </c>
      <c r="H4926" s="12" t="inlineStr">
        <is>
          <t>RICE engine-generator 5</t>
        </is>
      </c>
      <c r="I4926" s="12" t="inlineStr">
        <is>
          <t>Instrumentation</t>
        </is>
      </c>
      <c r="J4926" s="12" t="inlineStr">
        <is>
          <t>Thermocouple extension KX, #16 shielded pairs, PLTC</t>
        </is>
      </c>
      <c r="K4926" s="12" t="inlineStr">
        <is>
          <t>TCX|1 pr|16</t>
        </is>
      </c>
      <c r="L4926" s="12" t="inlineStr">
        <is>
          <t>1 pr</t>
        </is>
      </c>
      <c r="M4926" s="12" t="inlineStr">
        <is>
          <t>16</t>
        </is>
      </c>
      <c r="N4926" s="12" t="n">
        <v>10</v>
      </c>
      <c r="O4926" s="12" t="n">
        <v>1</v>
      </c>
      <c r="P4926" s="12" t="n"/>
      <c r="Q4926" s="12" t="n"/>
      <c r="R4926" s="12" t="n"/>
      <c r="S4926" s="12" t="inlineStr">
        <is>
          <t>Tray / conduit</t>
        </is>
      </c>
      <c r="T4926" s="15" t="n">
        <v>72</v>
      </c>
      <c r="U4926" s="15" t="n">
        <v>10</v>
      </c>
      <c r="V4926" s="15">
        <f>ROUNDUP((T4926+U4926+2*'Read Me'!$B$13)*(1+'Read Me'!$B$12),-1)</f>
        <v/>
      </c>
      <c r="W4926" s="15">
        <f>V4926*N4926*O4926</f>
        <v/>
      </c>
      <c r="X4926" s="12">
        <f>IF(LEFT(I4926,2)="MV",2*N4926*IF(L4926="1/C",O4926,1),0)</f>
        <v/>
      </c>
      <c r="Y4926" s="12">
        <f>IF(OR(LEFT(K4926,4)="LVAX",LEFT(K4926,6)="MV15AX",LEFT(K4926,4)="CTAX",LEFT(K4926,2)="W|"),2*N4926*O4926,0)</f>
        <v/>
      </c>
      <c r="Z4926" s="12" t="inlineStr">
        <is>
          <t>device-to-JB field wiring, one cable per device</t>
        </is>
      </c>
      <c r="AA4926" s="12">
        <f>N4926*O4926</f>
        <v/>
      </c>
    </row>
    <row r="4927">
      <c r="A4927" s="12" t="inlineStr">
        <is>
          <t>I-I-0324</t>
        </is>
      </c>
      <c r="B4927" s="12" t="inlineStr">
        <is>
          <t>I</t>
        </is>
      </c>
      <c r="C4927" s="12" t="inlineStr">
        <is>
          <t>Modular / portable power</t>
        </is>
      </c>
      <c r="D4927" s="12" t="inlineStr">
        <is>
          <t>Home run JB-RICE-5-TC02 to the control / marshalling room</t>
        </is>
      </c>
      <c r="E4927" s="12" t="inlineStr"/>
      <c r="F4927" s="12" t="inlineStr">
        <is>
          <t>PCM: power control module</t>
        </is>
      </c>
      <c r="G4927" s="12" t="inlineStr">
        <is>
          <t>JB-RICE-5-TC02</t>
        </is>
      </c>
      <c r="H4927" s="12" t="inlineStr">
        <is>
          <t>RICE engine-generator 5</t>
        </is>
      </c>
      <c r="I4927" s="12" t="inlineStr">
        <is>
          <t>Instrumentation</t>
        </is>
      </c>
      <c r="J4927" s="12" t="inlineStr">
        <is>
          <t>Thermocouple extension KX, #16 shielded pairs, PLTC</t>
        </is>
      </c>
      <c r="K4927" s="12" t="inlineStr">
        <is>
          <t>TCX|24 pr|16</t>
        </is>
      </c>
      <c r="L4927" s="12" t="inlineStr">
        <is>
          <t>24 pr</t>
        </is>
      </c>
      <c r="M4927" s="12" t="inlineStr">
        <is>
          <t>16</t>
        </is>
      </c>
      <c r="N4927" s="12" t="n">
        <v>1</v>
      </c>
      <c r="O4927" s="12" t="n">
        <v>1</v>
      </c>
      <c r="P4927" s="12" t="n"/>
      <c r="Q4927" s="12" t="n"/>
      <c r="R4927" s="12" t="n"/>
      <c r="S4927" s="12" t="inlineStr">
        <is>
          <t>Duct bank</t>
        </is>
      </c>
      <c r="T4927" s="15" t="n">
        <v>57</v>
      </c>
      <c r="U4927" s="15" t="n">
        <v>181</v>
      </c>
      <c r="V4927" s="15">
        <f>ROUNDUP((T4927+U4927+2*'Read Me'!$B$13)*(1+'Read Me'!$B$12),-1)</f>
        <v/>
      </c>
      <c r="W4927" s="15">
        <f>V4927*N4927*O4927</f>
        <v/>
      </c>
      <c r="X4927" s="12">
        <f>IF(LEFT(I4927,2)="MV",2*N4927*IF(L4927="1/C",O4927,1),0)</f>
        <v/>
      </c>
      <c r="Y4927" s="12">
        <f>IF(OR(LEFT(K4927,4)="LVAX",LEFT(K4927,6)="MV15AX",LEFT(K4927,4)="CTAX",LEFT(K4927,2)="W|"),2*N4927*O4927,0)</f>
        <v/>
      </c>
      <c r="Z4927" s="12" t="inlineStr"/>
      <c r="AA4927" s="12">
        <f>N4927*O4927</f>
        <v/>
      </c>
    </row>
    <row r="4928">
      <c r="A4928" s="12" t="inlineStr">
        <is>
          <t>I-I-0325</t>
        </is>
      </c>
      <c r="B4928" s="12" t="inlineStr">
        <is>
          <t>I</t>
        </is>
      </c>
      <c r="C4928" s="12" t="inlineStr">
        <is>
          <t>Modular / portable power</t>
        </is>
      </c>
      <c r="D4928" s="12" t="inlineStr">
        <is>
          <t>RTD to JB JB-RICE-5-RTD01: 10 x 1 tri (field cables)</t>
        </is>
      </c>
      <c r="E4928" s="12" t="inlineStr">
        <is>
          <t>RICE-5</t>
        </is>
      </c>
      <c r="F4928" s="12" t="inlineStr">
        <is>
          <t>RICE engine-generator 5</t>
        </is>
      </c>
      <c r="G4928" s="12" t="inlineStr">
        <is>
          <t>JB-RICE-5-RTD01</t>
        </is>
      </c>
      <c r="H4928" s="12" t="inlineStr">
        <is>
          <t>RICE engine-generator 5</t>
        </is>
      </c>
      <c r="I4928" s="12" t="inlineStr">
        <is>
          <t>Instrumentation</t>
        </is>
      </c>
      <c r="J4928" s="12" t="inlineStr">
        <is>
          <t>RTD cable, #18 shielded triads, PLTC</t>
        </is>
      </c>
      <c r="K4928" s="12" t="inlineStr">
        <is>
          <t>RTD|1 tri|18</t>
        </is>
      </c>
      <c r="L4928" s="12" t="inlineStr">
        <is>
          <t>1 tri</t>
        </is>
      </c>
      <c r="M4928" s="12" t="inlineStr">
        <is>
          <t>18</t>
        </is>
      </c>
      <c r="N4928" s="12" t="n">
        <v>10</v>
      </c>
      <c r="O4928" s="12" t="n">
        <v>1</v>
      </c>
      <c r="P4928" s="12" t="n"/>
      <c r="Q4928" s="12" t="n"/>
      <c r="R4928" s="12" t="n"/>
      <c r="S4928" s="12" t="inlineStr">
        <is>
          <t>Tray / conduit</t>
        </is>
      </c>
      <c r="T4928" s="15" t="n">
        <v>72</v>
      </c>
      <c r="U4928" s="15" t="n">
        <v>10</v>
      </c>
      <c r="V4928" s="15">
        <f>ROUNDUP((T4928+U4928+2*'Read Me'!$B$13)*(1+'Read Me'!$B$12),-1)</f>
        <v/>
      </c>
      <c r="W4928" s="15">
        <f>V4928*N4928*O4928</f>
        <v/>
      </c>
      <c r="X4928" s="12">
        <f>IF(LEFT(I4928,2)="MV",2*N4928*IF(L4928="1/C",O4928,1),0)</f>
        <v/>
      </c>
      <c r="Y4928" s="12">
        <f>IF(OR(LEFT(K4928,4)="LVAX",LEFT(K4928,6)="MV15AX",LEFT(K4928,4)="CTAX",LEFT(K4928,2)="W|"),2*N4928*O4928,0)</f>
        <v/>
      </c>
      <c r="Z4928" s="12" t="inlineStr">
        <is>
          <t>device-to-JB field wiring, one cable per device</t>
        </is>
      </c>
      <c r="AA4928" s="12">
        <f>N4928*O4928</f>
        <v/>
      </c>
    </row>
    <row r="4929">
      <c r="A4929" s="12" t="inlineStr">
        <is>
          <t>I-I-0326</t>
        </is>
      </c>
      <c r="B4929" s="12" t="inlineStr">
        <is>
          <t>I</t>
        </is>
      </c>
      <c r="C4929" s="12" t="inlineStr">
        <is>
          <t>Modular / portable power</t>
        </is>
      </c>
      <c r="D4929" s="12" t="inlineStr">
        <is>
          <t>Home run JB-RICE-5-RTD01 to the control / marshalling room</t>
        </is>
      </c>
      <c r="E4929" s="12" t="inlineStr"/>
      <c r="F4929" s="12" t="inlineStr">
        <is>
          <t>PCM: power control module</t>
        </is>
      </c>
      <c r="G4929" s="12" t="inlineStr">
        <is>
          <t>JB-RICE-5-RTD01</t>
        </is>
      </c>
      <c r="H4929" s="12" t="inlineStr">
        <is>
          <t>RICE engine-generator 5</t>
        </is>
      </c>
      <c r="I4929" s="12" t="inlineStr">
        <is>
          <t>Instrumentation</t>
        </is>
      </c>
      <c r="J4929" s="12" t="inlineStr">
        <is>
          <t>RTD cable, #18 shielded triads, PLTC</t>
        </is>
      </c>
      <c r="K4929" s="12" t="inlineStr">
        <is>
          <t>RTD|12 tri|18</t>
        </is>
      </c>
      <c r="L4929" s="12" t="inlineStr">
        <is>
          <t>12 tri</t>
        </is>
      </c>
      <c r="M4929" s="12" t="inlineStr">
        <is>
          <t>18</t>
        </is>
      </c>
      <c r="N4929" s="12" t="n">
        <v>1</v>
      </c>
      <c r="O4929" s="12" t="n">
        <v>1</v>
      </c>
      <c r="P4929" s="12" t="n"/>
      <c r="Q4929" s="12" t="n"/>
      <c r="R4929" s="12" t="n"/>
      <c r="S4929" s="12" t="inlineStr">
        <is>
          <t>Duct bank</t>
        </is>
      </c>
      <c r="T4929" s="15" t="n">
        <v>57</v>
      </c>
      <c r="U4929" s="15" t="n">
        <v>181</v>
      </c>
      <c r="V4929" s="15">
        <f>ROUNDUP((T4929+U4929+2*'Read Me'!$B$13)*(1+'Read Me'!$B$12),-1)</f>
        <v/>
      </c>
      <c r="W4929" s="15">
        <f>V4929*N4929*O4929</f>
        <v/>
      </c>
      <c r="X4929" s="12">
        <f>IF(LEFT(I4929,2)="MV",2*N4929*IF(L4929="1/C",O4929,1),0)</f>
        <v/>
      </c>
      <c r="Y4929" s="12">
        <f>IF(OR(LEFT(K4929,4)="LVAX",LEFT(K4929,6)="MV15AX",LEFT(K4929,4)="CTAX",LEFT(K4929,2)="W|"),2*N4929*O4929,0)</f>
        <v/>
      </c>
      <c r="Z4929" s="12" t="inlineStr"/>
      <c r="AA4929" s="12">
        <f>N4929*O4929</f>
        <v/>
      </c>
    </row>
    <row r="4930">
      <c r="A4930" s="12" t="inlineStr">
        <is>
          <t>I-I-0327</t>
        </is>
      </c>
      <c r="B4930" s="12" t="inlineStr">
        <is>
          <t>I</t>
        </is>
      </c>
      <c r="C4930" s="12" t="inlineStr">
        <is>
          <t>Modular / portable power</t>
        </is>
      </c>
      <c r="D4930" s="12" t="inlineStr">
        <is>
          <t>RTD to JB JB-RICE-5-RTD02: 2 x 1 tri (field cables)</t>
        </is>
      </c>
      <c r="E4930" s="12" t="inlineStr">
        <is>
          <t>RICE-5</t>
        </is>
      </c>
      <c r="F4930" s="12" t="inlineStr">
        <is>
          <t>RICE engine-generator 5</t>
        </is>
      </c>
      <c r="G4930" s="12" t="inlineStr">
        <is>
          <t>JB-RICE-5-RTD02</t>
        </is>
      </c>
      <c r="H4930" s="12" t="inlineStr">
        <is>
          <t>RICE engine-generator 5</t>
        </is>
      </c>
      <c r="I4930" s="12" t="inlineStr">
        <is>
          <t>Instrumentation</t>
        </is>
      </c>
      <c r="J4930" s="12" t="inlineStr">
        <is>
          <t>RTD cable, #18 shielded triads, PLTC</t>
        </is>
      </c>
      <c r="K4930" s="12" t="inlineStr">
        <is>
          <t>RTD|1 tri|18</t>
        </is>
      </c>
      <c r="L4930" s="12" t="inlineStr">
        <is>
          <t>1 tri</t>
        </is>
      </c>
      <c r="M4930" s="12" t="inlineStr">
        <is>
          <t>18</t>
        </is>
      </c>
      <c r="N4930" s="12" t="n">
        <v>2</v>
      </c>
      <c r="O4930" s="12" t="n">
        <v>1</v>
      </c>
      <c r="P4930" s="12" t="n"/>
      <c r="Q4930" s="12" t="n"/>
      <c r="R4930" s="12" t="n"/>
      <c r="S4930" s="12" t="inlineStr">
        <is>
          <t>Tray / conduit</t>
        </is>
      </c>
      <c r="T4930" s="15" t="n">
        <v>72</v>
      </c>
      <c r="U4930" s="15" t="n">
        <v>10</v>
      </c>
      <c r="V4930" s="15">
        <f>ROUNDUP((T4930+U4930+2*'Read Me'!$B$13)*(1+'Read Me'!$B$12),-1)</f>
        <v/>
      </c>
      <c r="W4930" s="15">
        <f>V4930*N4930*O4930</f>
        <v/>
      </c>
      <c r="X4930" s="12">
        <f>IF(LEFT(I4930,2)="MV",2*N4930*IF(L4930="1/C",O4930,1),0)</f>
        <v/>
      </c>
      <c r="Y4930" s="12">
        <f>IF(OR(LEFT(K4930,4)="LVAX",LEFT(K4930,6)="MV15AX",LEFT(K4930,4)="CTAX",LEFT(K4930,2)="W|"),2*N4930*O4930,0)</f>
        <v/>
      </c>
      <c r="Z4930" s="12" t="inlineStr">
        <is>
          <t>device-to-JB field wiring, one cable per device</t>
        </is>
      </c>
      <c r="AA4930" s="12">
        <f>N4930*O4930</f>
        <v/>
      </c>
    </row>
    <row r="4931">
      <c r="A4931" s="12" t="inlineStr">
        <is>
          <t>I-I-0328</t>
        </is>
      </c>
      <c r="B4931" s="12" t="inlineStr">
        <is>
          <t>I</t>
        </is>
      </c>
      <c r="C4931" s="12" t="inlineStr">
        <is>
          <t>Modular / portable power</t>
        </is>
      </c>
      <c r="D4931" s="12" t="inlineStr">
        <is>
          <t>Home run JB-RICE-5-RTD02 to the control / marshalling room</t>
        </is>
      </c>
      <c r="E4931" s="12" t="inlineStr"/>
      <c r="F4931" s="12" t="inlineStr">
        <is>
          <t>PCM: power control module</t>
        </is>
      </c>
      <c r="G4931" s="12" t="inlineStr">
        <is>
          <t>JB-RICE-5-RTD02</t>
        </is>
      </c>
      <c r="H4931" s="12" t="inlineStr">
        <is>
          <t>RICE engine-generator 5</t>
        </is>
      </c>
      <c r="I4931" s="12" t="inlineStr">
        <is>
          <t>Instrumentation</t>
        </is>
      </c>
      <c r="J4931" s="12" t="inlineStr">
        <is>
          <t>RTD cable, #18 shielded triads, PLTC</t>
        </is>
      </c>
      <c r="K4931" s="12" t="inlineStr">
        <is>
          <t>RTD|12 tri|18</t>
        </is>
      </c>
      <c r="L4931" s="12" t="inlineStr">
        <is>
          <t>12 tri</t>
        </is>
      </c>
      <c r="M4931" s="12" t="inlineStr">
        <is>
          <t>18</t>
        </is>
      </c>
      <c r="N4931" s="12" t="n">
        <v>1</v>
      </c>
      <c r="O4931" s="12" t="n">
        <v>1</v>
      </c>
      <c r="P4931" s="12" t="n"/>
      <c r="Q4931" s="12" t="n"/>
      <c r="R4931" s="12" t="n"/>
      <c r="S4931" s="12" t="inlineStr">
        <is>
          <t>Duct bank</t>
        </is>
      </c>
      <c r="T4931" s="15" t="n">
        <v>57</v>
      </c>
      <c r="U4931" s="15" t="n">
        <v>181</v>
      </c>
      <c r="V4931" s="15">
        <f>ROUNDUP((T4931+U4931+2*'Read Me'!$B$13)*(1+'Read Me'!$B$12),-1)</f>
        <v/>
      </c>
      <c r="W4931" s="15">
        <f>V4931*N4931*O4931</f>
        <v/>
      </c>
      <c r="X4931" s="12">
        <f>IF(LEFT(I4931,2)="MV",2*N4931*IF(L4931="1/C",O4931,1),0)</f>
        <v/>
      </c>
      <c r="Y4931" s="12">
        <f>IF(OR(LEFT(K4931,4)="LVAX",LEFT(K4931,6)="MV15AX",LEFT(K4931,4)="CTAX",LEFT(K4931,2)="W|"),2*N4931*O4931,0)</f>
        <v/>
      </c>
      <c r="Z4931" s="12" t="inlineStr"/>
      <c r="AA4931" s="12">
        <f>N4931*O4931</f>
        <v/>
      </c>
    </row>
    <row r="4932">
      <c r="A4932" s="12" t="inlineStr">
        <is>
          <t>I-I-0329</t>
        </is>
      </c>
      <c r="B4932" s="12" t="inlineStr">
        <is>
          <t>I</t>
        </is>
      </c>
      <c r="C4932" s="12" t="inlineStr">
        <is>
          <t>Modular / portable power</t>
        </is>
      </c>
      <c r="D4932" s="12" t="inlineStr">
        <is>
          <t>Analog instrument to JB JB-RICE-6-AI01: 20 x 1 pr (field cables)</t>
        </is>
      </c>
      <c r="E4932" s="12" t="inlineStr">
        <is>
          <t>RICE-6</t>
        </is>
      </c>
      <c r="F4932" s="12" t="inlineStr">
        <is>
          <t>RICE engine-generator 6</t>
        </is>
      </c>
      <c r="G4932" s="12" t="inlineStr">
        <is>
          <t>JB-RICE-6-AI01</t>
        </is>
      </c>
      <c r="H4932" s="12" t="inlineStr">
        <is>
          <t>RICE engine-generator 6</t>
        </is>
      </c>
      <c r="I4932" s="12" t="inlineStr">
        <is>
          <t>Instrumentation</t>
        </is>
      </c>
      <c r="J4932" s="12" t="inlineStr">
        <is>
          <t>Instrumentation PLTC / TC-ER 300 V, #18 twisted shielded pairs, overall shield</t>
        </is>
      </c>
      <c r="K4932" s="12" t="inlineStr">
        <is>
          <t>PLTC|1 pr|16</t>
        </is>
      </c>
      <c r="L4932" s="12" t="inlineStr">
        <is>
          <t>1 pr</t>
        </is>
      </c>
      <c r="M4932" s="12" t="inlineStr">
        <is>
          <t>16</t>
        </is>
      </c>
      <c r="N4932" s="12" t="n">
        <v>20</v>
      </c>
      <c r="O4932" s="12" t="n">
        <v>1</v>
      </c>
      <c r="P4932" s="12" t="n"/>
      <c r="Q4932" s="12" t="n"/>
      <c r="R4932" s="12" t="n"/>
      <c r="S4932" s="12" t="inlineStr">
        <is>
          <t>Tray / conduit</t>
        </is>
      </c>
      <c r="T4932" s="15" t="n">
        <v>72</v>
      </c>
      <c r="U4932" s="15" t="n">
        <v>10</v>
      </c>
      <c r="V4932" s="15">
        <f>ROUNDUP((T4932+U4932+2*'Read Me'!$B$13)*(1+'Read Me'!$B$12),-1)</f>
        <v/>
      </c>
      <c r="W4932" s="15">
        <f>V4932*N4932*O4932</f>
        <v/>
      </c>
      <c r="X4932" s="12">
        <f>IF(LEFT(I4932,2)="MV",2*N4932*IF(L4932="1/C",O4932,1),0)</f>
        <v/>
      </c>
      <c r="Y4932" s="12">
        <f>IF(OR(LEFT(K4932,4)="LVAX",LEFT(K4932,6)="MV15AX",LEFT(K4932,4)="CTAX",LEFT(K4932,2)="W|"),2*N4932*O4932,0)</f>
        <v/>
      </c>
      <c r="Z4932" s="12" t="inlineStr">
        <is>
          <t>device-to-JB field wiring, one cable per device</t>
        </is>
      </c>
      <c r="AA4932" s="12">
        <f>N4932*O4932</f>
        <v/>
      </c>
    </row>
    <row r="4933">
      <c r="A4933" s="12" t="inlineStr">
        <is>
          <t>I-I-0330</t>
        </is>
      </c>
      <c r="B4933" s="12" t="inlineStr">
        <is>
          <t>I</t>
        </is>
      </c>
      <c r="C4933" s="12" t="inlineStr">
        <is>
          <t>Modular / portable power</t>
        </is>
      </c>
      <c r="D4933" s="12" t="inlineStr">
        <is>
          <t>Home run JB-RICE-6-AI01 to the control / marshalling room</t>
        </is>
      </c>
      <c r="E4933" s="12" t="inlineStr"/>
      <c r="F4933" s="12" t="inlineStr">
        <is>
          <t>PCM: power control module</t>
        </is>
      </c>
      <c r="G4933" s="12" t="inlineStr">
        <is>
          <t>JB-RICE-6-AI01</t>
        </is>
      </c>
      <c r="H4933" s="12" t="inlineStr">
        <is>
          <t>RICE engine-generator 6</t>
        </is>
      </c>
      <c r="I4933" s="12" t="inlineStr">
        <is>
          <t>Instrumentation</t>
        </is>
      </c>
      <c r="J4933" s="12" t="inlineStr">
        <is>
          <t>Instrumentation PLTC / TC-ER 300 V, #18 twisted shielded pairs, overall shield</t>
        </is>
      </c>
      <c r="K4933" s="12" t="inlineStr">
        <is>
          <t>PLTC|24 pr|18</t>
        </is>
      </c>
      <c r="L4933" s="12" t="inlineStr">
        <is>
          <t>24 pr</t>
        </is>
      </c>
      <c r="M4933" s="12" t="inlineStr">
        <is>
          <t>18</t>
        </is>
      </c>
      <c r="N4933" s="12" t="n">
        <v>1</v>
      </c>
      <c r="O4933" s="12" t="n">
        <v>1</v>
      </c>
      <c r="P4933" s="12" t="n"/>
      <c r="Q4933" s="12" t="n"/>
      <c r="R4933" s="12" t="n"/>
      <c r="S4933" s="12" t="inlineStr">
        <is>
          <t>Duct bank</t>
        </is>
      </c>
      <c r="T4933" s="15" t="n">
        <v>57</v>
      </c>
      <c r="U4933" s="15" t="n">
        <v>153</v>
      </c>
      <c r="V4933" s="15">
        <f>ROUNDUP((T4933+U4933+2*'Read Me'!$B$13)*(1+'Read Me'!$B$12),-1)</f>
        <v/>
      </c>
      <c r="W4933" s="15">
        <f>V4933*N4933*O4933</f>
        <v/>
      </c>
      <c r="X4933" s="12">
        <f>IF(LEFT(I4933,2)="MV",2*N4933*IF(L4933="1/C",O4933,1),0)</f>
        <v/>
      </c>
      <c r="Y4933" s="12">
        <f>IF(OR(LEFT(K4933,4)="LVAX",LEFT(K4933,6)="MV15AX",LEFT(K4933,4)="CTAX",LEFT(K4933,2)="W|"),2*N4933*O4933,0)</f>
        <v/>
      </c>
      <c r="Z4933" s="12" t="inlineStr"/>
      <c r="AA4933" s="12">
        <f>N4933*O4933</f>
        <v/>
      </c>
    </row>
    <row r="4934">
      <c r="A4934" s="12" t="inlineStr">
        <is>
          <t>I-I-0331</t>
        </is>
      </c>
      <c r="B4934" s="12" t="inlineStr">
        <is>
          <t>I</t>
        </is>
      </c>
      <c r="C4934" s="12" t="inlineStr">
        <is>
          <t>Modular / portable power</t>
        </is>
      </c>
      <c r="D4934" s="12" t="inlineStr">
        <is>
          <t>Analog instrument to JB JB-RICE-6-AI02: 20 x 1 pr (field cables)</t>
        </is>
      </c>
      <c r="E4934" s="12" t="inlineStr">
        <is>
          <t>RICE-6</t>
        </is>
      </c>
      <c r="F4934" s="12" t="inlineStr">
        <is>
          <t>RICE engine-generator 6</t>
        </is>
      </c>
      <c r="G4934" s="12" t="inlineStr">
        <is>
          <t>JB-RICE-6-AI02</t>
        </is>
      </c>
      <c r="H4934" s="12" t="inlineStr">
        <is>
          <t>RICE engine-generator 6</t>
        </is>
      </c>
      <c r="I4934" s="12" t="inlineStr">
        <is>
          <t>Instrumentation</t>
        </is>
      </c>
      <c r="J4934" s="12" t="inlineStr">
        <is>
          <t>Instrumentation PLTC / TC-ER 300 V, #18 twisted shielded pairs, overall shield</t>
        </is>
      </c>
      <c r="K4934" s="12" t="inlineStr">
        <is>
          <t>PLTC|1 pr|16</t>
        </is>
      </c>
      <c r="L4934" s="12" t="inlineStr">
        <is>
          <t>1 pr</t>
        </is>
      </c>
      <c r="M4934" s="12" t="inlineStr">
        <is>
          <t>16</t>
        </is>
      </c>
      <c r="N4934" s="12" t="n">
        <v>20</v>
      </c>
      <c r="O4934" s="12" t="n">
        <v>1</v>
      </c>
      <c r="P4934" s="12" t="n"/>
      <c r="Q4934" s="12" t="n"/>
      <c r="R4934" s="12" t="n"/>
      <c r="S4934" s="12" t="inlineStr">
        <is>
          <t>Tray / conduit</t>
        </is>
      </c>
      <c r="T4934" s="15" t="n">
        <v>72</v>
      </c>
      <c r="U4934" s="15" t="n">
        <v>10</v>
      </c>
      <c r="V4934" s="15">
        <f>ROUNDUP((T4934+U4934+2*'Read Me'!$B$13)*(1+'Read Me'!$B$12),-1)</f>
        <v/>
      </c>
      <c r="W4934" s="15">
        <f>V4934*N4934*O4934</f>
        <v/>
      </c>
      <c r="X4934" s="12">
        <f>IF(LEFT(I4934,2)="MV",2*N4934*IF(L4934="1/C",O4934,1),0)</f>
        <v/>
      </c>
      <c r="Y4934" s="12">
        <f>IF(OR(LEFT(K4934,4)="LVAX",LEFT(K4934,6)="MV15AX",LEFT(K4934,4)="CTAX",LEFT(K4934,2)="W|"),2*N4934*O4934,0)</f>
        <v/>
      </c>
      <c r="Z4934" s="12" t="inlineStr">
        <is>
          <t>device-to-JB field wiring, one cable per device</t>
        </is>
      </c>
      <c r="AA4934" s="12">
        <f>N4934*O4934</f>
        <v/>
      </c>
    </row>
    <row r="4935">
      <c r="A4935" s="12" t="inlineStr">
        <is>
          <t>I-I-0332</t>
        </is>
      </c>
      <c r="B4935" s="12" t="inlineStr">
        <is>
          <t>I</t>
        </is>
      </c>
      <c r="C4935" s="12" t="inlineStr">
        <is>
          <t>Modular / portable power</t>
        </is>
      </c>
      <c r="D4935" s="12" t="inlineStr">
        <is>
          <t>Home run JB-RICE-6-AI02 to the control / marshalling room</t>
        </is>
      </c>
      <c r="E4935" s="12" t="inlineStr"/>
      <c r="F4935" s="12" t="inlineStr">
        <is>
          <t>PCM: power control module</t>
        </is>
      </c>
      <c r="G4935" s="12" t="inlineStr">
        <is>
          <t>JB-RICE-6-AI02</t>
        </is>
      </c>
      <c r="H4935" s="12" t="inlineStr">
        <is>
          <t>RICE engine-generator 6</t>
        </is>
      </c>
      <c r="I4935" s="12" t="inlineStr">
        <is>
          <t>Instrumentation</t>
        </is>
      </c>
      <c r="J4935" s="12" t="inlineStr">
        <is>
          <t>Instrumentation PLTC / TC-ER 300 V, #18 twisted shielded pairs, overall shield</t>
        </is>
      </c>
      <c r="K4935" s="12" t="inlineStr">
        <is>
          <t>PLTC|24 pr|18</t>
        </is>
      </c>
      <c r="L4935" s="12" t="inlineStr">
        <is>
          <t>24 pr</t>
        </is>
      </c>
      <c r="M4935" s="12" t="inlineStr">
        <is>
          <t>18</t>
        </is>
      </c>
      <c r="N4935" s="12" t="n">
        <v>1</v>
      </c>
      <c r="O4935" s="12" t="n">
        <v>1</v>
      </c>
      <c r="P4935" s="12" t="n"/>
      <c r="Q4935" s="12" t="n"/>
      <c r="R4935" s="12" t="n"/>
      <c r="S4935" s="12" t="inlineStr">
        <is>
          <t>Duct bank</t>
        </is>
      </c>
      <c r="T4935" s="15" t="n">
        <v>57</v>
      </c>
      <c r="U4935" s="15" t="n">
        <v>153</v>
      </c>
      <c r="V4935" s="15">
        <f>ROUNDUP((T4935+U4935+2*'Read Me'!$B$13)*(1+'Read Me'!$B$12),-1)</f>
        <v/>
      </c>
      <c r="W4935" s="15">
        <f>V4935*N4935*O4935</f>
        <v/>
      </c>
      <c r="X4935" s="12">
        <f>IF(LEFT(I4935,2)="MV",2*N4935*IF(L4935="1/C",O4935,1),0)</f>
        <v/>
      </c>
      <c r="Y4935" s="12">
        <f>IF(OR(LEFT(K4935,4)="LVAX",LEFT(K4935,6)="MV15AX",LEFT(K4935,4)="CTAX",LEFT(K4935,2)="W|"),2*N4935*O4935,0)</f>
        <v/>
      </c>
      <c r="Z4935" s="12" t="inlineStr"/>
      <c r="AA4935" s="12">
        <f>N4935*O4935</f>
        <v/>
      </c>
    </row>
    <row r="4936">
      <c r="A4936" s="12" t="inlineStr">
        <is>
          <t>I-I-0333</t>
        </is>
      </c>
      <c r="B4936" s="12" t="inlineStr">
        <is>
          <t>I</t>
        </is>
      </c>
      <c r="C4936" s="12" t="inlineStr">
        <is>
          <t>Modular / portable power</t>
        </is>
      </c>
      <c r="D4936" s="12" t="inlineStr">
        <is>
          <t>Analog instrument to JB JB-RICE-6-AI03: 20 x 1 pr (field cables)</t>
        </is>
      </c>
      <c r="E4936" s="12" t="inlineStr">
        <is>
          <t>RICE-6</t>
        </is>
      </c>
      <c r="F4936" s="12" t="inlineStr">
        <is>
          <t>RICE engine-generator 6</t>
        </is>
      </c>
      <c r="G4936" s="12" t="inlineStr">
        <is>
          <t>JB-RICE-6-AI03</t>
        </is>
      </c>
      <c r="H4936" s="12" t="inlineStr">
        <is>
          <t>RICE engine-generator 6</t>
        </is>
      </c>
      <c r="I4936" s="12" t="inlineStr">
        <is>
          <t>Instrumentation</t>
        </is>
      </c>
      <c r="J4936" s="12" t="inlineStr">
        <is>
          <t>Instrumentation PLTC / TC-ER 300 V, #18 twisted shielded pairs, overall shield</t>
        </is>
      </c>
      <c r="K4936" s="12" t="inlineStr">
        <is>
          <t>PLTC|1 pr|16</t>
        </is>
      </c>
      <c r="L4936" s="12" t="inlineStr">
        <is>
          <t>1 pr</t>
        </is>
      </c>
      <c r="M4936" s="12" t="inlineStr">
        <is>
          <t>16</t>
        </is>
      </c>
      <c r="N4936" s="12" t="n">
        <v>20</v>
      </c>
      <c r="O4936" s="12" t="n">
        <v>1</v>
      </c>
      <c r="P4936" s="12" t="n"/>
      <c r="Q4936" s="12" t="n"/>
      <c r="R4936" s="12" t="n"/>
      <c r="S4936" s="12" t="inlineStr">
        <is>
          <t>Tray / conduit</t>
        </is>
      </c>
      <c r="T4936" s="15" t="n">
        <v>72</v>
      </c>
      <c r="U4936" s="15" t="n">
        <v>10</v>
      </c>
      <c r="V4936" s="15">
        <f>ROUNDUP((T4936+U4936+2*'Read Me'!$B$13)*(1+'Read Me'!$B$12),-1)</f>
        <v/>
      </c>
      <c r="W4936" s="15">
        <f>V4936*N4936*O4936</f>
        <v/>
      </c>
      <c r="X4936" s="12">
        <f>IF(LEFT(I4936,2)="MV",2*N4936*IF(L4936="1/C",O4936,1),0)</f>
        <v/>
      </c>
      <c r="Y4936" s="12">
        <f>IF(OR(LEFT(K4936,4)="LVAX",LEFT(K4936,6)="MV15AX",LEFT(K4936,4)="CTAX",LEFT(K4936,2)="W|"),2*N4936*O4936,0)</f>
        <v/>
      </c>
      <c r="Z4936" s="12" t="inlineStr">
        <is>
          <t>device-to-JB field wiring, one cable per device</t>
        </is>
      </c>
      <c r="AA4936" s="12">
        <f>N4936*O4936</f>
        <v/>
      </c>
    </row>
    <row r="4937">
      <c r="A4937" s="12" t="inlineStr">
        <is>
          <t>I-I-0334</t>
        </is>
      </c>
      <c r="B4937" s="12" t="inlineStr">
        <is>
          <t>I</t>
        </is>
      </c>
      <c r="C4937" s="12" t="inlineStr">
        <is>
          <t>Modular / portable power</t>
        </is>
      </c>
      <c r="D4937" s="12" t="inlineStr">
        <is>
          <t>Home run JB-RICE-6-AI03 to the control / marshalling room</t>
        </is>
      </c>
      <c r="E4937" s="12" t="inlineStr"/>
      <c r="F4937" s="12" t="inlineStr">
        <is>
          <t>PCM: power control module</t>
        </is>
      </c>
      <c r="G4937" s="12" t="inlineStr">
        <is>
          <t>JB-RICE-6-AI03</t>
        </is>
      </c>
      <c r="H4937" s="12" t="inlineStr">
        <is>
          <t>RICE engine-generator 6</t>
        </is>
      </c>
      <c r="I4937" s="12" t="inlineStr">
        <is>
          <t>Instrumentation</t>
        </is>
      </c>
      <c r="J4937" s="12" t="inlineStr">
        <is>
          <t>Instrumentation PLTC / TC-ER 300 V, #18 twisted shielded pairs, overall shield</t>
        </is>
      </c>
      <c r="K4937" s="12" t="inlineStr">
        <is>
          <t>PLTC|24 pr|18</t>
        </is>
      </c>
      <c r="L4937" s="12" t="inlineStr">
        <is>
          <t>24 pr</t>
        </is>
      </c>
      <c r="M4937" s="12" t="inlineStr">
        <is>
          <t>18</t>
        </is>
      </c>
      <c r="N4937" s="12" t="n">
        <v>1</v>
      </c>
      <c r="O4937" s="12" t="n">
        <v>1</v>
      </c>
      <c r="P4937" s="12" t="n"/>
      <c r="Q4937" s="12" t="n"/>
      <c r="R4937" s="12" t="n"/>
      <c r="S4937" s="12" t="inlineStr">
        <is>
          <t>Duct bank</t>
        </is>
      </c>
      <c r="T4937" s="15" t="n">
        <v>57</v>
      </c>
      <c r="U4937" s="15" t="n">
        <v>153</v>
      </c>
      <c r="V4937" s="15">
        <f>ROUNDUP((T4937+U4937+2*'Read Me'!$B$13)*(1+'Read Me'!$B$12),-1)</f>
        <v/>
      </c>
      <c r="W4937" s="15">
        <f>V4937*N4937*O4937</f>
        <v/>
      </c>
      <c r="X4937" s="12">
        <f>IF(LEFT(I4937,2)="MV",2*N4937*IF(L4937="1/C",O4937,1),0)</f>
        <v/>
      </c>
      <c r="Y4937" s="12">
        <f>IF(OR(LEFT(K4937,4)="LVAX",LEFT(K4937,6)="MV15AX",LEFT(K4937,4)="CTAX",LEFT(K4937,2)="W|"),2*N4937*O4937,0)</f>
        <v/>
      </c>
      <c r="Z4937" s="12" t="inlineStr"/>
      <c r="AA4937" s="12">
        <f>N4937*O4937</f>
        <v/>
      </c>
    </row>
    <row r="4938">
      <c r="A4938" s="12" t="inlineStr">
        <is>
          <t>I-I-0335</t>
        </is>
      </c>
      <c r="B4938" s="12" t="inlineStr">
        <is>
          <t>I</t>
        </is>
      </c>
      <c r="C4938" s="12" t="inlineStr">
        <is>
          <t>Modular / portable power</t>
        </is>
      </c>
      <c r="D4938" s="12" t="inlineStr">
        <is>
          <t>Analog instrument to JB JB-RICE-6-AI04: 20 x 1 pr (field cables)</t>
        </is>
      </c>
      <c r="E4938" s="12" t="inlineStr">
        <is>
          <t>RICE-6</t>
        </is>
      </c>
      <c r="F4938" s="12" t="inlineStr">
        <is>
          <t>RICE engine-generator 6</t>
        </is>
      </c>
      <c r="G4938" s="12" t="inlineStr">
        <is>
          <t>JB-RICE-6-AI04</t>
        </is>
      </c>
      <c r="H4938" s="12" t="inlineStr">
        <is>
          <t>RICE engine-generator 6</t>
        </is>
      </c>
      <c r="I4938" s="12" t="inlineStr">
        <is>
          <t>Instrumentation</t>
        </is>
      </c>
      <c r="J4938" s="12" t="inlineStr">
        <is>
          <t>Instrumentation PLTC / TC-ER 300 V, #18 twisted shielded pairs, overall shield</t>
        </is>
      </c>
      <c r="K4938" s="12" t="inlineStr">
        <is>
          <t>PLTC|1 pr|16</t>
        </is>
      </c>
      <c r="L4938" s="12" t="inlineStr">
        <is>
          <t>1 pr</t>
        </is>
      </c>
      <c r="M4938" s="12" t="inlineStr">
        <is>
          <t>16</t>
        </is>
      </c>
      <c r="N4938" s="12" t="n">
        <v>20</v>
      </c>
      <c r="O4938" s="12" t="n">
        <v>1</v>
      </c>
      <c r="P4938" s="12" t="n"/>
      <c r="Q4938" s="12" t="n"/>
      <c r="R4938" s="12" t="n"/>
      <c r="S4938" s="12" t="inlineStr">
        <is>
          <t>Tray / conduit</t>
        </is>
      </c>
      <c r="T4938" s="15" t="n">
        <v>72</v>
      </c>
      <c r="U4938" s="15" t="n">
        <v>10</v>
      </c>
      <c r="V4938" s="15">
        <f>ROUNDUP((T4938+U4938+2*'Read Me'!$B$13)*(1+'Read Me'!$B$12),-1)</f>
        <v/>
      </c>
      <c r="W4938" s="15">
        <f>V4938*N4938*O4938</f>
        <v/>
      </c>
      <c r="X4938" s="12">
        <f>IF(LEFT(I4938,2)="MV",2*N4938*IF(L4938="1/C",O4938,1),0)</f>
        <v/>
      </c>
      <c r="Y4938" s="12">
        <f>IF(OR(LEFT(K4938,4)="LVAX",LEFT(K4938,6)="MV15AX",LEFT(K4938,4)="CTAX",LEFT(K4938,2)="W|"),2*N4938*O4938,0)</f>
        <v/>
      </c>
      <c r="Z4938" s="12" t="inlineStr">
        <is>
          <t>device-to-JB field wiring, one cable per device</t>
        </is>
      </c>
      <c r="AA4938" s="12">
        <f>N4938*O4938</f>
        <v/>
      </c>
    </row>
    <row r="4939">
      <c r="A4939" s="12" t="inlineStr">
        <is>
          <t>I-I-0336</t>
        </is>
      </c>
      <c r="B4939" s="12" t="inlineStr">
        <is>
          <t>I</t>
        </is>
      </c>
      <c r="C4939" s="12" t="inlineStr">
        <is>
          <t>Modular / portable power</t>
        </is>
      </c>
      <c r="D4939" s="12" t="inlineStr">
        <is>
          <t>Home run JB-RICE-6-AI04 to the control / marshalling room</t>
        </is>
      </c>
      <c r="E4939" s="12" t="inlineStr"/>
      <c r="F4939" s="12" t="inlineStr">
        <is>
          <t>PCM: power control module</t>
        </is>
      </c>
      <c r="G4939" s="12" t="inlineStr">
        <is>
          <t>JB-RICE-6-AI04</t>
        </is>
      </c>
      <c r="H4939" s="12" t="inlineStr">
        <is>
          <t>RICE engine-generator 6</t>
        </is>
      </c>
      <c r="I4939" s="12" t="inlineStr">
        <is>
          <t>Instrumentation</t>
        </is>
      </c>
      <c r="J4939" s="12" t="inlineStr">
        <is>
          <t>Instrumentation PLTC / TC-ER 300 V, #18 twisted shielded pairs, overall shield</t>
        </is>
      </c>
      <c r="K4939" s="12" t="inlineStr">
        <is>
          <t>PLTC|24 pr|18</t>
        </is>
      </c>
      <c r="L4939" s="12" t="inlineStr">
        <is>
          <t>24 pr</t>
        </is>
      </c>
      <c r="M4939" s="12" t="inlineStr">
        <is>
          <t>18</t>
        </is>
      </c>
      <c r="N4939" s="12" t="n">
        <v>1</v>
      </c>
      <c r="O4939" s="12" t="n">
        <v>1</v>
      </c>
      <c r="P4939" s="12" t="n"/>
      <c r="Q4939" s="12" t="n"/>
      <c r="R4939" s="12" t="n"/>
      <c r="S4939" s="12" t="inlineStr">
        <is>
          <t>Duct bank</t>
        </is>
      </c>
      <c r="T4939" s="15" t="n">
        <v>57</v>
      </c>
      <c r="U4939" s="15" t="n">
        <v>153</v>
      </c>
      <c r="V4939" s="15">
        <f>ROUNDUP((T4939+U4939+2*'Read Me'!$B$13)*(1+'Read Me'!$B$12),-1)</f>
        <v/>
      </c>
      <c r="W4939" s="15">
        <f>V4939*N4939*O4939</f>
        <v/>
      </c>
      <c r="X4939" s="12">
        <f>IF(LEFT(I4939,2)="MV",2*N4939*IF(L4939="1/C",O4939,1),0)</f>
        <v/>
      </c>
      <c r="Y4939" s="12">
        <f>IF(OR(LEFT(K4939,4)="LVAX",LEFT(K4939,6)="MV15AX",LEFT(K4939,4)="CTAX",LEFT(K4939,2)="W|"),2*N4939*O4939,0)</f>
        <v/>
      </c>
      <c r="Z4939" s="12" t="inlineStr"/>
      <c r="AA4939" s="12">
        <f>N4939*O4939</f>
        <v/>
      </c>
    </row>
    <row r="4940">
      <c r="A4940" s="12" t="inlineStr">
        <is>
          <t>I-I-0337</t>
        </is>
      </c>
      <c r="B4940" s="12" t="inlineStr">
        <is>
          <t>I</t>
        </is>
      </c>
      <c r="C4940" s="12" t="inlineStr">
        <is>
          <t>Modular / portable power</t>
        </is>
      </c>
      <c r="D4940" s="12" t="inlineStr">
        <is>
          <t>Discrete device to JB JB-RICE-6-DI01: 20 x 1 pr (field cables)</t>
        </is>
      </c>
      <c r="E4940" s="12" t="inlineStr">
        <is>
          <t>RICE-6</t>
        </is>
      </c>
      <c r="F4940" s="12" t="inlineStr">
        <is>
          <t>RICE engine-generator 6</t>
        </is>
      </c>
      <c r="G4940" s="12" t="inlineStr">
        <is>
          <t>JB-RICE-6-DI01</t>
        </is>
      </c>
      <c r="H4940" s="12" t="inlineStr">
        <is>
          <t>RICE engine-generator 6</t>
        </is>
      </c>
      <c r="I4940" s="12" t="inlineStr">
        <is>
          <t>Instrumentation</t>
        </is>
      </c>
      <c r="J4940" s="12" t="inlineStr">
        <is>
          <t>Instrumentation PLTC / TC-ER 300 V, #18 twisted shielded pairs, overall shield</t>
        </is>
      </c>
      <c r="K4940" s="12" t="inlineStr">
        <is>
          <t>PLTC|1 pr|16</t>
        </is>
      </c>
      <c r="L4940" s="12" t="inlineStr">
        <is>
          <t>1 pr</t>
        </is>
      </c>
      <c r="M4940" s="12" t="inlineStr">
        <is>
          <t>16</t>
        </is>
      </c>
      <c r="N4940" s="12" t="n">
        <v>20</v>
      </c>
      <c r="O4940" s="12" t="n">
        <v>1</v>
      </c>
      <c r="P4940" s="12" t="n"/>
      <c r="Q4940" s="12" t="n"/>
      <c r="R4940" s="12" t="n"/>
      <c r="S4940" s="12" t="inlineStr">
        <is>
          <t>Tray / conduit</t>
        </is>
      </c>
      <c r="T4940" s="15" t="n">
        <v>72</v>
      </c>
      <c r="U4940" s="15" t="n">
        <v>10</v>
      </c>
      <c r="V4940" s="15">
        <f>ROUNDUP((T4940+U4940+2*'Read Me'!$B$13)*(1+'Read Me'!$B$12),-1)</f>
        <v/>
      </c>
      <c r="W4940" s="15">
        <f>V4940*N4940*O4940</f>
        <v/>
      </c>
      <c r="X4940" s="12">
        <f>IF(LEFT(I4940,2)="MV",2*N4940*IF(L4940="1/C",O4940,1),0)</f>
        <v/>
      </c>
      <c r="Y4940" s="12">
        <f>IF(OR(LEFT(K4940,4)="LVAX",LEFT(K4940,6)="MV15AX",LEFT(K4940,4)="CTAX",LEFT(K4940,2)="W|"),2*N4940*O4940,0)</f>
        <v/>
      </c>
      <c r="Z4940" s="12" t="inlineStr">
        <is>
          <t>device-to-JB field wiring, one cable per device</t>
        </is>
      </c>
      <c r="AA4940" s="12">
        <f>N4940*O4940</f>
        <v/>
      </c>
    </row>
    <row r="4941">
      <c r="A4941" s="12" t="inlineStr">
        <is>
          <t>I-I-0338</t>
        </is>
      </c>
      <c r="B4941" s="12" t="inlineStr">
        <is>
          <t>I</t>
        </is>
      </c>
      <c r="C4941" s="12" t="inlineStr">
        <is>
          <t>Modular / portable power</t>
        </is>
      </c>
      <c r="D4941" s="12" t="inlineStr">
        <is>
          <t>Home run JB-RICE-6-DI01 to the control / marshalling room</t>
        </is>
      </c>
      <c r="E4941" s="12" t="inlineStr"/>
      <c r="F4941" s="12" t="inlineStr">
        <is>
          <t>PCM: power control module</t>
        </is>
      </c>
      <c r="G4941" s="12" t="inlineStr">
        <is>
          <t>JB-RICE-6-DI01</t>
        </is>
      </c>
      <c r="H4941" s="12" t="inlineStr">
        <is>
          <t>RICE engine-generator 6</t>
        </is>
      </c>
      <c r="I4941" s="12" t="inlineStr">
        <is>
          <t>Instrumentation</t>
        </is>
      </c>
      <c r="J4941" s="12" t="inlineStr">
        <is>
          <t>Instrumentation PLTC / TC-ER 300 V, #18 twisted shielded pairs, overall shield</t>
        </is>
      </c>
      <c r="K4941" s="12" t="inlineStr">
        <is>
          <t>PLTC|24 pr|18</t>
        </is>
      </c>
      <c r="L4941" s="12" t="inlineStr">
        <is>
          <t>24 pr</t>
        </is>
      </c>
      <c r="M4941" s="12" t="inlineStr">
        <is>
          <t>18</t>
        </is>
      </c>
      <c r="N4941" s="12" t="n">
        <v>1</v>
      </c>
      <c r="O4941" s="12" t="n">
        <v>1</v>
      </c>
      <c r="P4941" s="12" t="n"/>
      <c r="Q4941" s="12" t="n"/>
      <c r="R4941" s="12" t="n"/>
      <c r="S4941" s="12" t="inlineStr">
        <is>
          <t>Duct bank</t>
        </is>
      </c>
      <c r="T4941" s="15" t="n">
        <v>57</v>
      </c>
      <c r="U4941" s="15" t="n">
        <v>153</v>
      </c>
      <c r="V4941" s="15">
        <f>ROUNDUP((T4941+U4941+2*'Read Me'!$B$13)*(1+'Read Me'!$B$12),-1)</f>
        <v/>
      </c>
      <c r="W4941" s="15">
        <f>V4941*N4941*O4941</f>
        <v/>
      </c>
      <c r="X4941" s="12">
        <f>IF(LEFT(I4941,2)="MV",2*N4941*IF(L4941="1/C",O4941,1),0)</f>
        <v/>
      </c>
      <c r="Y4941" s="12">
        <f>IF(OR(LEFT(K4941,4)="LVAX",LEFT(K4941,6)="MV15AX",LEFT(K4941,4)="CTAX",LEFT(K4941,2)="W|"),2*N4941*O4941,0)</f>
        <v/>
      </c>
      <c r="Z4941" s="12" t="inlineStr"/>
      <c r="AA4941" s="12">
        <f>N4941*O4941</f>
        <v/>
      </c>
    </row>
    <row r="4942">
      <c r="A4942" s="12" t="inlineStr">
        <is>
          <t>I-I-0339</t>
        </is>
      </c>
      <c r="B4942" s="12" t="inlineStr">
        <is>
          <t>I</t>
        </is>
      </c>
      <c r="C4942" s="12" t="inlineStr">
        <is>
          <t>Modular / portable power</t>
        </is>
      </c>
      <c r="D4942" s="12" t="inlineStr">
        <is>
          <t>Discrete device to JB JB-RICE-6-DI02: 20 x 1 pr (field cables)</t>
        </is>
      </c>
      <c r="E4942" s="12" t="inlineStr">
        <is>
          <t>RICE-6</t>
        </is>
      </c>
      <c r="F4942" s="12" t="inlineStr">
        <is>
          <t>RICE engine-generator 6</t>
        </is>
      </c>
      <c r="G4942" s="12" t="inlineStr">
        <is>
          <t>JB-RICE-6-DI02</t>
        </is>
      </c>
      <c r="H4942" s="12" t="inlineStr">
        <is>
          <t>RICE engine-generator 6</t>
        </is>
      </c>
      <c r="I4942" s="12" t="inlineStr">
        <is>
          <t>Instrumentation</t>
        </is>
      </c>
      <c r="J4942" s="12" t="inlineStr">
        <is>
          <t>Instrumentation PLTC / TC-ER 300 V, #18 twisted shielded pairs, overall shield</t>
        </is>
      </c>
      <c r="K4942" s="12" t="inlineStr">
        <is>
          <t>PLTC|1 pr|16</t>
        </is>
      </c>
      <c r="L4942" s="12" t="inlineStr">
        <is>
          <t>1 pr</t>
        </is>
      </c>
      <c r="M4942" s="12" t="inlineStr">
        <is>
          <t>16</t>
        </is>
      </c>
      <c r="N4942" s="12" t="n">
        <v>20</v>
      </c>
      <c r="O4942" s="12" t="n">
        <v>1</v>
      </c>
      <c r="P4942" s="12" t="n"/>
      <c r="Q4942" s="12" t="n"/>
      <c r="R4942" s="12" t="n"/>
      <c r="S4942" s="12" t="inlineStr">
        <is>
          <t>Tray / conduit</t>
        </is>
      </c>
      <c r="T4942" s="15" t="n">
        <v>72</v>
      </c>
      <c r="U4942" s="15" t="n">
        <v>10</v>
      </c>
      <c r="V4942" s="15">
        <f>ROUNDUP((T4942+U4942+2*'Read Me'!$B$13)*(1+'Read Me'!$B$12),-1)</f>
        <v/>
      </c>
      <c r="W4942" s="15">
        <f>V4942*N4942*O4942</f>
        <v/>
      </c>
      <c r="X4942" s="12">
        <f>IF(LEFT(I4942,2)="MV",2*N4942*IF(L4942="1/C",O4942,1),0)</f>
        <v/>
      </c>
      <c r="Y4942" s="12">
        <f>IF(OR(LEFT(K4942,4)="LVAX",LEFT(K4942,6)="MV15AX",LEFT(K4942,4)="CTAX",LEFT(K4942,2)="W|"),2*N4942*O4942,0)</f>
        <v/>
      </c>
      <c r="Z4942" s="12" t="inlineStr">
        <is>
          <t>device-to-JB field wiring, one cable per device</t>
        </is>
      </c>
      <c r="AA4942" s="12">
        <f>N4942*O4942</f>
        <v/>
      </c>
    </row>
    <row r="4943">
      <c r="A4943" s="12" t="inlineStr">
        <is>
          <t>I-I-0340</t>
        </is>
      </c>
      <c r="B4943" s="12" t="inlineStr">
        <is>
          <t>I</t>
        </is>
      </c>
      <c r="C4943" s="12" t="inlineStr">
        <is>
          <t>Modular / portable power</t>
        </is>
      </c>
      <c r="D4943" s="12" t="inlineStr">
        <is>
          <t>Home run JB-RICE-6-DI02 to the control / marshalling room</t>
        </is>
      </c>
      <c r="E4943" s="12" t="inlineStr"/>
      <c r="F4943" s="12" t="inlineStr">
        <is>
          <t>PCM: power control module</t>
        </is>
      </c>
      <c r="G4943" s="12" t="inlineStr">
        <is>
          <t>JB-RICE-6-DI02</t>
        </is>
      </c>
      <c r="H4943" s="12" t="inlineStr">
        <is>
          <t>RICE engine-generator 6</t>
        </is>
      </c>
      <c r="I4943" s="12" t="inlineStr">
        <is>
          <t>Instrumentation</t>
        </is>
      </c>
      <c r="J4943" s="12" t="inlineStr">
        <is>
          <t>Instrumentation PLTC / TC-ER 300 V, #18 twisted shielded pairs, overall shield</t>
        </is>
      </c>
      <c r="K4943" s="12" t="inlineStr">
        <is>
          <t>PLTC|24 pr|18</t>
        </is>
      </c>
      <c r="L4943" s="12" t="inlineStr">
        <is>
          <t>24 pr</t>
        </is>
      </c>
      <c r="M4943" s="12" t="inlineStr">
        <is>
          <t>18</t>
        </is>
      </c>
      <c r="N4943" s="12" t="n">
        <v>1</v>
      </c>
      <c r="O4943" s="12" t="n">
        <v>1</v>
      </c>
      <c r="P4943" s="12" t="n"/>
      <c r="Q4943" s="12" t="n"/>
      <c r="R4943" s="12" t="n"/>
      <c r="S4943" s="12" t="inlineStr">
        <is>
          <t>Duct bank</t>
        </is>
      </c>
      <c r="T4943" s="15" t="n">
        <v>57</v>
      </c>
      <c r="U4943" s="15" t="n">
        <v>153</v>
      </c>
      <c r="V4943" s="15">
        <f>ROUNDUP((T4943+U4943+2*'Read Me'!$B$13)*(1+'Read Me'!$B$12),-1)</f>
        <v/>
      </c>
      <c r="W4943" s="15">
        <f>V4943*N4943*O4943</f>
        <v/>
      </c>
      <c r="X4943" s="12">
        <f>IF(LEFT(I4943,2)="MV",2*N4943*IF(L4943="1/C",O4943,1),0)</f>
        <v/>
      </c>
      <c r="Y4943" s="12">
        <f>IF(OR(LEFT(K4943,4)="LVAX",LEFT(K4943,6)="MV15AX",LEFT(K4943,4)="CTAX",LEFT(K4943,2)="W|"),2*N4943*O4943,0)</f>
        <v/>
      </c>
      <c r="Z4943" s="12" t="inlineStr"/>
      <c r="AA4943" s="12">
        <f>N4943*O4943</f>
        <v/>
      </c>
    </row>
    <row r="4944">
      <c r="A4944" s="12" t="inlineStr">
        <is>
          <t>I-I-0341</t>
        </is>
      </c>
      <c r="B4944" s="12" t="inlineStr">
        <is>
          <t>I</t>
        </is>
      </c>
      <c r="C4944" s="12" t="inlineStr">
        <is>
          <t>Modular / portable power</t>
        </is>
      </c>
      <c r="D4944" s="12" t="inlineStr">
        <is>
          <t>Discrete device to JB JB-RICE-6-DI03: 20 x 1 pr (field cables)</t>
        </is>
      </c>
      <c r="E4944" s="12" t="inlineStr">
        <is>
          <t>RICE-6</t>
        </is>
      </c>
      <c r="F4944" s="12" t="inlineStr">
        <is>
          <t>RICE engine-generator 6</t>
        </is>
      </c>
      <c r="G4944" s="12" t="inlineStr">
        <is>
          <t>JB-RICE-6-DI03</t>
        </is>
      </c>
      <c r="H4944" s="12" t="inlineStr">
        <is>
          <t>RICE engine-generator 6</t>
        </is>
      </c>
      <c r="I4944" s="12" t="inlineStr">
        <is>
          <t>Instrumentation</t>
        </is>
      </c>
      <c r="J4944" s="12" t="inlineStr">
        <is>
          <t>Instrumentation PLTC / TC-ER 300 V, #18 twisted shielded pairs, overall shield</t>
        </is>
      </c>
      <c r="K4944" s="12" t="inlineStr">
        <is>
          <t>PLTC|1 pr|16</t>
        </is>
      </c>
      <c r="L4944" s="12" t="inlineStr">
        <is>
          <t>1 pr</t>
        </is>
      </c>
      <c r="M4944" s="12" t="inlineStr">
        <is>
          <t>16</t>
        </is>
      </c>
      <c r="N4944" s="12" t="n">
        <v>20</v>
      </c>
      <c r="O4944" s="12" t="n">
        <v>1</v>
      </c>
      <c r="P4944" s="12" t="n"/>
      <c r="Q4944" s="12" t="n"/>
      <c r="R4944" s="12" t="n"/>
      <c r="S4944" s="12" t="inlineStr">
        <is>
          <t>Tray / conduit</t>
        </is>
      </c>
      <c r="T4944" s="15" t="n">
        <v>72</v>
      </c>
      <c r="U4944" s="15" t="n">
        <v>10</v>
      </c>
      <c r="V4944" s="15">
        <f>ROUNDUP((T4944+U4944+2*'Read Me'!$B$13)*(1+'Read Me'!$B$12),-1)</f>
        <v/>
      </c>
      <c r="W4944" s="15">
        <f>V4944*N4944*O4944</f>
        <v/>
      </c>
      <c r="X4944" s="12">
        <f>IF(LEFT(I4944,2)="MV",2*N4944*IF(L4944="1/C",O4944,1),0)</f>
        <v/>
      </c>
      <c r="Y4944" s="12">
        <f>IF(OR(LEFT(K4944,4)="LVAX",LEFT(K4944,6)="MV15AX",LEFT(K4944,4)="CTAX",LEFT(K4944,2)="W|"),2*N4944*O4944,0)</f>
        <v/>
      </c>
      <c r="Z4944" s="12" t="inlineStr">
        <is>
          <t>device-to-JB field wiring, one cable per device</t>
        </is>
      </c>
      <c r="AA4944" s="12">
        <f>N4944*O4944</f>
        <v/>
      </c>
    </row>
    <row r="4945">
      <c r="A4945" s="12" t="inlineStr">
        <is>
          <t>I-I-0342</t>
        </is>
      </c>
      <c r="B4945" s="12" t="inlineStr">
        <is>
          <t>I</t>
        </is>
      </c>
      <c r="C4945" s="12" t="inlineStr">
        <is>
          <t>Modular / portable power</t>
        </is>
      </c>
      <c r="D4945" s="12" t="inlineStr">
        <is>
          <t>Home run JB-RICE-6-DI03 to the control / marshalling room</t>
        </is>
      </c>
      <c r="E4945" s="12" t="inlineStr"/>
      <c r="F4945" s="12" t="inlineStr">
        <is>
          <t>PCM: power control module</t>
        </is>
      </c>
      <c r="G4945" s="12" t="inlineStr">
        <is>
          <t>JB-RICE-6-DI03</t>
        </is>
      </c>
      <c r="H4945" s="12" t="inlineStr">
        <is>
          <t>RICE engine-generator 6</t>
        </is>
      </c>
      <c r="I4945" s="12" t="inlineStr">
        <is>
          <t>Instrumentation</t>
        </is>
      </c>
      <c r="J4945" s="12" t="inlineStr">
        <is>
          <t>Instrumentation PLTC / TC-ER 300 V, #18 twisted shielded pairs, overall shield</t>
        </is>
      </c>
      <c r="K4945" s="12" t="inlineStr">
        <is>
          <t>PLTC|24 pr|18</t>
        </is>
      </c>
      <c r="L4945" s="12" t="inlineStr">
        <is>
          <t>24 pr</t>
        </is>
      </c>
      <c r="M4945" s="12" t="inlineStr">
        <is>
          <t>18</t>
        </is>
      </c>
      <c r="N4945" s="12" t="n">
        <v>1</v>
      </c>
      <c r="O4945" s="12" t="n">
        <v>1</v>
      </c>
      <c r="P4945" s="12" t="n"/>
      <c r="Q4945" s="12" t="n"/>
      <c r="R4945" s="12" t="n"/>
      <c r="S4945" s="12" t="inlineStr">
        <is>
          <t>Duct bank</t>
        </is>
      </c>
      <c r="T4945" s="15" t="n">
        <v>57</v>
      </c>
      <c r="U4945" s="15" t="n">
        <v>153</v>
      </c>
      <c r="V4945" s="15">
        <f>ROUNDUP((T4945+U4945+2*'Read Me'!$B$13)*(1+'Read Me'!$B$12),-1)</f>
        <v/>
      </c>
      <c r="W4945" s="15">
        <f>V4945*N4945*O4945</f>
        <v/>
      </c>
      <c r="X4945" s="12">
        <f>IF(LEFT(I4945,2)="MV",2*N4945*IF(L4945="1/C",O4945,1),0)</f>
        <v/>
      </c>
      <c r="Y4945" s="12">
        <f>IF(OR(LEFT(K4945,4)="LVAX",LEFT(K4945,6)="MV15AX",LEFT(K4945,4)="CTAX",LEFT(K4945,2)="W|"),2*N4945*O4945,0)</f>
        <v/>
      </c>
      <c r="Z4945" s="12" t="inlineStr"/>
      <c r="AA4945" s="12">
        <f>N4945*O4945</f>
        <v/>
      </c>
    </row>
    <row r="4946">
      <c r="A4946" s="12" t="inlineStr">
        <is>
          <t>I-I-0343</t>
        </is>
      </c>
      <c r="B4946" s="12" t="inlineStr">
        <is>
          <t>I</t>
        </is>
      </c>
      <c r="C4946" s="12" t="inlineStr">
        <is>
          <t>Modular / portable power</t>
        </is>
      </c>
      <c r="D4946" s="12" t="inlineStr">
        <is>
          <t>Thermocouple to TC JB JB-RICE-6-TC01: 20 x 1 pr (field cables)</t>
        </is>
      </c>
      <c r="E4946" s="12" t="inlineStr">
        <is>
          <t>RICE-6</t>
        </is>
      </c>
      <c r="F4946" s="12" t="inlineStr">
        <is>
          <t>RICE engine-generator 6</t>
        </is>
      </c>
      <c r="G4946" s="12" t="inlineStr">
        <is>
          <t>JB-RICE-6-TC01</t>
        </is>
      </c>
      <c r="H4946" s="12" t="inlineStr">
        <is>
          <t>RICE engine-generator 6</t>
        </is>
      </c>
      <c r="I4946" s="12" t="inlineStr">
        <is>
          <t>Instrumentation</t>
        </is>
      </c>
      <c r="J4946" s="12" t="inlineStr">
        <is>
          <t>Thermocouple extension KX, #16 shielded pairs, PLTC</t>
        </is>
      </c>
      <c r="K4946" s="12" t="inlineStr">
        <is>
          <t>TCX|1 pr|16</t>
        </is>
      </c>
      <c r="L4946" s="12" t="inlineStr">
        <is>
          <t>1 pr</t>
        </is>
      </c>
      <c r="M4946" s="12" t="inlineStr">
        <is>
          <t>16</t>
        </is>
      </c>
      <c r="N4946" s="12" t="n">
        <v>20</v>
      </c>
      <c r="O4946" s="12" t="n">
        <v>1</v>
      </c>
      <c r="P4946" s="12" t="n"/>
      <c r="Q4946" s="12" t="n"/>
      <c r="R4946" s="12" t="n"/>
      <c r="S4946" s="12" t="inlineStr">
        <is>
          <t>Tray / conduit</t>
        </is>
      </c>
      <c r="T4946" s="15" t="n">
        <v>72</v>
      </c>
      <c r="U4946" s="15" t="n">
        <v>10</v>
      </c>
      <c r="V4946" s="15">
        <f>ROUNDUP((T4946+U4946+2*'Read Me'!$B$13)*(1+'Read Me'!$B$12),-1)</f>
        <v/>
      </c>
      <c r="W4946" s="15">
        <f>V4946*N4946*O4946</f>
        <v/>
      </c>
      <c r="X4946" s="12">
        <f>IF(LEFT(I4946,2)="MV",2*N4946*IF(L4946="1/C",O4946,1),0)</f>
        <v/>
      </c>
      <c r="Y4946" s="12">
        <f>IF(OR(LEFT(K4946,4)="LVAX",LEFT(K4946,6)="MV15AX",LEFT(K4946,4)="CTAX",LEFT(K4946,2)="W|"),2*N4946*O4946,0)</f>
        <v/>
      </c>
      <c r="Z4946" s="12" t="inlineStr">
        <is>
          <t>device-to-JB field wiring, one cable per device</t>
        </is>
      </c>
      <c r="AA4946" s="12">
        <f>N4946*O4946</f>
        <v/>
      </c>
    </row>
    <row r="4947">
      <c r="A4947" s="12" t="inlineStr">
        <is>
          <t>I-I-0344</t>
        </is>
      </c>
      <c r="B4947" s="12" t="inlineStr">
        <is>
          <t>I</t>
        </is>
      </c>
      <c r="C4947" s="12" t="inlineStr">
        <is>
          <t>Modular / portable power</t>
        </is>
      </c>
      <c r="D4947" s="12" t="inlineStr">
        <is>
          <t>Home run JB-RICE-6-TC01 to the control / marshalling room</t>
        </is>
      </c>
      <c r="E4947" s="12" t="inlineStr"/>
      <c r="F4947" s="12" t="inlineStr">
        <is>
          <t>PCM: power control module</t>
        </is>
      </c>
      <c r="G4947" s="12" t="inlineStr">
        <is>
          <t>JB-RICE-6-TC01</t>
        </is>
      </c>
      <c r="H4947" s="12" t="inlineStr">
        <is>
          <t>RICE engine-generator 6</t>
        </is>
      </c>
      <c r="I4947" s="12" t="inlineStr">
        <is>
          <t>Instrumentation</t>
        </is>
      </c>
      <c r="J4947" s="12" t="inlineStr">
        <is>
          <t>Thermocouple extension KX, #16 shielded pairs, PLTC</t>
        </is>
      </c>
      <c r="K4947" s="12" t="inlineStr">
        <is>
          <t>TCX|24 pr|16</t>
        </is>
      </c>
      <c r="L4947" s="12" t="inlineStr">
        <is>
          <t>24 pr</t>
        </is>
      </c>
      <c r="M4947" s="12" t="inlineStr">
        <is>
          <t>16</t>
        </is>
      </c>
      <c r="N4947" s="12" t="n">
        <v>1</v>
      </c>
      <c r="O4947" s="12" t="n">
        <v>1</v>
      </c>
      <c r="P4947" s="12" t="n"/>
      <c r="Q4947" s="12" t="n"/>
      <c r="R4947" s="12" t="n"/>
      <c r="S4947" s="12" t="inlineStr">
        <is>
          <t>Duct bank</t>
        </is>
      </c>
      <c r="T4947" s="15" t="n">
        <v>57</v>
      </c>
      <c r="U4947" s="15" t="n">
        <v>153</v>
      </c>
      <c r="V4947" s="15">
        <f>ROUNDUP((T4947+U4947+2*'Read Me'!$B$13)*(1+'Read Me'!$B$12),-1)</f>
        <v/>
      </c>
      <c r="W4947" s="15">
        <f>V4947*N4947*O4947</f>
        <v/>
      </c>
      <c r="X4947" s="12">
        <f>IF(LEFT(I4947,2)="MV",2*N4947*IF(L4947="1/C",O4947,1),0)</f>
        <v/>
      </c>
      <c r="Y4947" s="12">
        <f>IF(OR(LEFT(K4947,4)="LVAX",LEFT(K4947,6)="MV15AX",LEFT(K4947,4)="CTAX",LEFT(K4947,2)="W|"),2*N4947*O4947,0)</f>
        <v/>
      </c>
      <c r="Z4947" s="12" t="inlineStr"/>
      <c r="AA4947" s="12">
        <f>N4947*O4947</f>
        <v/>
      </c>
    </row>
    <row r="4948">
      <c r="A4948" s="12" t="inlineStr">
        <is>
          <t>I-I-0345</t>
        </is>
      </c>
      <c r="B4948" s="12" t="inlineStr">
        <is>
          <t>I</t>
        </is>
      </c>
      <c r="C4948" s="12" t="inlineStr">
        <is>
          <t>Modular / portable power</t>
        </is>
      </c>
      <c r="D4948" s="12" t="inlineStr">
        <is>
          <t>Thermocouple to TC JB JB-RICE-6-TC02: 10 x 1 pr (field cables)</t>
        </is>
      </c>
      <c r="E4948" s="12" t="inlineStr">
        <is>
          <t>RICE-6</t>
        </is>
      </c>
      <c r="F4948" s="12" t="inlineStr">
        <is>
          <t>RICE engine-generator 6</t>
        </is>
      </c>
      <c r="G4948" s="12" t="inlineStr">
        <is>
          <t>JB-RICE-6-TC02</t>
        </is>
      </c>
      <c r="H4948" s="12" t="inlineStr">
        <is>
          <t>RICE engine-generator 6</t>
        </is>
      </c>
      <c r="I4948" s="12" t="inlineStr">
        <is>
          <t>Instrumentation</t>
        </is>
      </c>
      <c r="J4948" s="12" t="inlineStr">
        <is>
          <t>Thermocouple extension KX, #16 shielded pairs, PLTC</t>
        </is>
      </c>
      <c r="K4948" s="12" t="inlineStr">
        <is>
          <t>TCX|1 pr|16</t>
        </is>
      </c>
      <c r="L4948" s="12" t="inlineStr">
        <is>
          <t>1 pr</t>
        </is>
      </c>
      <c r="M4948" s="12" t="inlineStr">
        <is>
          <t>16</t>
        </is>
      </c>
      <c r="N4948" s="12" t="n">
        <v>10</v>
      </c>
      <c r="O4948" s="12" t="n">
        <v>1</v>
      </c>
      <c r="P4948" s="12" t="n"/>
      <c r="Q4948" s="12" t="n"/>
      <c r="R4948" s="12" t="n"/>
      <c r="S4948" s="12" t="inlineStr">
        <is>
          <t>Tray / conduit</t>
        </is>
      </c>
      <c r="T4948" s="15" t="n">
        <v>72</v>
      </c>
      <c r="U4948" s="15" t="n">
        <v>10</v>
      </c>
      <c r="V4948" s="15">
        <f>ROUNDUP((T4948+U4948+2*'Read Me'!$B$13)*(1+'Read Me'!$B$12),-1)</f>
        <v/>
      </c>
      <c r="W4948" s="15">
        <f>V4948*N4948*O4948</f>
        <v/>
      </c>
      <c r="X4948" s="12">
        <f>IF(LEFT(I4948,2)="MV",2*N4948*IF(L4948="1/C",O4948,1),0)</f>
        <v/>
      </c>
      <c r="Y4948" s="12">
        <f>IF(OR(LEFT(K4948,4)="LVAX",LEFT(K4948,6)="MV15AX",LEFT(K4948,4)="CTAX",LEFT(K4948,2)="W|"),2*N4948*O4948,0)</f>
        <v/>
      </c>
      <c r="Z4948" s="12" t="inlineStr">
        <is>
          <t>device-to-JB field wiring, one cable per device</t>
        </is>
      </c>
      <c r="AA4948" s="12">
        <f>N4948*O4948</f>
        <v/>
      </c>
    </row>
    <row r="4949">
      <c r="A4949" s="12" t="inlineStr">
        <is>
          <t>I-I-0346</t>
        </is>
      </c>
      <c r="B4949" s="12" t="inlineStr">
        <is>
          <t>I</t>
        </is>
      </c>
      <c r="C4949" s="12" t="inlineStr">
        <is>
          <t>Modular / portable power</t>
        </is>
      </c>
      <c r="D4949" s="12" t="inlineStr">
        <is>
          <t>Home run JB-RICE-6-TC02 to the control / marshalling room</t>
        </is>
      </c>
      <c r="E4949" s="12" t="inlineStr"/>
      <c r="F4949" s="12" t="inlineStr">
        <is>
          <t>PCM: power control module</t>
        </is>
      </c>
      <c r="G4949" s="12" t="inlineStr">
        <is>
          <t>JB-RICE-6-TC02</t>
        </is>
      </c>
      <c r="H4949" s="12" t="inlineStr">
        <is>
          <t>RICE engine-generator 6</t>
        </is>
      </c>
      <c r="I4949" s="12" t="inlineStr">
        <is>
          <t>Instrumentation</t>
        </is>
      </c>
      <c r="J4949" s="12" t="inlineStr">
        <is>
          <t>Thermocouple extension KX, #16 shielded pairs, PLTC</t>
        </is>
      </c>
      <c r="K4949" s="12" t="inlineStr">
        <is>
          <t>TCX|24 pr|16</t>
        </is>
      </c>
      <c r="L4949" s="12" t="inlineStr">
        <is>
          <t>24 pr</t>
        </is>
      </c>
      <c r="M4949" s="12" t="inlineStr">
        <is>
          <t>16</t>
        </is>
      </c>
      <c r="N4949" s="12" t="n">
        <v>1</v>
      </c>
      <c r="O4949" s="12" t="n">
        <v>1</v>
      </c>
      <c r="P4949" s="12" t="n"/>
      <c r="Q4949" s="12" t="n"/>
      <c r="R4949" s="12" t="n"/>
      <c r="S4949" s="12" t="inlineStr">
        <is>
          <t>Duct bank</t>
        </is>
      </c>
      <c r="T4949" s="15" t="n">
        <v>57</v>
      </c>
      <c r="U4949" s="15" t="n">
        <v>153</v>
      </c>
      <c r="V4949" s="15">
        <f>ROUNDUP((T4949+U4949+2*'Read Me'!$B$13)*(1+'Read Me'!$B$12),-1)</f>
        <v/>
      </c>
      <c r="W4949" s="15">
        <f>V4949*N4949*O4949</f>
        <v/>
      </c>
      <c r="X4949" s="12">
        <f>IF(LEFT(I4949,2)="MV",2*N4949*IF(L4949="1/C",O4949,1),0)</f>
        <v/>
      </c>
      <c r="Y4949" s="12">
        <f>IF(OR(LEFT(K4949,4)="LVAX",LEFT(K4949,6)="MV15AX",LEFT(K4949,4)="CTAX",LEFT(K4949,2)="W|"),2*N4949*O4949,0)</f>
        <v/>
      </c>
      <c r="Z4949" s="12" t="inlineStr"/>
      <c r="AA4949" s="12">
        <f>N4949*O4949</f>
        <v/>
      </c>
    </row>
    <row r="4950">
      <c r="A4950" s="12" t="inlineStr">
        <is>
          <t>I-I-0347</t>
        </is>
      </c>
      <c r="B4950" s="12" t="inlineStr">
        <is>
          <t>I</t>
        </is>
      </c>
      <c r="C4950" s="12" t="inlineStr">
        <is>
          <t>Modular / portable power</t>
        </is>
      </c>
      <c r="D4950" s="12" t="inlineStr">
        <is>
          <t>RTD to JB JB-RICE-6-RTD01: 10 x 1 tri (field cables)</t>
        </is>
      </c>
      <c r="E4950" s="12" t="inlineStr">
        <is>
          <t>RICE-6</t>
        </is>
      </c>
      <c r="F4950" s="12" t="inlineStr">
        <is>
          <t>RICE engine-generator 6</t>
        </is>
      </c>
      <c r="G4950" s="12" t="inlineStr">
        <is>
          <t>JB-RICE-6-RTD01</t>
        </is>
      </c>
      <c r="H4950" s="12" t="inlineStr">
        <is>
          <t>RICE engine-generator 6</t>
        </is>
      </c>
      <c r="I4950" s="12" t="inlineStr">
        <is>
          <t>Instrumentation</t>
        </is>
      </c>
      <c r="J4950" s="12" t="inlineStr">
        <is>
          <t>RTD cable, #18 shielded triads, PLTC</t>
        </is>
      </c>
      <c r="K4950" s="12" t="inlineStr">
        <is>
          <t>RTD|1 tri|18</t>
        </is>
      </c>
      <c r="L4950" s="12" t="inlineStr">
        <is>
          <t>1 tri</t>
        </is>
      </c>
      <c r="M4950" s="12" t="inlineStr">
        <is>
          <t>18</t>
        </is>
      </c>
      <c r="N4950" s="12" t="n">
        <v>10</v>
      </c>
      <c r="O4950" s="12" t="n">
        <v>1</v>
      </c>
      <c r="P4950" s="12" t="n"/>
      <c r="Q4950" s="12" t="n"/>
      <c r="R4950" s="12" t="n"/>
      <c r="S4950" s="12" t="inlineStr">
        <is>
          <t>Tray / conduit</t>
        </is>
      </c>
      <c r="T4950" s="15" t="n">
        <v>72</v>
      </c>
      <c r="U4950" s="15" t="n">
        <v>10</v>
      </c>
      <c r="V4950" s="15">
        <f>ROUNDUP((T4950+U4950+2*'Read Me'!$B$13)*(1+'Read Me'!$B$12),-1)</f>
        <v/>
      </c>
      <c r="W4950" s="15">
        <f>V4950*N4950*O4950</f>
        <v/>
      </c>
      <c r="X4950" s="12">
        <f>IF(LEFT(I4950,2)="MV",2*N4950*IF(L4950="1/C",O4950,1),0)</f>
        <v/>
      </c>
      <c r="Y4950" s="12">
        <f>IF(OR(LEFT(K4950,4)="LVAX",LEFT(K4950,6)="MV15AX",LEFT(K4950,4)="CTAX",LEFT(K4950,2)="W|"),2*N4950*O4950,0)</f>
        <v/>
      </c>
      <c r="Z4950" s="12" t="inlineStr">
        <is>
          <t>device-to-JB field wiring, one cable per device</t>
        </is>
      </c>
      <c r="AA4950" s="12">
        <f>N4950*O4950</f>
        <v/>
      </c>
    </row>
    <row r="4951">
      <c r="A4951" s="12" t="inlineStr">
        <is>
          <t>I-I-0348</t>
        </is>
      </c>
      <c r="B4951" s="12" t="inlineStr">
        <is>
          <t>I</t>
        </is>
      </c>
      <c r="C4951" s="12" t="inlineStr">
        <is>
          <t>Modular / portable power</t>
        </is>
      </c>
      <c r="D4951" s="12" t="inlineStr">
        <is>
          <t>Home run JB-RICE-6-RTD01 to the control / marshalling room</t>
        </is>
      </c>
      <c r="E4951" s="12" t="inlineStr"/>
      <c r="F4951" s="12" t="inlineStr">
        <is>
          <t>PCM: power control module</t>
        </is>
      </c>
      <c r="G4951" s="12" t="inlineStr">
        <is>
          <t>JB-RICE-6-RTD01</t>
        </is>
      </c>
      <c r="H4951" s="12" t="inlineStr">
        <is>
          <t>RICE engine-generator 6</t>
        </is>
      </c>
      <c r="I4951" s="12" t="inlineStr">
        <is>
          <t>Instrumentation</t>
        </is>
      </c>
      <c r="J4951" s="12" t="inlineStr">
        <is>
          <t>RTD cable, #18 shielded triads, PLTC</t>
        </is>
      </c>
      <c r="K4951" s="12" t="inlineStr">
        <is>
          <t>RTD|12 tri|18</t>
        </is>
      </c>
      <c r="L4951" s="12" t="inlineStr">
        <is>
          <t>12 tri</t>
        </is>
      </c>
      <c r="M4951" s="12" t="inlineStr">
        <is>
          <t>18</t>
        </is>
      </c>
      <c r="N4951" s="12" t="n">
        <v>1</v>
      </c>
      <c r="O4951" s="12" t="n">
        <v>1</v>
      </c>
      <c r="P4951" s="12" t="n"/>
      <c r="Q4951" s="12" t="n"/>
      <c r="R4951" s="12" t="n"/>
      <c r="S4951" s="12" t="inlineStr">
        <is>
          <t>Duct bank</t>
        </is>
      </c>
      <c r="T4951" s="15" t="n">
        <v>57</v>
      </c>
      <c r="U4951" s="15" t="n">
        <v>153</v>
      </c>
      <c r="V4951" s="15">
        <f>ROUNDUP((T4951+U4951+2*'Read Me'!$B$13)*(1+'Read Me'!$B$12),-1)</f>
        <v/>
      </c>
      <c r="W4951" s="15">
        <f>V4951*N4951*O4951</f>
        <v/>
      </c>
      <c r="X4951" s="12">
        <f>IF(LEFT(I4951,2)="MV",2*N4951*IF(L4951="1/C",O4951,1),0)</f>
        <v/>
      </c>
      <c r="Y4951" s="12">
        <f>IF(OR(LEFT(K4951,4)="LVAX",LEFT(K4951,6)="MV15AX",LEFT(K4951,4)="CTAX",LEFT(K4951,2)="W|"),2*N4951*O4951,0)</f>
        <v/>
      </c>
      <c r="Z4951" s="12" t="inlineStr"/>
      <c r="AA4951" s="12">
        <f>N4951*O4951</f>
        <v/>
      </c>
    </row>
    <row r="4952">
      <c r="A4952" s="12" t="inlineStr">
        <is>
          <t>I-I-0349</t>
        </is>
      </c>
      <c r="B4952" s="12" t="inlineStr">
        <is>
          <t>I</t>
        </is>
      </c>
      <c r="C4952" s="12" t="inlineStr">
        <is>
          <t>Modular / portable power</t>
        </is>
      </c>
      <c r="D4952" s="12" t="inlineStr">
        <is>
          <t>RTD to JB JB-RICE-6-RTD02: 2 x 1 tri (field cables)</t>
        </is>
      </c>
      <c r="E4952" s="12" t="inlineStr">
        <is>
          <t>RICE-6</t>
        </is>
      </c>
      <c r="F4952" s="12" t="inlineStr">
        <is>
          <t>RICE engine-generator 6</t>
        </is>
      </c>
      <c r="G4952" s="12" t="inlineStr">
        <is>
          <t>JB-RICE-6-RTD02</t>
        </is>
      </c>
      <c r="H4952" s="12" t="inlineStr">
        <is>
          <t>RICE engine-generator 6</t>
        </is>
      </c>
      <c r="I4952" s="12" t="inlineStr">
        <is>
          <t>Instrumentation</t>
        </is>
      </c>
      <c r="J4952" s="12" t="inlineStr">
        <is>
          <t>RTD cable, #18 shielded triads, PLTC</t>
        </is>
      </c>
      <c r="K4952" s="12" t="inlineStr">
        <is>
          <t>RTD|1 tri|18</t>
        </is>
      </c>
      <c r="L4952" s="12" t="inlineStr">
        <is>
          <t>1 tri</t>
        </is>
      </c>
      <c r="M4952" s="12" t="inlineStr">
        <is>
          <t>18</t>
        </is>
      </c>
      <c r="N4952" s="12" t="n">
        <v>2</v>
      </c>
      <c r="O4952" s="12" t="n">
        <v>1</v>
      </c>
      <c r="P4952" s="12" t="n"/>
      <c r="Q4952" s="12" t="n"/>
      <c r="R4952" s="12" t="n"/>
      <c r="S4952" s="12" t="inlineStr">
        <is>
          <t>Tray / conduit</t>
        </is>
      </c>
      <c r="T4952" s="15" t="n">
        <v>72</v>
      </c>
      <c r="U4952" s="15" t="n">
        <v>10</v>
      </c>
      <c r="V4952" s="15">
        <f>ROUNDUP((T4952+U4952+2*'Read Me'!$B$13)*(1+'Read Me'!$B$12),-1)</f>
        <v/>
      </c>
      <c r="W4952" s="15">
        <f>V4952*N4952*O4952</f>
        <v/>
      </c>
      <c r="X4952" s="12">
        <f>IF(LEFT(I4952,2)="MV",2*N4952*IF(L4952="1/C",O4952,1),0)</f>
        <v/>
      </c>
      <c r="Y4952" s="12">
        <f>IF(OR(LEFT(K4952,4)="LVAX",LEFT(K4952,6)="MV15AX",LEFT(K4952,4)="CTAX",LEFT(K4952,2)="W|"),2*N4952*O4952,0)</f>
        <v/>
      </c>
      <c r="Z4952" s="12" t="inlineStr">
        <is>
          <t>device-to-JB field wiring, one cable per device</t>
        </is>
      </c>
      <c r="AA4952" s="12">
        <f>N4952*O4952</f>
        <v/>
      </c>
    </row>
    <row r="4953">
      <c r="A4953" s="12" t="inlineStr">
        <is>
          <t>I-I-0350</t>
        </is>
      </c>
      <c r="B4953" s="12" t="inlineStr">
        <is>
          <t>I</t>
        </is>
      </c>
      <c r="C4953" s="12" t="inlineStr">
        <is>
          <t>Modular / portable power</t>
        </is>
      </c>
      <c r="D4953" s="12" t="inlineStr">
        <is>
          <t>Home run JB-RICE-6-RTD02 to the control / marshalling room</t>
        </is>
      </c>
      <c r="E4953" s="12" t="inlineStr"/>
      <c r="F4953" s="12" t="inlineStr">
        <is>
          <t>PCM: power control module</t>
        </is>
      </c>
      <c r="G4953" s="12" t="inlineStr">
        <is>
          <t>JB-RICE-6-RTD02</t>
        </is>
      </c>
      <c r="H4953" s="12" t="inlineStr">
        <is>
          <t>RICE engine-generator 6</t>
        </is>
      </c>
      <c r="I4953" s="12" t="inlineStr">
        <is>
          <t>Instrumentation</t>
        </is>
      </c>
      <c r="J4953" s="12" t="inlineStr">
        <is>
          <t>RTD cable, #18 shielded triads, PLTC</t>
        </is>
      </c>
      <c r="K4953" s="12" t="inlineStr">
        <is>
          <t>RTD|12 tri|18</t>
        </is>
      </c>
      <c r="L4953" s="12" t="inlineStr">
        <is>
          <t>12 tri</t>
        </is>
      </c>
      <c r="M4953" s="12" t="inlineStr">
        <is>
          <t>18</t>
        </is>
      </c>
      <c r="N4953" s="12" t="n">
        <v>1</v>
      </c>
      <c r="O4953" s="12" t="n">
        <v>1</v>
      </c>
      <c r="P4953" s="12" t="n"/>
      <c r="Q4953" s="12" t="n"/>
      <c r="R4953" s="12" t="n"/>
      <c r="S4953" s="12" t="inlineStr">
        <is>
          <t>Duct bank</t>
        </is>
      </c>
      <c r="T4953" s="15" t="n">
        <v>57</v>
      </c>
      <c r="U4953" s="15" t="n">
        <v>153</v>
      </c>
      <c r="V4953" s="15">
        <f>ROUNDUP((T4953+U4953+2*'Read Me'!$B$13)*(1+'Read Me'!$B$12),-1)</f>
        <v/>
      </c>
      <c r="W4953" s="15">
        <f>V4953*N4953*O4953</f>
        <v/>
      </c>
      <c r="X4953" s="12">
        <f>IF(LEFT(I4953,2)="MV",2*N4953*IF(L4953="1/C",O4953,1),0)</f>
        <v/>
      </c>
      <c r="Y4953" s="12">
        <f>IF(OR(LEFT(K4953,4)="LVAX",LEFT(K4953,6)="MV15AX",LEFT(K4953,4)="CTAX",LEFT(K4953,2)="W|"),2*N4953*O4953,0)</f>
        <v/>
      </c>
      <c r="Z4953" s="12" t="inlineStr"/>
      <c r="AA4953" s="12">
        <f>N4953*O4953</f>
        <v/>
      </c>
    </row>
    <row r="4954">
      <c r="A4954" s="12" t="inlineStr">
        <is>
          <t>I-I-0351</t>
        </is>
      </c>
      <c r="B4954" s="12" t="inlineStr">
        <is>
          <t>I</t>
        </is>
      </c>
      <c r="C4954" s="12" t="inlineStr">
        <is>
          <t>Modular / portable power</t>
        </is>
      </c>
      <c r="D4954" s="12" t="inlineStr">
        <is>
          <t>Analog instrument to JB JB-RICE-7-AI01: 20 x 1 pr (field cables)</t>
        </is>
      </c>
      <c r="E4954" s="12" t="inlineStr">
        <is>
          <t>RICE-7</t>
        </is>
      </c>
      <c r="F4954" s="12" t="inlineStr">
        <is>
          <t>RICE engine-generator 7</t>
        </is>
      </c>
      <c r="G4954" s="12" t="inlineStr">
        <is>
          <t>JB-RICE-7-AI01</t>
        </is>
      </c>
      <c r="H4954" s="12" t="inlineStr">
        <is>
          <t>RICE engine-generator 7</t>
        </is>
      </c>
      <c r="I4954" s="12" t="inlineStr">
        <is>
          <t>Instrumentation</t>
        </is>
      </c>
      <c r="J4954" s="12" t="inlineStr">
        <is>
          <t>Instrumentation PLTC / TC-ER 300 V, #18 twisted shielded pairs, overall shield</t>
        </is>
      </c>
      <c r="K4954" s="12" t="inlineStr">
        <is>
          <t>PLTC|1 pr|16</t>
        </is>
      </c>
      <c r="L4954" s="12" t="inlineStr">
        <is>
          <t>1 pr</t>
        </is>
      </c>
      <c r="M4954" s="12" t="inlineStr">
        <is>
          <t>16</t>
        </is>
      </c>
      <c r="N4954" s="12" t="n">
        <v>20</v>
      </c>
      <c r="O4954" s="12" t="n">
        <v>1</v>
      </c>
      <c r="P4954" s="12" t="n"/>
      <c r="Q4954" s="12" t="n"/>
      <c r="R4954" s="12" t="n"/>
      <c r="S4954" s="12" t="inlineStr">
        <is>
          <t>Tray / conduit</t>
        </is>
      </c>
      <c r="T4954" s="15" t="n">
        <v>72</v>
      </c>
      <c r="U4954" s="15" t="n">
        <v>10</v>
      </c>
      <c r="V4954" s="15">
        <f>ROUNDUP((T4954+U4954+2*'Read Me'!$B$13)*(1+'Read Me'!$B$12),-1)</f>
        <v/>
      </c>
      <c r="W4954" s="15">
        <f>V4954*N4954*O4954</f>
        <v/>
      </c>
      <c r="X4954" s="12">
        <f>IF(LEFT(I4954,2)="MV",2*N4954*IF(L4954="1/C",O4954,1),0)</f>
        <v/>
      </c>
      <c r="Y4954" s="12">
        <f>IF(OR(LEFT(K4954,4)="LVAX",LEFT(K4954,6)="MV15AX",LEFT(K4954,4)="CTAX",LEFT(K4954,2)="W|"),2*N4954*O4954,0)</f>
        <v/>
      </c>
      <c r="Z4954" s="12" t="inlineStr">
        <is>
          <t>device-to-JB field wiring, one cable per device</t>
        </is>
      </c>
      <c r="AA4954" s="12">
        <f>N4954*O4954</f>
        <v/>
      </c>
    </row>
    <row r="4955">
      <c r="A4955" s="12" t="inlineStr">
        <is>
          <t>I-I-0352</t>
        </is>
      </c>
      <c r="B4955" s="12" t="inlineStr">
        <is>
          <t>I</t>
        </is>
      </c>
      <c r="C4955" s="12" t="inlineStr">
        <is>
          <t>Modular / portable power</t>
        </is>
      </c>
      <c r="D4955" s="12" t="inlineStr">
        <is>
          <t>Home run JB-RICE-7-AI01 to the control / marshalling room</t>
        </is>
      </c>
      <c r="E4955" s="12" t="inlineStr"/>
      <c r="F4955" s="12" t="inlineStr">
        <is>
          <t>PCM: power control module</t>
        </is>
      </c>
      <c r="G4955" s="12" t="inlineStr">
        <is>
          <t>JB-RICE-7-AI01</t>
        </is>
      </c>
      <c r="H4955" s="12" t="inlineStr">
        <is>
          <t>RICE engine-generator 7</t>
        </is>
      </c>
      <c r="I4955" s="12" t="inlineStr">
        <is>
          <t>Instrumentation</t>
        </is>
      </c>
      <c r="J4955" s="12" t="inlineStr">
        <is>
          <t>Instrumentation PLTC / TC-ER 300 V, #18 twisted shielded pairs, overall shield</t>
        </is>
      </c>
      <c r="K4955" s="12" t="inlineStr">
        <is>
          <t>PLTC|24 pr|18</t>
        </is>
      </c>
      <c r="L4955" s="12" t="inlineStr">
        <is>
          <t>24 pr</t>
        </is>
      </c>
      <c r="M4955" s="12" t="inlineStr">
        <is>
          <t>18</t>
        </is>
      </c>
      <c r="N4955" s="12" t="n">
        <v>1</v>
      </c>
      <c r="O4955" s="12" t="n">
        <v>1</v>
      </c>
      <c r="P4955" s="12" t="n"/>
      <c r="Q4955" s="12" t="n"/>
      <c r="R4955" s="12" t="n"/>
      <c r="S4955" s="12" t="inlineStr">
        <is>
          <t>Duct bank</t>
        </is>
      </c>
      <c r="T4955" s="15" t="n">
        <v>57</v>
      </c>
      <c r="U4955" s="15" t="n">
        <v>125</v>
      </c>
      <c r="V4955" s="15">
        <f>ROUNDUP((T4955+U4955+2*'Read Me'!$B$13)*(1+'Read Me'!$B$12),-1)</f>
        <v/>
      </c>
      <c r="W4955" s="15">
        <f>V4955*N4955*O4955</f>
        <v/>
      </c>
      <c r="X4955" s="12">
        <f>IF(LEFT(I4955,2)="MV",2*N4955*IF(L4955="1/C",O4955,1),0)</f>
        <v/>
      </c>
      <c r="Y4955" s="12">
        <f>IF(OR(LEFT(K4955,4)="LVAX",LEFT(K4955,6)="MV15AX",LEFT(K4955,4)="CTAX",LEFT(K4955,2)="W|"),2*N4955*O4955,0)</f>
        <v/>
      </c>
      <c r="Z4955" s="12" t="inlineStr"/>
      <c r="AA4955" s="12">
        <f>N4955*O4955</f>
        <v/>
      </c>
    </row>
    <row r="4956">
      <c r="A4956" s="12" t="inlineStr">
        <is>
          <t>I-I-0353</t>
        </is>
      </c>
      <c r="B4956" s="12" t="inlineStr">
        <is>
          <t>I</t>
        </is>
      </c>
      <c r="C4956" s="12" t="inlineStr">
        <is>
          <t>Modular / portable power</t>
        </is>
      </c>
      <c r="D4956" s="12" t="inlineStr">
        <is>
          <t>Analog instrument to JB JB-RICE-7-AI02: 20 x 1 pr (field cables)</t>
        </is>
      </c>
      <c r="E4956" s="12" t="inlineStr">
        <is>
          <t>RICE-7</t>
        </is>
      </c>
      <c r="F4956" s="12" t="inlineStr">
        <is>
          <t>RICE engine-generator 7</t>
        </is>
      </c>
      <c r="G4956" s="12" t="inlineStr">
        <is>
          <t>JB-RICE-7-AI02</t>
        </is>
      </c>
      <c r="H4956" s="12" t="inlineStr">
        <is>
          <t>RICE engine-generator 7</t>
        </is>
      </c>
      <c r="I4956" s="12" t="inlineStr">
        <is>
          <t>Instrumentation</t>
        </is>
      </c>
      <c r="J4956" s="12" t="inlineStr">
        <is>
          <t>Instrumentation PLTC / TC-ER 300 V, #18 twisted shielded pairs, overall shield</t>
        </is>
      </c>
      <c r="K4956" s="12" t="inlineStr">
        <is>
          <t>PLTC|1 pr|16</t>
        </is>
      </c>
      <c r="L4956" s="12" t="inlineStr">
        <is>
          <t>1 pr</t>
        </is>
      </c>
      <c r="M4956" s="12" t="inlineStr">
        <is>
          <t>16</t>
        </is>
      </c>
      <c r="N4956" s="12" t="n">
        <v>20</v>
      </c>
      <c r="O4956" s="12" t="n">
        <v>1</v>
      </c>
      <c r="P4956" s="12" t="n"/>
      <c r="Q4956" s="12" t="n"/>
      <c r="R4956" s="12" t="n"/>
      <c r="S4956" s="12" t="inlineStr">
        <is>
          <t>Tray / conduit</t>
        </is>
      </c>
      <c r="T4956" s="15" t="n">
        <v>72</v>
      </c>
      <c r="U4956" s="15" t="n">
        <v>10</v>
      </c>
      <c r="V4956" s="15">
        <f>ROUNDUP((T4956+U4956+2*'Read Me'!$B$13)*(1+'Read Me'!$B$12),-1)</f>
        <v/>
      </c>
      <c r="W4956" s="15">
        <f>V4956*N4956*O4956</f>
        <v/>
      </c>
      <c r="X4956" s="12">
        <f>IF(LEFT(I4956,2)="MV",2*N4956*IF(L4956="1/C",O4956,1),0)</f>
        <v/>
      </c>
      <c r="Y4956" s="12">
        <f>IF(OR(LEFT(K4956,4)="LVAX",LEFT(K4956,6)="MV15AX",LEFT(K4956,4)="CTAX",LEFT(K4956,2)="W|"),2*N4956*O4956,0)</f>
        <v/>
      </c>
      <c r="Z4956" s="12" t="inlineStr">
        <is>
          <t>device-to-JB field wiring, one cable per device</t>
        </is>
      </c>
      <c r="AA4956" s="12">
        <f>N4956*O4956</f>
        <v/>
      </c>
    </row>
    <row r="4957">
      <c r="A4957" s="12" t="inlineStr">
        <is>
          <t>I-I-0354</t>
        </is>
      </c>
      <c r="B4957" s="12" t="inlineStr">
        <is>
          <t>I</t>
        </is>
      </c>
      <c r="C4957" s="12" t="inlineStr">
        <is>
          <t>Modular / portable power</t>
        </is>
      </c>
      <c r="D4957" s="12" t="inlineStr">
        <is>
          <t>Home run JB-RICE-7-AI02 to the control / marshalling room</t>
        </is>
      </c>
      <c r="E4957" s="12" t="inlineStr"/>
      <c r="F4957" s="12" t="inlineStr">
        <is>
          <t>PCM: power control module</t>
        </is>
      </c>
      <c r="G4957" s="12" t="inlineStr">
        <is>
          <t>JB-RICE-7-AI02</t>
        </is>
      </c>
      <c r="H4957" s="12" t="inlineStr">
        <is>
          <t>RICE engine-generator 7</t>
        </is>
      </c>
      <c r="I4957" s="12" t="inlineStr">
        <is>
          <t>Instrumentation</t>
        </is>
      </c>
      <c r="J4957" s="12" t="inlineStr">
        <is>
          <t>Instrumentation PLTC / TC-ER 300 V, #18 twisted shielded pairs, overall shield</t>
        </is>
      </c>
      <c r="K4957" s="12" t="inlineStr">
        <is>
          <t>PLTC|24 pr|18</t>
        </is>
      </c>
      <c r="L4957" s="12" t="inlineStr">
        <is>
          <t>24 pr</t>
        </is>
      </c>
      <c r="M4957" s="12" t="inlineStr">
        <is>
          <t>18</t>
        </is>
      </c>
      <c r="N4957" s="12" t="n">
        <v>1</v>
      </c>
      <c r="O4957" s="12" t="n">
        <v>1</v>
      </c>
      <c r="P4957" s="12" t="n"/>
      <c r="Q4957" s="12" t="n"/>
      <c r="R4957" s="12" t="n"/>
      <c r="S4957" s="12" t="inlineStr">
        <is>
          <t>Duct bank</t>
        </is>
      </c>
      <c r="T4957" s="15" t="n">
        <v>57</v>
      </c>
      <c r="U4957" s="15" t="n">
        <v>125</v>
      </c>
      <c r="V4957" s="15">
        <f>ROUNDUP((T4957+U4957+2*'Read Me'!$B$13)*(1+'Read Me'!$B$12),-1)</f>
        <v/>
      </c>
      <c r="W4957" s="15">
        <f>V4957*N4957*O4957</f>
        <v/>
      </c>
      <c r="X4957" s="12">
        <f>IF(LEFT(I4957,2)="MV",2*N4957*IF(L4957="1/C",O4957,1),0)</f>
        <v/>
      </c>
      <c r="Y4957" s="12">
        <f>IF(OR(LEFT(K4957,4)="LVAX",LEFT(K4957,6)="MV15AX",LEFT(K4957,4)="CTAX",LEFT(K4957,2)="W|"),2*N4957*O4957,0)</f>
        <v/>
      </c>
      <c r="Z4957" s="12" t="inlineStr"/>
      <c r="AA4957" s="12">
        <f>N4957*O4957</f>
        <v/>
      </c>
    </row>
    <row r="4958">
      <c r="A4958" s="12" t="inlineStr">
        <is>
          <t>I-I-0355</t>
        </is>
      </c>
      <c r="B4958" s="12" t="inlineStr">
        <is>
          <t>I</t>
        </is>
      </c>
      <c r="C4958" s="12" t="inlineStr">
        <is>
          <t>Modular / portable power</t>
        </is>
      </c>
      <c r="D4958" s="12" t="inlineStr">
        <is>
          <t>Analog instrument to JB JB-RICE-7-AI03: 20 x 1 pr (field cables)</t>
        </is>
      </c>
      <c r="E4958" s="12" t="inlineStr">
        <is>
          <t>RICE-7</t>
        </is>
      </c>
      <c r="F4958" s="12" t="inlineStr">
        <is>
          <t>RICE engine-generator 7</t>
        </is>
      </c>
      <c r="G4958" s="12" t="inlineStr">
        <is>
          <t>JB-RICE-7-AI03</t>
        </is>
      </c>
      <c r="H4958" s="12" t="inlineStr">
        <is>
          <t>RICE engine-generator 7</t>
        </is>
      </c>
      <c r="I4958" s="12" t="inlineStr">
        <is>
          <t>Instrumentation</t>
        </is>
      </c>
      <c r="J4958" s="12" t="inlineStr">
        <is>
          <t>Instrumentation PLTC / TC-ER 300 V, #18 twisted shielded pairs, overall shield</t>
        </is>
      </c>
      <c r="K4958" s="12" t="inlineStr">
        <is>
          <t>PLTC|1 pr|16</t>
        </is>
      </c>
      <c r="L4958" s="12" t="inlineStr">
        <is>
          <t>1 pr</t>
        </is>
      </c>
      <c r="M4958" s="12" t="inlineStr">
        <is>
          <t>16</t>
        </is>
      </c>
      <c r="N4958" s="12" t="n">
        <v>20</v>
      </c>
      <c r="O4958" s="12" t="n">
        <v>1</v>
      </c>
      <c r="P4958" s="12" t="n"/>
      <c r="Q4958" s="12" t="n"/>
      <c r="R4958" s="12" t="n"/>
      <c r="S4958" s="12" t="inlineStr">
        <is>
          <t>Tray / conduit</t>
        </is>
      </c>
      <c r="T4958" s="15" t="n">
        <v>72</v>
      </c>
      <c r="U4958" s="15" t="n">
        <v>10</v>
      </c>
      <c r="V4958" s="15">
        <f>ROUNDUP((T4958+U4958+2*'Read Me'!$B$13)*(1+'Read Me'!$B$12),-1)</f>
        <v/>
      </c>
      <c r="W4958" s="15">
        <f>V4958*N4958*O4958</f>
        <v/>
      </c>
      <c r="X4958" s="12">
        <f>IF(LEFT(I4958,2)="MV",2*N4958*IF(L4958="1/C",O4958,1),0)</f>
        <v/>
      </c>
      <c r="Y4958" s="12">
        <f>IF(OR(LEFT(K4958,4)="LVAX",LEFT(K4958,6)="MV15AX",LEFT(K4958,4)="CTAX",LEFT(K4958,2)="W|"),2*N4958*O4958,0)</f>
        <v/>
      </c>
      <c r="Z4958" s="12" t="inlineStr">
        <is>
          <t>device-to-JB field wiring, one cable per device</t>
        </is>
      </c>
      <c r="AA4958" s="12">
        <f>N4958*O4958</f>
        <v/>
      </c>
    </row>
    <row r="4959">
      <c r="A4959" s="12" t="inlineStr">
        <is>
          <t>I-I-0356</t>
        </is>
      </c>
      <c r="B4959" s="12" t="inlineStr">
        <is>
          <t>I</t>
        </is>
      </c>
      <c r="C4959" s="12" t="inlineStr">
        <is>
          <t>Modular / portable power</t>
        </is>
      </c>
      <c r="D4959" s="12" t="inlineStr">
        <is>
          <t>Home run JB-RICE-7-AI03 to the control / marshalling room</t>
        </is>
      </c>
      <c r="E4959" s="12" t="inlineStr"/>
      <c r="F4959" s="12" t="inlineStr">
        <is>
          <t>PCM: power control module</t>
        </is>
      </c>
      <c r="G4959" s="12" t="inlineStr">
        <is>
          <t>JB-RICE-7-AI03</t>
        </is>
      </c>
      <c r="H4959" s="12" t="inlineStr">
        <is>
          <t>RICE engine-generator 7</t>
        </is>
      </c>
      <c r="I4959" s="12" t="inlineStr">
        <is>
          <t>Instrumentation</t>
        </is>
      </c>
      <c r="J4959" s="12" t="inlineStr">
        <is>
          <t>Instrumentation PLTC / TC-ER 300 V, #18 twisted shielded pairs, overall shield</t>
        </is>
      </c>
      <c r="K4959" s="12" t="inlineStr">
        <is>
          <t>PLTC|24 pr|18</t>
        </is>
      </c>
      <c r="L4959" s="12" t="inlineStr">
        <is>
          <t>24 pr</t>
        </is>
      </c>
      <c r="M4959" s="12" t="inlineStr">
        <is>
          <t>18</t>
        </is>
      </c>
      <c r="N4959" s="12" t="n">
        <v>1</v>
      </c>
      <c r="O4959" s="12" t="n">
        <v>1</v>
      </c>
      <c r="P4959" s="12" t="n"/>
      <c r="Q4959" s="12" t="n"/>
      <c r="R4959" s="12" t="n"/>
      <c r="S4959" s="12" t="inlineStr">
        <is>
          <t>Duct bank</t>
        </is>
      </c>
      <c r="T4959" s="15" t="n">
        <v>57</v>
      </c>
      <c r="U4959" s="15" t="n">
        <v>125</v>
      </c>
      <c r="V4959" s="15">
        <f>ROUNDUP((T4959+U4959+2*'Read Me'!$B$13)*(1+'Read Me'!$B$12),-1)</f>
        <v/>
      </c>
      <c r="W4959" s="15">
        <f>V4959*N4959*O4959</f>
        <v/>
      </c>
      <c r="X4959" s="12">
        <f>IF(LEFT(I4959,2)="MV",2*N4959*IF(L4959="1/C",O4959,1),0)</f>
        <v/>
      </c>
      <c r="Y4959" s="12">
        <f>IF(OR(LEFT(K4959,4)="LVAX",LEFT(K4959,6)="MV15AX",LEFT(K4959,4)="CTAX",LEFT(K4959,2)="W|"),2*N4959*O4959,0)</f>
        <v/>
      </c>
      <c r="Z4959" s="12" t="inlineStr"/>
      <c r="AA4959" s="12">
        <f>N4959*O4959</f>
        <v/>
      </c>
    </row>
    <row r="4960">
      <c r="A4960" s="12" t="inlineStr">
        <is>
          <t>I-I-0357</t>
        </is>
      </c>
      <c r="B4960" s="12" t="inlineStr">
        <is>
          <t>I</t>
        </is>
      </c>
      <c r="C4960" s="12" t="inlineStr">
        <is>
          <t>Modular / portable power</t>
        </is>
      </c>
      <c r="D4960" s="12" t="inlineStr">
        <is>
          <t>Analog instrument to JB JB-RICE-7-AI04: 20 x 1 pr (field cables)</t>
        </is>
      </c>
      <c r="E4960" s="12" t="inlineStr">
        <is>
          <t>RICE-7</t>
        </is>
      </c>
      <c r="F4960" s="12" t="inlineStr">
        <is>
          <t>RICE engine-generator 7</t>
        </is>
      </c>
      <c r="G4960" s="12" t="inlineStr">
        <is>
          <t>JB-RICE-7-AI04</t>
        </is>
      </c>
      <c r="H4960" s="12" t="inlineStr">
        <is>
          <t>RICE engine-generator 7</t>
        </is>
      </c>
      <c r="I4960" s="12" t="inlineStr">
        <is>
          <t>Instrumentation</t>
        </is>
      </c>
      <c r="J4960" s="12" t="inlineStr">
        <is>
          <t>Instrumentation PLTC / TC-ER 300 V, #18 twisted shielded pairs, overall shield</t>
        </is>
      </c>
      <c r="K4960" s="12" t="inlineStr">
        <is>
          <t>PLTC|1 pr|16</t>
        </is>
      </c>
      <c r="L4960" s="12" t="inlineStr">
        <is>
          <t>1 pr</t>
        </is>
      </c>
      <c r="M4960" s="12" t="inlineStr">
        <is>
          <t>16</t>
        </is>
      </c>
      <c r="N4960" s="12" t="n">
        <v>20</v>
      </c>
      <c r="O4960" s="12" t="n">
        <v>1</v>
      </c>
      <c r="P4960" s="12" t="n"/>
      <c r="Q4960" s="12" t="n"/>
      <c r="R4960" s="12" t="n"/>
      <c r="S4960" s="12" t="inlineStr">
        <is>
          <t>Tray / conduit</t>
        </is>
      </c>
      <c r="T4960" s="15" t="n">
        <v>72</v>
      </c>
      <c r="U4960" s="15" t="n">
        <v>10</v>
      </c>
      <c r="V4960" s="15">
        <f>ROUNDUP((T4960+U4960+2*'Read Me'!$B$13)*(1+'Read Me'!$B$12),-1)</f>
        <v/>
      </c>
      <c r="W4960" s="15">
        <f>V4960*N4960*O4960</f>
        <v/>
      </c>
      <c r="X4960" s="12">
        <f>IF(LEFT(I4960,2)="MV",2*N4960*IF(L4960="1/C",O4960,1),0)</f>
        <v/>
      </c>
      <c r="Y4960" s="12">
        <f>IF(OR(LEFT(K4960,4)="LVAX",LEFT(K4960,6)="MV15AX",LEFT(K4960,4)="CTAX",LEFT(K4960,2)="W|"),2*N4960*O4960,0)</f>
        <v/>
      </c>
      <c r="Z4960" s="12" t="inlineStr">
        <is>
          <t>device-to-JB field wiring, one cable per device</t>
        </is>
      </c>
      <c r="AA4960" s="12">
        <f>N4960*O4960</f>
        <v/>
      </c>
    </row>
    <row r="4961">
      <c r="A4961" s="12" t="inlineStr">
        <is>
          <t>I-I-0358</t>
        </is>
      </c>
      <c r="B4961" s="12" t="inlineStr">
        <is>
          <t>I</t>
        </is>
      </c>
      <c r="C4961" s="12" t="inlineStr">
        <is>
          <t>Modular / portable power</t>
        </is>
      </c>
      <c r="D4961" s="12" t="inlineStr">
        <is>
          <t>Home run JB-RICE-7-AI04 to the control / marshalling room</t>
        </is>
      </c>
      <c r="E4961" s="12" t="inlineStr"/>
      <c r="F4961" s="12" t="inlineStr">
        <is>
          <t>PCM: power control module</t>
        </is>
      </c>
      <c r="G4961" s="12" t="inlineStr">
        <is>
          <t>JB-RICE-7-AI04</t>
        </is>
      </c>
      <c r="H4961" s="12" t="inlineStr">
        <is>
          <t>RICE engine-generator 7</t>
        </is>
      </c>
      <c r="I4961" s="12" t="inlineStr">
        <is>
          <t>Instrumentation</t>
        </is>
      </c>
      <c r="J4961" s="12" t="inlineStr">
        <is>
          <t>Instrumentation PLTC / TC-ER 300 V, #18 twisted shielded pairs, overall shield</t>
        </is>
      </c>
      <c r="K4961" s="12" t="inlineStr">
        <is>
          <t>PLTC|24 pr|18</t>
        </is>
      </c>
      <c r="L4961" s="12" t="inlineStr">
        <is>
          <t>24 pr</t>
        </is>
      </c>
      <c r="M4961" s="12" t="inlineStr">
        <is>
          <t>18</t>
        </is>
      </c>
      <c r="N4961" s="12" t="n">
        <v>1</v>
      </c>
      <c r="O4961" s="12" t="n">
        <v>1</v>
      </c>
      <c r="P4961" s="12" t="n"/>
      <c r="Q4961" s="12" t="n"/>
      <c r="R4961" s="12" t="n"/>
      <c r="S4961" s="12" t="inlineStr">
        <is>
          <t>Duct bank</t>
        </is>
      </c>
      <c r="T4961" s="15" t="n">
        <v>57</v>
      </c>
      <c r="U4961" s="15" t="n">
        <v>125</v>
      </c>
      <c r="V4961" s="15">
        <f>ROUNDUP((T4961+U4961+2*'Read Me'!$B$13)*(1+'Read Me'!$B$12),-1)</f>
        <v/>
      </c>
      <c r="W4961" s="15">
        <f>V4961*N4961*O4961</f>
        <v/>
      </c>
      <c r="X4961" s="12">
        <f>IF(LEFT(I4961,2)="MV",2*N4961*IF(L4961="1/C",O4961,1),0)</f>
        <v/>
      </c>
      <c r="Y4961" s="12">
        <f>IF(OR(LEFT(K4961,4)="LVAX",LEFT(K4961,6)="MV15AX",LEFT(K4961,4)="CTAX",LEFT(K4961,2)="W|"),2*N4961*O4961,0)</f>
        <v/>
      </c>
      <c r="Z4961" s="12" t="inlineStr"/>
      <c r="AA4961" s="12">
        <f>N4961*O4961</f>
        <v/>
      </c>
    </row>
    <row r="4962">
      <c r="A4962" s="12" t="inlineStr">
        <is>
          <t>I-I-0359</t>
        </is>
      </c>
      <c r="B4962" s="12" t="inlineStr">
        <is>
          <t>I</t>
        </is>
      </c>
      <c r="C4962" s="12" t="inlineStr">
        <is>
          <t>Modular / portable power</t>
        </is>
      </c>
      <c r="D4962" s="12" t="inlineStr">
        <is>
          <t>Discrete device to JB JB-RICE-7-DI01: 20 x 1 pr (field cables)</t>
        </is>
      </c>
      <c r="E4962" s="12" t="inlineStr">
        <is>
          <t>RICE-7</t>
        </is>
      </c>
      <c r="F4962" s="12" t="inlineStr">
        <is>
          <t>RICE engine-generator 7</t>
        </is>
      </c>
      <c r="G4962" s="12" t="inlineStr">
        <is>
          <t>JB-RICE-7-DI01</t>
        </is>
      </c>
      <c r="H4962" s="12" t="inlineStr">
        <is>
          <t>RICE engine-generator 7</t>
        </is>
      </c>
      <c r="I4962" s="12" t="inlineStr">
        <is>
          <t>Instrumentation</t>
        </is>
      </c>
      <c r="J4962" s="12" t="inlineStr">
        <is>
          <t>Instrumentation PLTC / TC-ER 300 V, #18 twisted shielded pairs, overall shield</t>
        </is>
      </c>
      <c r="K4962" s="12" t="inlineStr">
        <is>
          <t>PLTC|1 pr|16</t>
        </is>
      </c>
      <c r="L4962" s="12" t="inlineStr">
        <is>
          <t>1 pr</t>
        </is>
      </c>
      <c r="M4962" s="12" t="inlineStr">
        <is>
          <t>16</t>
        </is>
      </c>
      <c r="N4962" s="12" t="n">
        <v>20</v>
      </c>
      <c r="O4962" s="12" t="n">
        <v>1</v>
      </c>
      <c r="P4962" s="12" t="n"/>
      <c r="Q4962" s="12" t="n"/>
      <c r="R4962" s="12" t="n"/>
      <c r="S4962" s="12" t="inlineStr">
        <is>
          <t>Tray / conduit</t>
        </is>
      </c>
      <c r="T4962" s="15" t="n">
        <v>72</v>
      </c>
      <c r="U4962" s="15" t="n">
        <v>10</v>
      </c>
      <c r="V4962" s="15">
        <f>ROUNDUP((T4962+U4962+2*'Read Me'!$B$13)*(1+'Read Me'!$B$12),-1)</f>
        <v/>
      </c>
      <c r="W4962" s="15">
        <f>V4962*N4962*O4962</f>
        <v/>
      </c>
      <c r="X4962" s="12">
        <f>IF(LEFT(I4962,2)="MV",2*N4962*IF(L4962="1/C",O4962,1),0)</f>
        <v/>
      </c>
      <c r="Y4962" s="12">
        <f>IF(OR(LEFT(K4962,4)="LVAX",LEFT(K4962,6)="MV15AX",LEFT(K4962,4)="CTAX",LEFT(K4962,2)="W|"),2*N4962*O4962,0)</f>
        <v/>
      </c>
      <c r="Z4962" s="12" t="inlineStr">
        <is>
          <t>device-to-JB field wiring, one cable per device</t>
        </is>
      </c>
      <c r="AA4962" s="12">
        <f>N4962*O4962</f>
        <v/>
      </c>
    </row>
    <row r="4963">
      <c r="A4963" s="12" t="inlineStr">
        <is>
          <t>I-I-0360</t>
        </is>
      </c>
      <c r="B4963" s="12" t="inlineStr">
        <is>
          <t>I</t>
        </is>
      </c>
      <c r="C4963" s="12" t="inlineStr">
        <is>
          <t>Modular / portable power</t>
        </is>
      </c>
      <c r="D4963" s="12" t="inlineStr">
        <is>
          <t>Home run JB-RICE-7-DI01 to the control / marshalling room</t>
        </is>
      </c>
      <c r="E4963" s="12" t="inlineStr"/>
      <c r="F4963" s="12" t="inlineStr">
        <is>
          <t>PCM: power control module</t>
        </is>
      </c>
      <c r="G4963" s="12" t="inlineStr">
        <is>
          <t>JB-RICE-7-DI01</t>
        </is>
      </c>
      <c r="H4963" s="12" t="inlineStr">
        <is>
          <t>RICE engine-generator 7</t>
        </is>
      </c>
      <c r="I4963" s="12" t="inlineStr">
        <is>
          <t>Instrumentation</t>
        </is>
      </c>
      <c r="J4963" s="12" t="inlineStr">
        <is>
          <t>Instrumentation PLTC / TC-ER 300 V, #18 twisted shielded pairs, overall shield</t>
        </is>
      </c>
      <c r="K4963" s="12" t="inlineStr">
        <is>
          <t>PLTC|24 pr|18</t>
        </is>
      </c>
      <c r="L4963" s="12" t="inlineStr">
        <is>
          <t>24 pr</t>
        </is>
      </c>
      <c r="M4963" s="12" t="inlineStr">
        <is>
          <t>18</t>
        </is>
      </c>
      <c r="N4963" s="12" t="n">
        <v>1</v>
      </c>
      <c r="O4963" s="12" t="n">
        <v>1</v>
      </c>
      <c r="P4963" s="12" t="n"/>
      <c r="Q4963" s="12" t="n"/>
      <c r="R4963" s="12" t="n"/>
      <c r="S4963" s="12" t="inlineStr">
        <is>
          <t>Duct bank</t>
        </is>
      </c>
      <c r="T4963" s="15" t="n">
        <v>57</v>
      </c>
      <c r="U4963" s="15" t="n">
        <v>125</v>
      </c>
      <c r="V4963" s="15">
        <f>ROUNDUP((T4963+U4963+2*'Read Me'!$B$13)*(1+'Read Me'!$B$12),-1)</f>
        <v/>
      </c>
      <c r="W4963" s="15">
        <f>V4963*N4963*O4963</f>
        <v/>
      </c>
      <c r="X4963" s="12">
        <f>IF(LEFT(I4963,2)="MV",2*N4963*IF(L4963="1/C",O4963,1),0)</f>
        <v/>
      </c>
      <c r="Y4963" s="12">
        <f>IF(OR(LEFT(K4963,4)="LVAX",LEFT(K4963,6)="MV15AX",LEFT(K4963,4)="CTAX",LEFT(K4963,2)="W|"),2*N4963*O4963,0)</f>
        <v/>
      </c>
      <c r="Z4963" s="12" t="inlineStr"/>
      <c r="AA4963" s="12">
        <f>N4963*O4963</f>
        <v/>
      </c>
    </row>
    <row r="4964">
      <c r="A4964" s="12" t="inlineStr">
        <is>
          <t>I-I-0361</t>
        </is>
      </c>
      <c r="B4964" s="12" t="inlineStr">
        <is>
          <t>I</t>
        </is>
      </c>
      <c r="C4964" s="12" t="inlineStr">
        <is>
          <t>Modular / portable power</t>
        </is>
      </c>
      <c r="D4964" s="12" t="inlineStr">
        <is>
          <t>Discrete device to JB JB-RICE-7-DI02: 20 x 1 pr (field cables)</t>
        </is>
      </c>
      <c r="E4964" s="12" t="inlineStr">
        <is>
          <t>RICE-7</t>
        </is>
      </c>
      <c r="F4964" s="12" t="inlineStr">
        <is>
          <t>RICE engine-generator 7</t>
        </is>
      </c>
      <c r="G4964" s="12" t="inlineStr">
        <is>
          <t>JB-RICE-7-DI02</t>
        </is>
      </c>
      <c r="H4964" s="12" t="inlineStr">
        <is>
          <t>RICE engine-generator 7</t>
        </is>
      </c>
      <c r="I4964" s="12" t="inlineStr">
        <is>
          <t>Instrumentation</t>
        </is>
      </c>
      <c r="J4964" s="12" t="inlineStr">
        <is>
          <t>Instrumentation PLTC / TC-ER 300 V, #18 twisted shielded pairs, overall shield</t>
        </is>
      </c>
      <c r="K4964" s="12" t="inlineStr">
        <is>
          <t>PLTC|1 pr|16</t>
        </is>
      </c>
      <c r="L4964" s="12" t="inlineStr">
        <is>
          <t>1 pr</t>
        </is>
      </c>
      <c r="M4964" s="12" t="inlineStr">
        <is>
          <t>16</t>
        </is>
      </c>
      <c r="N4964" s="12" t="n">
        <v>20</v>
      </c>
      <c r="O4964" s="12" t="n">
        <v>1</v>
      </c>
      <c r="P4964" s="12" t="n"/>
      <c r="Q4964" s="12" t="n"/>
      <c r="R4964" s="12" t="n"/>
      <c r="S4964" s="12" t="inlineStr">
        <is>
          <t>Tray / conduit</t>
        </is>
      </c>
      <c r="T4964" s="15" t="n">
        <v>72</v>
      </c>
      <c r="U4964" s="15" t="n">
        <v>10</v>
      </c>
      <c r="V4964" s="15">
        <f>ROUNDUP((T4964+U4964+2*'Read Me'!$B$13)*(1+'Read Me'!$B$12),-1)</f>
        <v/>
      </c>
      <c r="W4964" s="15">
        <f>V4964*N4964*O4964</f>
        <v/>
      </c>
      <c r="X4964" s="12">
        <f>IF(LEFT(I4964,2)="MV",2*N4964*IF(L4964="1/C",O4964,1),0)</f>
        <v/>
      </c>
      <c r="Y4964" s="12">
        <f>IF(OR(LEFT(K4964,4)="LVAX",LEFT(K4964,6)="MV15AX",LEFT(K4964,4)="CTAX",LEFT(K4964,2)="W|"),2*N4964*O4964,0)</f>
        <v/>
      </c>
      <c r="Z4964" s="12" t="inlineStr">
        <is>
          <t>device-to-JB field wiring, one cable per device</t>
        </is>
      </c>
      <c r="AA4964" s="12">
        <f>N4964*O4964</f>
        <v/>
      </c>
    </row>
    <row r="4965">
      <c r="A4965" s="12" t="inlineStr">
        <is>
          <t>I-I-0362</t>
        </is>
      </c>
      <c r="B4965" s="12" t="inlineStr">
        <is>
          <t>I</t>
        </is>
      </c>
      <c r="C4965" s="12" t="inlineStr">
        <is>
          <t>Modular / portable power</t>
        </is>
      </c>
      <c r="D4965" s="12" t="inlineStr">
        <is>
          <t>Home run JB-RICE-7-DI02 to the control / marshalling room</t>
        </is>
      </c>
      <c r="E4965" s="12" t="inlineStr"/>
      <c r="F4965" s="12" t="inlineStr">
        <is>
          <t>PCM: power control module</t>
        </is>
      </c>
      <c r="G4965" s="12" t="inlineStr">
        <is>
          <t>JB-RICE-7-DI02</t>
        </is>
      </c>
      <c r="H4965" s="12" t="inlineStr">
        <is>
          <t>RICE engine-generator 7</t>
        </is>
      </c>
      <c r="I4965" s="12" t="inlineStr">
        <is>
          <t>Instrumentation</t>
        </is>
      </c>
      <c r="J4965" s="12" t="inlineStr">
        <is>
          <t>Instrumentation PLTC / TC-ER 300 V, #18 twisted shielded pairs, overall shield</t>
        </is>
      </c>
      <c r="K4965" s="12" t="inlineStr">
        <is>
          <t>PLTC|24 pr|18</t>
        </is>
      </c>
      <c r="L4965" s="12" t="inlineStr">
        <is>
          <t>24 pr</t>
        </is>
      </c>
      <c r="M4965" s="12" t="inlineStr">
        <is>
          <t>18</t>
        </is>
      </c>
      <c r="N4965" s="12" t="n">
        <v>1</v>
      </c>
      <c r="O4965" s="12" t="n">
        <v>1</v>
      </c>
      <c r="P4965" s="12" t="n"/>
      <c r="Q4965" s="12" t="n"/>
      <c r="R4965" s="12" t="n"/>
      <c r="S4965" s="12" t="inlineStr">
        <is>
          <t>Duct bank</t>
        </is>
      </c>
      <c r="T4965" s="15" t="n">
        <v>57</v>
      </c>
      <c r="U4965" s="15" t="n">
        <v>125</v>
      </c>
      <c r="V4965" s="15">
        <f>ROUNDUP((T4965+U4965+2*'Read Me'!$B$13)*(1+'Read Me'!$B$12),-1)</f>
        <v/>
      </c>
      <c r="W4965" s="15">
        <f>V4965*N4965*O4965</f>
        <v/>
      </c>
      <c r="X4965" s="12">
        <f>IF(LEFT(I4965,2)="MV",2*N4965*IF(L4965="1/C",O4965,1),0)</f>
        <v/>
      </c>
      <c r="Y4965" s="12">
        <f>IF(OR(LEFT(K4965,4)="LVAX",LEFT(K4965,6)="MV15AX",LEFT(K4965,4)="CTAX",LEFT(K4965,2)="W|"),2*N4965*O4965,0)</f>
        <v/>
      </c>
      <c r="Z4965" s="12" t="inlineStr"/>
      <c r="AA4965" s="12">
        <f>N4965*O4965</f>
        <v/>
      </c>
    </row>
    <row r="4966">
      <c r="A4966" s="12" t="inlineStr">
        <is>
          <t>I-I-0363</t>
        </is>
      </c>
      <c r="B4966" s="12" t="inlineStr">
        <is>
          <t>I</t>
        </is>
      </c>
      <c r="C4966" s="12" t="inlineStr">
        <is>
          <t>Modular / portable power</t>
        </is>
      </c>
      <c r="D4966" s="12" t="inlineStr">
        <is>
          <t>Discrete device to JB JB-RICE-7-DI03: 20 x 1 pr (field cables)</t>
        </is>
      </c>
      <c r="E4966" s="12" t="inlineStr">
        <is>
          <t>RICE-7</t>
        </is>
      </c>
      <c r="F4966" s="12" t="inlineStr">
        <is>
          <t>RICE engine-generator 7</t>
        </is>
      </c>
      <c r="G4966" s="12" t="inlineStr">
        <is>
          <t>JB-RICE-7-DI03</t>
        </is>
      </c>
      <c r="H4966" s="12" t="inlineStr">
        <is>
          <t>RICE engine-generator 7</t>
        </is>
      </c>
      <c r="I4966" s="12" t="inlineStr">
        <is>
          <t>Instrumentation</t>
        </is>
      </c>
      <c r="J4966" s="12" t="inlineStr">
        <is>
          <t>Instrumentation PLTC / TC-ER 300 V, #18 twisted shielded pairs, overall shield</t>
        </is>
      </c>
      <c r="K4966" s="12" t="inlineStr">
        <is>
          <t>PLTC|1 pr|16</t>
        </is>
      </c>
      <c r="L4966" s="12" t="inlineStr">
        <is>
          <t>1 pr</t>
        </is>
      </c>
      <c r="M4966" s="12" t="inlineStr">
        <is>
          <t>16</t>
        </is>
      </c>
      <c r="N4966" s="12" t="n">
        <v>20</v>
      </c>
      <c r="O4966" s="12" t="n">
        <v>1</v>
      </c>
      <c r="P4966" s="12" t="n"/>
      <c r="Q4966" s="12" t="n"/>
      <c r="R4966" s="12" t="n"/>
      <c r="S4966" s="12" t="inlineStr">
        <is>
          <t>Tray / conduit</t>
        </is>
      </c>
      <c r="T4966" s="15" t="n">
        <v>72</v>
      </c>
      <c r="U4966" s="15" t="n">
        <v>10</v>
      </c>
      <c r="V4966" s="15">
        <f>ROUNDUP((T4966+U4966+2*'Read Me'!$B$13)*(1+'Read Me'!$B$12),-1)</f>
        <v/>
      </c>
      <c r="W4966" s="15">
        <f>V4966*N4966*O4966</f>
        <v/>
      </c>
      <c r="X4966" s="12">
        <f>IF(LEFT(I4966,2)="MV",2*N4966*IF(L4966="1/C",O4966,1),0)</f>
        <v/>
      </c>
      <c r="Y4966" s="12">
        <f>IF(OR(LEFT(K4966,4)="LVAX",LEFT(K4966,6)="MV15AX",LEFT(K4966,4)="CTAX",LEFT(K4966,2)="W|"),2*N4966*O4966,0)</f>
        <v/>
      </c>
      <c r="Z4966" s="12" t="inlineStr">
        <is>
          <t>device-to-JB field wiring, one cable per device</t>
        </is>
      </c>
      <c r="AA4966" s="12">
        <f>N4966*O4966</f>
        <v/>
      </c>
    </row>
    <row r="4967">
      <c r="A4967" s="12" t="inlineStr">
        <is>
          <t>I-I-0364</t>
        </is>
      </c>
      <c r="B4967" s="12" t="inlineStr">
        <is>
          <t>I</t>
        </is>
      </c>
      <c r="C4967" s="12" t="inlineStr">
        <is>
          <t>Modular / portable power</t>
        </is>
      </c>
      <c r="D4967" s="12" t="inlineStr">
        <is>
          <t>Home run JB-RICE-7-DI03 to the control / marshalling room</t>
        </is>
      </c>
      <c r="E4967" s="12" t="inlineStr"/>
      <c r="F4967" s="12" t="inlineStr">
        <is>
          <t>PCM: power control module</t>
        </is>
      </c>
      <c r="G4967" s="12" t="inlineStr">
        <is>
          <t>JB-RICE-7-DI03</t>
        </is>
      </c>
      <c r="H4967" s="12" t="inlineStr">
        <is>
          <t>RICE engine-generator 7</t>
        </is>
      </c>
      <c r="I4967" s="12" t="inlineStr">
        <is>
          <t>Instrumentation</t>
        </is>
      </c>
      <c r="J4967" s="12" t="inlineStr">
        <is>
          <t>Instrumentation PLTC / TC-ER 300 V, #18 twisted shielded pairs, overall shield</t>
        </is>
      </c>
      <c r="K4967" s="12" t="inlineStr">
        <is>
          <t>PLTC|24 pr|18</t>
        </is>
      </c>
      <c r="L4967" s="12" t="inlineStr">
        <is>
          <t>24 pr</t>
        </is>
      </c>
      <c r="M4967" s="12" t="inlineStr">
        <is>
          <t>18</t>
        </is>
      </c>
      <c r="N4967" s="12" t="n">
        <v>1</v>
      </c>
      <c r="O4967" s="12" t="n">
        <v>1</v>
      </c>
      <c r="P4967" s="12" t="n"/>
      <c r="Q4967" s="12" t="n"/>
      <c r="R4967" s="12" t="n"/>
      <c r="S4967" s="12" t="inlineStr">
        <is>
          <t>Duct bank</t>
        </is>
      </c>
      <c r="T4967" s="15" t="n">
        <v>57</v>
      </c>
      <c r="U4967" s="15" t="n">
        <v>125</v>
      </c>
      <c r="V4967" s="15">
        <f>ROUNDUP((T4967+U4967+2*'Read Me'!$B$13)*(1+'Read Me'!$B$12),-1)</f>
        <v/>
      </c>
      <c r="W4967" s="15">
        <f>V4967*N4967*O4967</f>
        <v/>
      </c>
      <c r="X4967" s="12">
        <f>IF(LEFT(I4967,2)="MV",2*N4967*IF(L4967="1/C",O4967,1),0)</f>
        <v/>
      </c>
      <c r="Y4967" s="12">
        <f>IF(OR(LEFT(K4967,4)="LVAX",LEFT(K4967,6)="MV15AX",LEFT(K4967,4)="CTAX",LEFT(K4967,2)="W|"),2*N4967*O4967,0)</f>
        <v/>
      </c>
      <c r="Z4967" s="12" t="inlineStr"/>
      <c r="AA4967" s="12">
        <f>N4967*O4967</f>
        <v/>
      </c>
    </row>
    <row r="4968">
      <c r="A4968" s="12" t="inlineStr">
        <is>
          <t>I-I-0365</t>
        </is>
      </c>
      <c r="B4968" s="12" t="inlineStr">
        <is>
          <t>I</t>
        </is>
      </c>
      <c r="C4968" s="12" t="inlineStr">
        <is>
          <t>Modular / portable power</t>
        </is>
      </c>
      <c r="D4968" s="12" t="inlineStr">
        <is>
          <t>Thermocouple to TC JB JB-RICE-7-TC01: 20 x 1 pr (field cables)</t>
        </is>
      </c>
      <c r="E4968" s="12" t="inlineStr">
        <is>
          <t>RICE-7</t>
        </is>
      </c>
      <c r="F4968" s="12" t="inlineStr">
        <is>
          <t>RICE engine-generator 7</t>
        </is>
      </c>
      <c r="G4968" s="12" t="inlineStr">
        <is>
          <t>JB-RICE-7-TC01</t>
        </is>
      </c>
      <c r="H4968" s="12" t="inlineStr">
        <is>
          <t>RICE engine-generator 7</t>
        </is>
      </c>
      <c r="I4968" s="12" t="inlineStr">
        <is>
          <t>Instrumentation</t>
        </is>
      </c>
      <c r="J4968" s="12" t="inlineStr">
        <is>
          <t>Thermocouple extension KX, #16 shielded pairs, PLTC</t>
        </is>
      </c>
      <c r="K4968" s="12" t="inlineStr">
        <is>
          <t>TCX|1 pr|16</t>
        </is>
      </c>
      <c r="L4968" s="12" t="inlineStr">
        <is>
          <t>1 pr</t>
        </is>
      </c>
      <c r="M4968" s="12" t="inlineStr">
        <is>
          <t>16</t>
        </is>
      </c>
      <c r="N4968" s="12" t="n">
        <v>20</v>
      </c>
      <c r="O4968" s="12" t="n">
        <v>1</v>
      </c>
      <c r="P4968" s="12" t="n"/>
      <c r="Q4968" s="12" t="n"/>
      <c r="R4968" s="12" t="n"/>
      <c r="S4968" s="12" t="inlineStr">
        <is>
          <t>Tray / conduit</t>
        </is>
      </c>
      <c r="T4968" s="15" t="n">
        <v>72</v>
      </c>
      <c r="U4968" s="15" t="n">
        <v>10</v>
      </c>
      <c r="V4968" s="15">
        <f>ROUNDUP((T4968+U4968+2*'Read Me'!$B$13)*(1+'Read Me'!$B$12),-1)</f>
        <v/>
      </c>
      <c r="W4968" s="15">
        <f>V4968*N4968*O4968</f>
        <v/>
      </c>
      <c r="X4968" s="12">
        <f>IF(LEFT(I4968,2)="MV",2*N4968*IF(L4968="1/C",O4968,1),0)</f>
        <v/>
      </c>
      <c r="Y4968" s="12">
        <f>IF(OR(LEFT(K4968,4)="LVAX",LEFT(K4968,6)="MV15AX",LEFT(K4968,4)="CTAX",LEFT(K4968,2)="W|"),2*N4968*O4968,0)</f>
        <v/>
      </c>
      <c r="Z4968" s="12" t="inlineStr">
        <is>
          <t>device-to-JB field wiring, one cable per device</t>
        </is>
      </c>
      <c r="AA4968" s="12">
        <f>N4968*O4968</f>
        <v/>
      </c>
    </row>
    <row r="4969">
      <c r="A4969" s="12" t="inlineStr">
        <is>
          <t>I-I-0366</t>
        </is>
      </c>
      <c r="B4969" s="12" t="inlineStr">
        <is>
          <t>I</t>
        </is>
      </c>
      <c r="C4969" s="12" t="inlineStr">
        <is>
          <t>Modular / portable power</t>
        </is>
      </c>
      <c r="D4969" s="12" t="inlineStr">
        <is>
          <t>Home run JB-RICE-7-TC01 to the control / marshalling room</t>
        </is>
      </c>
      <c r="E4969" s="12" t="inlineStr"/>
      <c r="F4969" s="12" t="inlineStr">
        <is>
          <t>PCM: power control module</t>
        </is>
      </c>
      <c r="G4969" s="12" t="inlineStr">
        <is>
          <t>JB-RICE-7-TC01</t>
        </is>
      </c>
      <c r="H4969" s="12" t="inlineStr">
        <is>
          <t>RICE engine-generator 7</t>
        </is>
      </c>
      <c r="I4969" s="12" t="inlineStr">
        <is>
          <t>Instrumentation</t>
        </is>
      </c>
      <c r="J4969" s="12" t="inlineStr">
        <is>
          <t>Thermocouple extension KX, #16 shielded pairs, PLTC</t>
        </is>
      </c>
      <c r="K4969" s="12" t="inlineStr">
        <is>
          <t>TCX|24 pr|16</t>
        </is>
      </c>
      <c r="L4969" s="12" t="inlineStr">
        <is>
          <t>24 pr</t>
        </is>
      </c>
      <c r="M4969" s="12" t="inlineStr">
        <is>
          <t>16</t>
        </is>
      </c>
      <c r="N4969" s="12" t="n">
        <v>1</v>
      </c>
      <c r="O4969" s="12" t="n">
        <v>1</v>
      </c>
      <c r="P4969" s="12" t="n"/>
      <c r="Q4969" s="12" t="n"/>
      <c r="R4969" s="12" t="n"/>
      <c r="S4969" s="12" t="inlineStr">
        <is>
          <t>Duct bank</t>
        </is>
      </c>
      <c r="T4969" s="15" t="n">
        <v>57</v>
      </c>
      <c r="U4969" s="15" t="n">
        <v>125</v>
      </c>
      <c r="V4969" s="15">
        <f>ROUNDUP((T4969+U4969+2*'Read Me'!$B$13)*(1+'Read Me'!$B$12),-1)</f>
        <v/>
      </c>
      <c r="W4969" s="15">
        <f>V4969*N4969*O4969</f>
        <v/>
      </c>
      <c r="X4969" s="12">
        <f>IF(LEFT(I4969,2)="MV",2*N4969*IF(L4969="1/C",O4969,1),0)</f>
        <v/>
      </c>
      <c r="Y4969" s="12">
        <f>IF(OR(LEFT(K4969,4)="LVAX",LEFT(K4969,6)="MV15AX",LEFT(K4969,4)="CTAX",LEFT(K4969,2)="W|"),2*N4969*O4969,0)</f>
        <v/>
      </c>
      <c r="Z4969" s="12" t="inlineStr"/>
      <c r="AA4969" s="12">
        <f>N4969*O4969</f>
        <v/>
      </c>
    </row>
    <row r="4970">
      <c r="A4970" s="12" t="inlineStr">
        <is>
          <t>I-I-0367</t>
        </is>
      </c>
      <c r="B4970" s="12" t="inlineStr">
        <is>
          <t>I</t>
        </is>
      </c>
      <c r="C4970" s="12" t="inlineStr">
        <is>
          <t>Modular / portable power</t>
        </is>
      </c>
      <c r="D4970" s="12" t="inlineStr">
        <is>
          <t>Thermocouple to TC JB JB-RICE-7-TC02: 10 x 1 pr (field cables)</t>
        </is>
      </c>
      <c r="E4970" s="12" t="inlineStr">
        <is>
          <t>RICE-7</t>
        </is>
      </c>
      <c r="F4970" s="12" t="inlineStr">
        <is>
          <t>RICE engine-generator 7</t>
        </is>
      </c>
      <c r="G4970" s="12" t="inlineStr">
        <is>
          <t>JB-RICE-7-TC02</t>
        </is>
      </c>
      <c r="H4970" s="12" t="inlineStr">
        <is>
          <t>RICE engine-generator 7</t>
        </is>
      </c>
      <c r="I4970" s="12" t="inlineStr">
        <is>
          <t>Instrumentation</t>
        </is>
      </c>
      <c r="J4970" s="12" t="inlineStr">
        <is>
          <t>Thermocouple extension KX, #16 shielded pairs, PLTC</t>
        </is>
      </c>
      <c r="K4970" s="12" t="inlineStr">
        <is>
          <t>TCX|1 pr|16</t>
        </is>
      </c>
      <c r="L4970" s="12" t="inlineStr">
        <is>
          <t>1 pr</t>
        </is>
      </c>
      <c r="M4970" s="12" t="inlineStr">
        <is>
          <t>16</t>
        </is>
      </c>
      <c r="N4970" s="12" t="n">
        <v>10</v>
      </c>
      <c r="O4970" s="12" t="n">
        <v>1</v>
      </c>
      <c r="P4970" s="12" t="n"/>
      <c r="Q4970" s="12" t="n"/>
      <c r="R4970" s="12" t="n"/>
      <c r="S4970" s="12" t="inlineStr">
        <is>
          <t>Tray / conduit</t>
        </is>
      </c>
      <c r="T4970" s="15" t="n">
        <v>72</v>
      </c>
      <c r="U4970" s="15" t="n">
        <v>10</v>
      </c>
      <c r="V4970" s="15">
        <f>ROUNDUP((T4970+U4970+2*'Read Me'!$B$13)*(1+'Read Me'!$B$12),-1)</f>
        <v/>
      </c>
      <c r="W4970" s="15">
        <f>V4970*N4970*O4970</f>
        <v/>
      </c>
      <c r="X4970" s="12">
        <f>IF(LEFT(I4970,2)="MV",2*N4970*IF(L4970="1/C",O4970,1),0)</f>
        <v/>
      </c>
      <c r="Y4970" s="12">
        <f>IF(OR(LEFT(K4970,4)="LVAX",LEFT(K4970,6)="MV15AX",LEFT(K4970,4)="CTAX",LEFT(K4970,2)="W|"),2*N4970*O4970,0)</f>
        <v/>
      </c>
      <c r="Z4970" s="12" t="inlineStr">
        <is>
          <t>device-to-JB field wiring, one cable per device</t>
        </is>
      </c>
      <c r="AA4970" s="12">
        <f>N4970*O4970</f>
        <v/>
      </c>
    </row>
    <row r="4971">
      <c r="A4971" s="12" t="inlineStr">
        <is>
          <t>I-I-0368</t>
        </is>
      </c>
      <c r="B4971" s="12" t="inlineStr">
        <is>
          <t>I</t>
        </is>
      </c>
      <c r="C4971" s="12" t="inlineStr">
        <is>
          <t>Modular / portable power</t>
        </is>
      </c>
      <c r="D4971" s="12" t="inlineStr">
        <is>
          <t>Home run JB-RICE-7-TC02 to the control / marshalling room</t>
        </is>
      </c>
      <c r="E4971" s="12" t="inlineStr"/>
      <c r="F4971" s="12" t="inlineStr">
        <is>
          <t>PCM: power control module</t>
        </is>
      </c>
      <c r="G4971" s="12" t="inlineStr">
        <is>
          <t>JB-RICE-7-TC02</t>
        </is>
      </c>
      <c r="H4971" s="12" t="inlineStr">
        <is>
          <t>RICE engine-generator 7</t>
        </is>
      </c>
      <c r="I4971" s="12" t="inlineStr">
        <is>
          <t>Instrumentation</t>
        </is>
      </c>
      <c r="J4971" s="12" t="inlineStr">
        <is>
          <t>Thermocouple extension KX, #16 shielded pairs, PLTC</t>
        </is>
      </c>
      <c r="K4971" s="12" t="inlineStr">
        <is>
          <t>TCX|24 pr|16</t>
        </is>
      </c>
      <c r="L4971" s="12" t="inlineStr">
        <is>
          <t>24 pr</t>
        </is>
      </c>
      <c r="M4971" s="12" t="inlineStr">
        <is>
          <t>16</t>
        </is>
      </c>
      <c r="N4971" s="12" t="n">
        <v>1</v>
      </c>
      <c r="O4971" s="12" t="n">
        <v>1</v>
      </c>
      <c r="P4971" s="12" t="n"/>
      <c r="Q4971" s="12" t="n"/>
      <c r="R4971" s="12" t="n"/>
      <c r="S4971" s="12" t="inlineStr">
        <is>
          <t>Duct bank</t>
        </is>
      </c>
      <c r="T4971" s="15" t="n">
        <v>57</v>
      </c>
      <c r="U4971" s="15" t="n">
        <v>125</v>
      </c>
      <c r="V4971" s="15">
        <f>ROUNDUP((T4971+U4971+2*'Read Me'!$B$13)*(1+'Read Me'!$B$12),-1)</f>
        <v/>
      </c>
      <c r="W4971" s="15">
        <f>V4971*N4971*O4971</f>
        <v/>
      </c>
      <c r="X4971" s="12">
        <f>IF(LEFT(I4971,2)="MV",2*N4971*IF(L4971="1/C",O4971,1),0)</f>
        <v/>
      </c>
      <c r="Y4971" s="12">
        <f>IF(OR(LEFT(K4971,4)="LVAX",LEFT(K4971,6)="MV15AX",LEFT(K4971,4)="CTAX",LEFT(K4971,2)="W|"),2*N4971*O4971,0)</f>
        <v/>
      </c>
      <c r="Z4971" s="12" t="inlineStr"/>
      <c r="AA4971" s="12">
        <f>N4971*O4971</f>
        <v/>
      </c>
    </row>
    <row r="4972">
      <c r="A4972" s="12" t="inlineStr">
        <is>
          <t>I-I-0369</t>
        </is>
      </c>
      <c r="B4972" s="12" t="inlineStr">
        <is>
          <t>I</t>
        </is>
      </c>
      <c r="C4972" s="12" t="inlineStr">
        <is>
          <t>Modular / portable power</t>
        </is>
      </c>
      <c r="D4972" s="12" t="inlineStr">
        <is>
          <t>RTD to JB JB-RICE-7-RTD01: 10 x 1 tri (field cables)</t>
        </is>
      </c>
      <c r="E4972" s="12" t="inlineStr">
        <is>
          <t>RICE-7</t>
        </is>
      </c>
      <c r="F4972" s="12" t="inlineStr">
        <is>
          <t>RICE engine-generator 7</t>
        </is>
      </c>
      <c r="G4972" s="12" t="inlineStr">
        <is>
          <t>JB-RICE-7-RTD01</t>
        </is>
      </c>
      <c r="H4972" s="12" t="inlineStr">
        <is>
          <t>RICE engine-generator 7</t>
        </is>
      </c>
      <c r="I4972" s="12" t="inlineStr">
        <is>
          <t>Instrumentation</t>
        </is>
      </c>
      <c r="J4972" s="12" t="inlineStr">
        <is>
          <t>RTD cable, #18 shielded triads, PLTC</t>
        </is>
      </c>
      <c r="K4972" s="12" t="inlineStr">
        <is>
          <t>RTD|1 tri|18</t>
        </is>
      </c>
      <c r="L4972" s="12" t="inlineStr">
        <is>
          <t>1 tri</t>
        </is>
      </c>
      <c r="M4972" s="12" t="inlineStr">
        <is>
          <t>18</t>
        </is>
      </c>
      <c r="N4972" s="12" t="n">
        <v>10</v>
      </c>
      <c r="O4972" s="12" t="n">
        <v>1</v>
      </c>
      <c r="P4972" s="12" t="n"/>
      <c r="Q4972" s="12" t="n"/>
      <c r="R4972" s="12" t="n"/>
      <c r="S4972" s="12" t="inlineStr">
        <is>
          <t>Tray / conduit</t>
        </is>
      </c>
      <c r="T4972" s="15" t="n">
        <v>72</v>
      </c>
      <c r="U4972" s="15" t="n">
        <v>10</v>
      </c>
      <c r="V4972" s="15">
        <f>ROUNDUP((T4972+U4972+2*'Read Me'!$B$13)*(1+'Read Me'!$B$12),-1)</f>
        <v/>
      </c>
      <c r="W4972" s="15">
        <f>V4972*N4972*O4972</f>
        <v/>
      </c>
      <c r="X4972" s="12">
        <f>IF(LEFT(I4972,2)="MV",2*N4972*IF(L4972="1/C",O4972,1),0)</f>
        <v/>
      </c>
      <c r="Y4972" s="12">
        <f>IF(OR(LEFT(K4972,4)="LVAX",LEFT(K4972,6)="MV15AX",LEFT(K4972,4)="CTAX",LEFT(K4972,2)="W|"),2*N4972*O4972,0)</f>
        <v/>
      </c>
      <c r="Z4972" s="12" t="inlineStr">
        <is>
          <t>device-to-JB field wiring, one cable per device</t>
        </is>
      </c>
      <c r="AA4972" s="12">
        <f>N4972*O4972</f>
        <v/>
      </c>
    </row>
    <row r="4973">
      <c r="A4973" s="12" t="inlineStr">
        <is>
          <t>I-I-0370</t>
        </is>
      </c>
      <c r="B4973" s="12" t="inlineStr">
        <is>
          <t>I</t>
        </is>
      </c>
      <c r="C4973" s="12" t="inlineStr">
        <is>
          <t>Modular / portable power</t>
        </is>
      </c>
      <c r="D4973" s="12" t="inlineStr">
        <is>
          <t>Home run JB-RICE-7-RTD01 to the control / marshalling room</t>
        </is>
      </c>
      <c r="E4973" s="12" t="inlineStr"/>
      <c r="F4973" s="12" t="inlineStr">
        <is>
          <t>PCM: power control module</t>
        </is>
      </c>
      <c r="G4973" s="12" t="inlineStr">
        <is>
          <t>JB-RICE-7-RTD01</t>
        </is>
      </c>
      <c r="H4973" s="12" t="inlineStr">
        <is>
          <t>RICE engine-generator 7</t>
        </is>
      </c>
      <c r="I4973" s="12" t="inlineStr">
        <is>
          <t>Instrumentation</t>
        </is>
      </c>
      <c r="J4973" s="12" t="inlineStr">
        <is>
          <t>RTD cable, #18 shielded triads, PLTC</t>
        </is>
      </c>
      <c r="K4973" s="12" t="inlineStr">
        <is>
          <t>RTD|12 tri|18</t>
        </is>
      </c>
      <c r="L4973" s="12" t="inlineStr">
        <is>
          <t>12 tri</t>
        </is>
      </c>
      <c r="M4973" s="12" t="inlineStr">
        <is>
          <t>18</t>
        </is>
      </c>
      <c r="N4973" s="12" t="n">
        <v>1</v>
      </c>
      <c r="O4973" s="12" t="n">
        <v>1</v>
      </c>
      <c r="P4973" s="12" t="n"/>
      <c r="Q4973" s="12" t="n"/>
      <c r="R4973" s="12" t="n"/>
      <c r="S4973" s="12" t="inlineStr">
        <is>
          <t>Duct bank</t>
        </is>
      </c>
      <c r="T4973" s="15" t="n">
        <v>57</v>
      </c>
      <c r="U4973" s="15" t="n">
        <v>125</v>
      </c>
      <c r="V4973" s="15">
        <f>ROUNDUP((T4973+U4973+2*'Read Me'!$B$13)*(1+'Read Me'!$B$12),-1)</f>
        <v/>
      </c>
      <c r="W4973" s="15">
        <f>V4973*N4973*O4973</f>
        <v/>
      </c>
      <c r="X4973" s="12">
        <f>IF(LEFT(I4973,2)="MV",2*N4973*IF(L4973="1/C",O4973,1),0)</f>
        <v/>
      </c>
      <c r="Y4973" s="12">
        <f>IF(OR(LEFT(K4973,4)="LVAX",LEFT(K4973,6)="MV15AX",LEFT(K4973,4)="CTAX",LEFT(K4973,2)="W|"),2*N4973*O4973,0)</f>
        <v/>
      </c>
      <c r="Z4973" s="12" t="inlineStr"/>
      <c r="AA4973" s="12">
        <f>N4973*O4973</f>
        <v/>
      </c>
    </row>
    <row r="4974">
      <c r="A4974" s="12" t="inlineStr">
        <is>
          <t>I-I-0371</t>
        </is>
      </c>
      <c r="B4974" s="12" t="inlineStr">
        <is>
          <t>I</t>
        </is>
      </c>
      <c r="C4974" s="12" t="inlineStr">
        <is>
          <t>Modular / portable power</t>
        </is>
      </c>
      <c r="D4974" s="12" t="inlineStr">
        <is>
          <t>RTD to JB JB-RICE-7-RTD02: 2 x 1 tri (field cables)</t>
        </is>
      </c>
      <c r="E4974" s="12" t="inlineStr">
        <is>
          <t>RICE-7</t>
        </is>
      </c>
      <c r="F4974" s="12" t="inlineStr">
        <is>
          <t>RICE engine-generator 7</t>
        </is>
      </c>
      <c r="G4974" s="12" t="inlineStr">
        <is>
          <t>JB-RICE-7-RTD02</t>
        </is>
      </c>
      <c r="H4974" s="12" t="inlineStr">
        <is>
          <t>RICE engine-generator 7</t>
        </is>
      </c>
      <c r="I4974" s="12" t="inlineStr">
        <is>
          <t>Instrumentation</t>
        </is>
      </c>
      <c r="J4974" s="12" t="inlineStr">
        <is>
          <t>RTD cable, #18 shielded triads, PLTC</t>
        </is>
      </c>
      <c r="K4974" s="12" t="inlineStr">
        <is>
          <t>RTD|1 tri|18</t>
        </is>
      </c>
      <c r="L4974" s="12" t="inlineStr">
        <is>
          <t>1 tri</t>
        </is>
      </c>
      <c r="M4974" s="12" t="inlineStr">
        <is>
          <t>18</t>
        </is>
      </c>
      <c r="N4974" s="12" t="n">
        <v>2</v>
      </c>
      <c r="O4974" s="12" t="n">
        <v>1</v>
      </c>
      <c r="P4974" s="12" t="n"/>
      <c r="Q4974" s="12" t="n"/>
      <c r="R4974" s="12" t="n"/>
      <c r="S4974" s="12" t="inlineStr">
        <is>
          <t>Tray / conduit</t>
        </is>
      </c>
      <c r="T4974" s="15" t="n">
        <v>72</v>
      </c>
      <c r="U4974" s="15" t="n">
        <v>10</v>
      </c>
      <c r="V4974" s="15">
        <f>ROUNDUP((T4974+U4974+2*'Read Me'!$B$13)*(1+'Read Me'!$B$12),-1)</f>
        <v/>
      </c>
      <c r="W4974" s="15">
        <f>V4974*N4974*O4974</f>
        <v/>
      </c>
      <c r="X4974" s="12">
        <f>IF(LEFT(I4974,2)="MV",2*N4974*IF(L4974="1/C",O4974,1),0)</f>
        <v/>
      </c>
      <c r="Y4974" s="12">
        <f>IF(OR(LEFT(K4974,4)="LVAX",LEFT(K4974,6)="MV15AX",LEFT(K4974,4)="CTAX",LEFT(K4974,2)="W|"),2*N4974*O4974,0)</f>
        <v/>
      </c>
      <c r="Z4974" s="12" t="inlineStr">
        <is>
          <t>device-to-JB field wiring, one cable per device</t>
        </is>
      </c>
      <c r="AA4974" s="12">
        <f>N4974*O4974</f>
        <v/>
      </c>
    </row>
    <row r="4975">
      <c r="A4975" s="12" t="inlineStr">
        <is>
          <t>I-I-0372</t>
        </is>
      </c>
      <c r="B4975" s="12" t="inlineStr">
        <is>
          <t>I</t>
        </is>
      </c>
      <c r="C4975" s="12" t="inlineStr">
        <is>
          <t>Modular / portable power</t>
        </is>
      </c>
      <c r="D4975" s="12" t="inlineStr">
        <is>
          <t>Home run JB-RICE-7-RTD02 to the control / marshalling room</t>
        </is>
      </c>
      <c r="E4975" s="12" t="inlineStr"/>
      <c r="F4975" s="12" t="inlineStr">
        <is>
          <t>PCM: power control module</t>
        </is>
      </c>
      <c r="G4975" s="12" t="inlineStr">
        <is>
          <t>JB-RICE-7-RTD02</t>
        </is>
      </c>
      <c r="H4975" s="12" t="inlineStr">
        <is>
          <t>RICE engine-generator 7</t>
        </is>
      </c>
      <c r="I4975" s="12" t="inlineStr">
        <is>
          <t>Instrumentation</t>
        </is>
      </c>
      <c r="J4975" s="12" t="inlineStr">
        <is>
          <t>RTD cable, #18 shielded triads, PLTC</t>
        </is>
      </c>
      <c r="K4975" s="12" t="inlineStr">
        <is>
          <t>RTD|12 tri|18</t>
        </is>
      </c>
      <c r="L4975" s="12" t="inlineStr">
        <is>
          <t>12 tri</t>
        </is>
      </c>
      <c r="M4975" s="12" t="inlineStr">
        <is>
          <t>18</t>
        </is>
      </c>
      <c r="N4975" s="12" t="n">
        <v>1</v>
      </c>
      <c r="O4975" s="12" t="n">
        <v>1</v>
      </c>
      <c r="P4975" s="12" t="n"/>
      <c r="Q4975" s="12" t="n"/>
      <c r="R4975" s="12" t="n"/>
      <c r="S4975" s="12" t="inlineStr">
        <is>
          <t>Duct bank</t>
        </is>
      </c>
      <c r="T4975" s="15" t="n">
        <v>57</v>
      </c>
      <c r="U4975" s="15" t="n">
        <v>125</v>
      </c>
      <c r="V4975" s="15">
        <f>ROUNDUP((T4975+U4975+2*'Read Me'!$B$13)*(1+'Read Me'!$B$12),-1)</f>
        <v/>
      </c>
      <c r="W4975" s="15">
        <f>V4975*N4975*O4975</f>
        <v/>
      </c>
      <c r="X4975" s="12">
        <f>IF(LEFT(I4975,2)="MV",2*N4975*IF(L4975="1/C",O4975,1),0)</f>
        <v/>
      </c>
      <c r="Y4975" s="12">
        <f>IF(OR(LEFT(K4975,4)="LVAX",LEFT(K4975,6)="MV15AX",LEFT(K4975,4)="CTAX",LEFT(K4975,2)="W|"),2*N4975*O4975,0)</f>
        <v/>
      </c>
      <c r="Z4975" s="12" t="inlineStr"/>
      <c r="AA4975" s="12">
        <f>N4975*O4975</f>
        <v/>
      </c>
    </row>
    <row r="4976">
      <c r="A4976" s="12" t="inlineStr">
        <is>
          <t>I-I-0373</t>
        </is>
      </c>
      <c r="B4976" s="12" t="inlineStr">
        <is>
          <t>I</t>
        </is>
      </c>
      <c r="C4976" s="12" t="inlineStr">
        <is>
          <t>Modular / portable power</t>
        </is>
      </c>
      <c r="D4976" s="12" t="inlineStr">
        <is>
          <t>Analog instrument to JB JB-RICE-8-AI01: 20 x 1 pr (field cables)</t>
        </is>
      </c>
      <c r="E4976" s="12" t="inlineStr">
        <is>
          <t>RICE-8</t>
        </is>
      </c>
      <c r="F4976" s="12" t="inlineStr">
        <is>
          <t>RICE engine-generator 8</t>
        </is>
      </c>
      <c r="G4976" s="12" t="inlineStr">
        <is>
          <t>JB-RICE-8-AI01</t>
        </is>
      </c>
      <c r="H4976" s="12" t="inlineStr">
        <is>
          <t>RICE engine-generator 8</t>
        </is>
      </c>
      <c r="I4976" s="12" t="inlineStr">
        <is>
          <t>Instrumentation</t>
        </is>
      </c>
      <c r="J4976" s="12" t="inlineStr">
        <is>
          <t>Instrumentation PLTC / TC-ER 300 V, #18 twisted shielded pairs, overall shield</t>
        </is>
      </c>
      <c r="K4976" s="12" t="inlineStr">
        <is>
          <t>PLTC|1 pr|16</t>
        </is>
      </c>
      <c r="L4976" s="12" t="inlineStr">
        <is>
          <t>1 pr</t>
        </is>
      </c>
      <c r="M4976" s="12" t="inlineStr">
        <is>
          <t>16</t>
        </is>
      </c>
      <c r="N4976" s="12" t="n">
        <v>20</v>
      </c>
      <c r="O4976" s="12" t="n">
        <v>1</v>
      </c>
      <c r="P4976" s="12" t="n"/>
      <c r="Q4976" s="12" t="n"/>
      <c r="R4976" s="12" t="n"/>
      <c r="S4976" s="12" t="inlineStr">
        <is>
          <t>Tray / conduit</t>
        </is>
      </c>
      <c r="T4976" s="15" t="n">
        <v>72</v>
      </c>
      <c r="U4976" s="15" t="n">
        <v>10</v>
      </c>
      <c r="V4976" s="15">
        <f>ROUNDUP((T4976+U4976+2*'Read Me'!$B$13)*(1+'Read Me'!$B$12),-1)</f>
        <v/>
      </c>
      <c r="W4976" s="15">
        <f>V4976*N4976*O4976</f>
        <v/>
      </c>
      <c r="X4976" s="12">
        <f>IF(LEFT(I4976,2)="MV",2*N4976*IF(L4976="1/C",O4976,1),0)</f>
        <v/>
      </c>
      <c r="Y4976" s="12">
        <f>IF(OR(LEFT(K4976,4)="LVAX",LEFT(K4976,6)="MV15AX",LEFT(K4976,4)="CTAX",LEFT(K4976,2)="W|"),2*N4976*O4976,0)</f>
        <v/>
      </c>
      <c r="Z4976" s="12" t="inlineStr">
        <is>
          <t>device-to-JB field wiring, one cable per device</t>
        </is>
      </c>
      <c r="AA4976" s="12">
        <f>N4976*O4976</f>
        <v/>
      </c>
    </row>
    <row r="4977">
      <c r="A4977" s="12" t="inlineStr">
        <is>
          <t>I-I-0374</t>
        </is>
      </c>
      <c r="B4977" s="12" t="inlineStr">
        <is>
          <t>I</t>
        </is>
      </c>
      <c r="C4977" s="12" t="inlineStr">
        <is>
          <t>Modular / portable power</t>
        </is>
      </c>
      <c r="D4977" s="12" t="inlineStr">
        <is>
          <t>Home run JB-RICE-8-AI01 to the control / marshalling room</t>
        </is>
      </c>
      <c r="E4977" s="12" t="inlineStr"/>
      <c r="F4977" s="12" t="inlineStr">
        <is>
          <t>PCM: power control module</t>
        </is>
      </c>
      <c r="G4977" s="12" t="inlineStr">
        <is>
          <t>JB-RICE-8-AI01</t>
        </is>
      </c>
      <c r="H4977" s="12" t="inlineStr">
        <is>
          <t>RICE engine-generator 8</t>
        </is>
      </c>
      <c r="I4977" s="12" t="inlineStr">
        <is>
          <t>Instrumentation</t>
        </is>
      </c>
      <c r="J4977" s="12" t="inlineStr">
        <is>
          <t>Instrumentation PLTC / TC-ER 300 V, #18 twisted shielded pairs, overall shield</t>
        </is>
      </c>
      <c r="K4977" s="12" t="inlineStr">
        <is>
          <t>PLTC|24 pr|18</t>
        </is>
      </c>
      <c r="L4977" s="12" t="inlineStr">
        <is>
          <t>24 pr</t>
        </is>
      </c>
      <c r="M4977" s="12" t="inlineStr">
        <is>
          <t>18</t>
        </is>
      </c>
      <c r="N4977" s="12" t="n">
        <v>1</v>
      </c>
      <c r="O4977" s="12" t="n">
        <v>1</v>
      </c>
      <c r="P4977" s="12" t="n"/>
      <c r="Q4977" s="12" t="n"/>
      <c r="R4977" s="12" t="n"/>
      <c r="S4977" s="12" t="inlineStr">
        <is>
          <t>Duct bank</t>
        </is>
      </c>
      <c r="T4977" s="15" t="n">
        <v>57</v>
      </c>
      <c r="U4977" s="15" t="n">
        <v>97</v>
      </c>
      <c r="V4977" s="15">
        <f>ROUNDUP((T4977+U4977+2*'Read Me'!$B$13)*(1+'Read Me'!$B$12),-1)</f>
        <v/>
      </c>
      <c r="W4977" s="15">
        <f>V4977*N4977*O4977</f>
        <v/>
      </c>
      <c r="X4977" s="12">
        <f>IF(LEFT(I4977,2)="MV",2*N4977*IF(L4977="1/C",O4977,1),0)</f>
        <v/>
      </c>
      <c r="Y4977" s="12">
        <f>IF(OR(LEFT(K4977,4)="LVAX",LEFT(K4977,6)="MV15AX",LEFT(K4977,4)="CTAX",LEFT(K4977,2)="W|"),2*N4977*O4977,0)</f>
        <v/>
      </c>
      <c r="Z4977" s="12" t="inlineStr"/>
      <c r="AA4977" s="12">
        <f>N4977*O4977</f>
        <v/>
      </c>
    </row>
    <row r="4978">
      <c r="A4978" s="12" t="inlineStr">
        <is>
          <t>I-I-0375</t>
        </is>
      </c>
      <c r="B4978" s="12" t="inlineStr">
        <is>
          <t>I</t>
        </is>
      </c>
      <c r="C4978" s="12" t="inlineStr">
        <is>
          <t>Modular / portable power</t>
        </is>
      </c>
      <c r="D4978" s="12" t="inlineStr">
        <is>
          <t>Analog instrument to JB JB-RICE-8-AI02: 20 x 1 pr (field cables)</t>
        </is>
      </c>
      <c r="E4978" s="12" t="inlineStr">
        <is>
          <t>RICE-8</t>
        </is>
      </c>
      <c r="F4978" s="12" t="inlineStr">
        <is>
          <t>RICE engine-generator 8</t>
        </is>
      </c>
      <c r="G4978" s="12" t="inlineStr">
        <is>
          <t>JB-RICE-8-AI02</t>
        </is>
      </c>
      <c r="H4978" s="12" t="inlineStr">
        <is>
          <t>RICE engine-generator 8</t>
        </is>
      </c>
      <c r="I4978" s="12" t="inlineStr">
        <is>
          <t>Instrumentation</t>
        </is>
      </c>
      <c r="J4978" s="12" t="inlineStr">
        <is>
          <t>Instrumentation PLTC / TC-ER 300 V, #18 twisted shielded pairs, overall shield</t>
        </is>
      </c>
      <c r="K4978" s="12" t="inlineStr">
        <is>
          <t>PLTC|1 pr|16</t>
        </is>
      </c>
      <c r="L4978" s="12" t="inlineStr">
        <is>
          <t>1 pr</t>
        </is>
      </c>
      <c r="M4978" s="12" t="inlineStr">
        <is>
          <t>16</t>
        </is>
      </c>
      <c r="N4978" s="12" t="n">
        <v>20</v>
      </c>
      <c r="O4978" s="12" t="n">
        <v>1</v>
      </c>
      <c r="P4978" s="12" t="n"/>
      <c r="Q4978" s="12" t="n"/>
      <c r="R4978" s="12" t="n"/>
      <c r="S4978" s="12" t="inlineStr">
        <is>
          <t>Tray / conduit</t>
        </is>
      </c>
      <c r="T4978" s="15" t="n">
        <v>72</v>
      </c>
      <c r="U4978" s="15" t="n">
        <v>10</v>
      </c>
      <c r="V4978" s="15">
        <f>ROUNDUP((T4978+U4978+2*'Read Me'!$B$13)*(1+'Read Me'!$B$12),-1)</f>
        <v/>
      </c>
      <c r="W4978" s="15">
        <f>V4978*N4978*O4978</f>
        <v/>
      </c>
      <c r="X4978" s="12">
        <f>IF(LEFT(I4978,2)="MV",2*N4978*IF(L4978="1/C",O4978,1),0)</f>
        <v/>
      </c>
      <c r="Y4978" s="12">
        <f>IF(OR(LEFT(K4978,4)="LVAX",LEFT(K4978,6)="MV15AX",LEFT(K4978,4)="CTAX",LEFT(K4978,2)="W|"),2*N4978*O4978,0)</f>
        <v/>
      </c>
      <c r="Z4978" s="12" t="inlineStr">
        <is>
          <t>device-to-JB field wiring, one cable per device</t>
        </is>
      </c>
      <c r="AA4978" s="12">
        <f>N4978*O4978</f>
        <v/>
      </c>
    </row>
    <row r="4979">
      <c r="A4979" s="12" t="inlineStr">
        <is>
          <t>I-I-0376</t>
        </is>
      </c>
      <c r="B4979" s="12" t="inlineStr">
        <is>
          <t>I</t>
        </is>
      </c>
      <c r="C4979" s="12" t="inlineStr">
        <is>
          <t>Modular / portable power</t>
        </is>
      </c>
      <c r="D4979" s="12" t="inlineStr">
        <is>
          <t>Home run JB-RICE-8-AI02 to the control / marshalling room</t>
        </is>
      </c>
      <c r="E4979" s="12" t="inlineStr"/>
      <c r="F4979" s="12" t="inlineStr">
        <is>
          <t>PCM: power control module</t>
        </is>
      </c>
      <c r="G4979" s="12" t="inlineStr">
        <is>
          <t>JB-RICE-8-AI02</t>
        </is>
      </c>
      <c r="H4979" s="12" t="inlineStr">
        <is>
          <t>RICE engine-generator 8</t>
        </is>
      </c>
      <c r="I4979" s="12" t="inlineStr">
        <is>
          <t>Instrumentation</t>
        </is>
      </c>
      <c r="J4979" s="12" t="inlineStr">
        <is>
          <t>Instrumentation PLTC / TC-ER 300 V, #18 twisted shielded pairs, overall shield</t>
        </is>
      </c>
      <c r="K4979" s="12" t="inlineStr">
        <is>
          <t>PLTC|24 pr|18</t>
        </is>
      </c>
      <c r="L4979" s="12" t="inlineStr">
        <is>
          <t>24 pr</t>
        </is>
      </c>
      <c r="M4979" s="12" t="inlineStr">
        <is>
          <t>18</t>
        </is>
      </c>
      <c r="N4979" s="12" t="n">
        <v>1</v>
      </c>
      <c r="O4979" s="12" t="n">
        <v>1</v>
      </c>
      <c r="P4979" s="12" t="n"/>
      <c r="Q4979" s="12" t="n"/>
      <c r="R4979" s="12" t="n"/>
      <c r="S4979" s="12" t="inlineStr">
        <is>
          <t>Duct bank</t>
        </is>
      </c>
      <c r="T4979" s="15" t="n">
        <v>57</v>
      </c>
      <c r="U4979" s="15" t="n">
        <v>97</v>
      </c>
      <c r="V4979" s="15">
        <f>ROUNDUP((T4979+U4979+2*'Read Me'!$B$13)*(1+'Read Me'!$B$12),-1)</f>
        <v/>
      </c>
      <c r="W4979" s="15">
        <f>V4979*N4979*O4979</f>
        <v/>
      </c>
      <c r="X4979" s="12">
        <f>IF(LEFT(I4979,2)="MV",2*N4979*IF(L4979="1/C",O4979,1),0)</f>
        <v/>
      </c>
      <c r="Y4979" s="12">
        <f>IF(OR(LEFT(K4979,4)="LVAX",LEFT(K4979,6)="MV15AX",LEFT(K4979,4)="CTAX",LEFT(K4979,2)="W|"),2*N4979*O4979,0)</f>
        <v/>
      </c>
      <c r="Z4979" s="12" t="inlineStr"/>
      <c r="AA4979" s="12">
        <f>N4979*O4979</f>
        <v/>
      </c>
    </row>
    <row r="4980">
      <c r="A4980" s="12" t="inlineStr">
        <is>
          <t>I-I-0377</t>
        </is>
      </c>
      <c r="B4980" s="12" t="inlineStr">
        <is>
          <t>I</t>
        </is>
      </c>
      <c r="C4980" s="12" t="inlineStr">
        <is>
          <t>Modular / portable power</t>
        </is>
      </c>
      <c r="D4980" s="12" t="inlineStr">
        <is>
          <t>Analog instrument to JB JB-RICE-8-AI03: 20 x 1 pr (field cables)</t>
        </is>
      </c>
      <c r="E4980" s="12" t="inlineStr">
        <is>
          <t>RICE-8</t>
        </is>
      </c>
      <c r="F4980" s="12" t="inlineStr">
        <is>
          <t>RICE engine-generator 8</t>
        </is>
      </c>
      <c r="G4980" s="12" t="inlineStr">
        <is>
          <t>JB-RICE-8-AI03</t>
        </is>
      </c>
      <c r="H4980" s="12" t="inlineStr">
        <is>
          <t>RICE engine-generator 8</t>
        </is>
      </c>
      <c r="I4980" s="12" t="inlineStr">
        <is>
          <t>Instrumentation</t>
        </is>
      </c>
      <c r="J4980" s="12" t="inlineStr">
        <is>
          <t>Instrumentation PLTC / TC-ER 300 V, #18 twisted shielded pairs, overall shield</t>
        </is>
      </c>
      <c r="K4980" s="12" t="inlineStr">
        <is>
          <t>PLTC|1 pr|16</t>
        </is>
      </c>
      <c r="L4980" s="12" t="inlineStr">
        <is>
          <t>1 pr</t>
        </is>
      </c>
      <c r="M4980" s="12" t="inlineStr">
        <is>
          <t>16</t>
        </is>
      </c>
      <c r="N4980" s="12" t="n">
        <v>20</v>
      </c>
      <c r="O4980" s="12" t="n">
        <v>1</v>
      </c>
      <c r="P4980" s="12" t="n"/>
      <c r="Q4980" s="12" t="n"/>
      <c r="R4980" s="12" t="n"/>
      <c r="S4980" s="12" t="inlineStr">
        <is>
          <t>Tray / conduit</t>
        </is>
      </c>
      <c r="T4980" s="15" t="n">
        <v>72</v>
      </c>
      <c r="U4980" s="15" t="n">
        <v>10</v>
      </c>
      <c r="V4980" s="15">
        <f>ROUNDUP((T4980+U4980+2*'Read Me'!$B$13)*(1+'Read Me'!$B$12),-1)</f>
        <v/>
      </c>
      <c r="W4980" s="15">
        <f>V4980*N4980*O4980</f>
        <v/>
      </c>
      <c r="X4980" s="12">
        <f>IF(LEFT(I4980,2)="MV",2*N4980*IF(L4980="1/C",O4980,1),0)</f>
        <v/>
      </c>
      <c r="Y4980" s="12">
        <f>IF(OR(LEFT(K4980,4)="LVAX",LEFT(K4980,6)="MV15AX",LEFT(K4980,4)="CTAX",LEFT(K4980,2)="W|"),2*N4980*O4980,0)</f>
        <v/>
      </c>
      <c r="Z4980" s="12" t="inlineStr">
        <is>
          <t>device-to-JB field wiring, one cable per device</t>
        </is>
      </c>
      <c r="AA4980" s="12">
        <f>N4980*O4980</f>
        <v/>
      </c>
    </row>
    <row r="4981">
      <c r="A4981" s="12" t="inlineStr">
        <is>
          <t>I-I-0378</t>
        </is>
      </c>
      <c r="B4981" s="12" t="inlineStr">
        <is>
          <t>I</t>
        </is>
      </c>
      <c r="C4981" s="12" t="inlineStr">
        <is>
          <t>Modular / portable power</t>
        </is>
      </c>
      <c r="D4981" s="12" t="inlineStr">
        <is>
          <t>Home run JB-RICE-8-AI03 to the control / marshalling room</t>
        </is>
      </c>
      <c r="E4981" s="12" t="inlineStr"/>
      <c r="F4981" s="12" t="inlineStr">
        <is>
          <t>PCM: power control module</t>
        </is>
      </c>
      <c r="G4981" s="12" t="inlineStr">
        <is>
          <t>JB-RICE-8-AI03</t>
        </is>
      </c>
      <c r="H4981" s="12" t="inlineStr">
        <is>
          <t>RICE engine-generator 8</t>
        </is>
      </c>
      <c r="I4981" s="12" t="inlineStr">
        <is>
          <t>Instrumentation</t>
        </is>
      </c>
      <c r="J4981" s="12" t="inlineStr">
        <is>
          <t>Instrumentation PLTC / TC-ER 300 V, #18 twisted shielded pairs, overall shield</t>
        </is>
      </c>
      <c r="K4981" s="12" t="inlineStr">
        <is>
          <t>PLTC|24 pr|18</t>
        </is>
      </c>
      <c r="L4981" s="12" t="inlineStr">
        <is>
          <t>24 pr</t>
        </is>
      </c>
      <c r="M4981" s="12" t="inlineStr">
        <is>
          <t>18</t>
        </is>
      </c>
      <c r="N4981" s="12" t="n">
        <v>1</v>
      </c>
      <c r="O4981" s="12" t="n">
        <v>1</v>
      </c>
      <c r="P4981" s="12" t="n"/>
      <c r="Q4981" s="12" t="n"/>
      <c r="R4981" s="12" t="n"/>
      <c r="S4981" s="12" t="inlineStr">
        <is>
          <t>Duct bank</t>
        </is>
      </c>
      <c r="T4981" s="15" t="n">
        <v>57</v>
      </c>
      <c r="U4981" s="15" t="n">
        <v>97</v>
      </c>
      <c r="V4981" s="15">
        <f>ROUNDUP((T4981+U4981+2*'Read Me'!$B$13)*(1+'Read Me'!$B$12),-1)</f>
        <v/>
      </c>
      <c r="W4981" s="15">
        <f>V4981*N4981*O4981</f>
        <v/>
      </c>
      <c r="X4981" s="12">
        <f>IF(LEFT(I4981,2)="MV",2*N4981*IF(L4981="1/C",O4981,1),0)</f>
        <v/>
      </c>
      <c r="Y4981" s="12">
        <f>IF(OR(LEFT(K4981,4)="LVAX",LEFT(K4981,6)="MV15AX",LEFT(K4981,4)="CTAX",LEFT(K4981,2)="W|"),2*N4981*O4981,0)</f>
        <v/>
      </c>
      <c r="Z4981" s="12" t="inlineStr"/>
      <c r="AA4981" s="12">
        <f>N4981*O4981</f>
        <v/>
      </c>
    </row>
    <row r="4982">
      <c r="A4982" s="12" t="inlineStr">
        <is>
          <t>I-I-0379</t>
        </is>
      </c>
      <c r="B4982" s="12" t="inlineStr">
        <is>
          <t>I</t>
        </is>
      </c>
      <c r="C4982" s="12" t="inlineStr">
        <is>
          <t>Modular / portable power</t>
        </is>
      </c>
      <c r="D4982" s="12" t="inlineStr">
        <is>
          <t>Analog instrument to JB JB-RICE-8-AI04: 20 x 1 pr (field cables)</t>
        </is>
      </c>
      <c r="E4982" s="12" t="inlineStr">
        <is>
          <t>RICE-8</t>
        </is>
      </c>
      <c r="F4982" s="12" t="inlineStr">
        <is>
          <t>RICE engine-generator 8</t>
        </is>
      </c>
      <c r="G4982" s="12" t="inlineStr">
        <is>
          <t>JB-RICE-8-AI04</t>
        </is>
      </c>
      <c r="H4982" s="12" t="inlineStr">
        <is>
          <t>RICE engine-generator 8</t>
        </is>
      </c>
      <c r="I4982" s="12" t="inlineStr">
        <is>
          <t>Instrumentation</t>
        </is>
      </c>
      <c r="J4982" s="12" t="inlineStr">
        <is>
          <t>Instrumentation PLTC / TC-ER 300 V, #18 twisted shielded pairs, overall shield</t>
        </is>
      </c>
      <c r="K4982" s="12" t="inlineStr">
        <is>
          <t>PLTC|1 pr|16</t>
        </is>
      </c>
      <c r="L4982" s="12" t="inlineStr">
        <is>
          <t>1 pr</t>
        </is>
      </c>
      <c r="M4982" s="12" t="inlineStr">
        <is>
          <t>16</t>
        </is>
      </c>
      <c r="N4982" s="12" t="n">
        <v>20</v>
      </c>
      <c r="O4982" s="12" t="n">
        <v>1</v>
      </c>
      <c r="P4982" s="12" t="n"/>
      <c r="Q4982" s="12" t="n"/>
      <c r="R4982" s="12" t="n"/>
      <c r="S4982" s="12" t="inlineStr">
        <is>
          <t>Tray / conduit</t>
        </is>
      </c>
      <c r="T4982" s="15" t="n">
        <v>72</v>
      </c>
      <c r="U4982" s="15" t="n">
        <v>10</v>
      </c>
      <c r="V4982" s="15">
        <f>ROUNDUP((T4982+U4982+2*'Read Me'!$B$13)*(1+'Read Me'!$B$12),-1)</f>
        <v/>
      </c>
      <c r="W4982" s="15">
        <f>V4982*N4982*O4982</f>
        <v/>
      </c>
      <c r="X4982" s="12">
        <f>IF(LEFT(I4982,2)="MV",2*N4982*IF(L4982="1/C",O4982,1),0)</f>
        <v/>
      </c>
      <c r="Y4982" s="12">
        <f>IF(OR(LEFT(K4982,4)="LVAX",LEFT(K4982,6)="MV15AX",LEFT(K4982,4)="CTAX",LEFT(K4982,2)="W|"),2*N4982*O4982,0)</f>
        <v/>
      </c>
      <c r="Z4982" s="12" t="inlineStr">
        <is>
          <t>device-to-JB field wiring, one cable per device</t>
        </is>
      </c>
      <c r="AA4982" s="12">
        <f>N4982*O4982</f>
        <v/>
      </c>
    </row>
    <row r="4983">
      <c r="A4983" s="12" t="inlineStr">
        <is>
          <t>I-I-0380</t>
        </is>
      </c>
      <c r="B4983" s="12" t="inlineStr">
        <is>
          <t>I</t>
        </is>
      </c>
      <c r="C4983" s="12" t="inlineStr">
        <is>
          <t>Modular / portable power</t>
        </is>
      </c>
      <c r="D4983" s="12" t="inlineStr">
        <is>
          <t>Home run JB-RICE-8-AI04 to the control / marshalling room</t>
        </is>
      </c>
      <c r="E4983" s="12" t="inlineStr"/>
      <c r="F4983" s="12" t="inlineStr">
        <is>
          <t>PCM: power control module</t>
        </is>
      </c>
      <c r="G4983" s="12" t="inlineStr">
        <is>
          <t>JB-RICE-8-AI04</t>
        </is>
      </c>
      <c r="H4983" s="12" t="inlineStr">
        <is>
          <t>RICE engine-generator 8</t>
        </is>
      </c>
      <c r="I4983" s="12" t="inlineStr">
        <is>
          <t>Instrumentation</t>
        </is>
      </c>
      <c r="J4983" s="12" t="inlineStr">
        <is>
          <t>Instrumentation PLTC / TC-ER 300 V, #18 twisted shielded pairs, overall shield</t>
        </is>
      </c>
      <c r="K4983" s="12" t="inlineStr">
        <is>
          <t>PLTC|24 pr|18</t>
        </is>
      </c>
      <c r="L4983" s="12" t="inlineStr">
        <is>
          <t>24 pr</t>
        </is>
      </c>
      <c r="M4983" s="12" t="inlineStr">
        <is>
          <t>18</t>
        </is>
      </c>
      <c r="N4983" s="12" t="n">
        <v>1</v>
      </c>
      <c r="O4983" s="12" t="n">
        <v>1</v>
      </c>
      <c r="P4983" s="12" t="n"/>
      <c r="Q4983" s="12" t="n"/>
      <c r="R4983" s="12" t="n"/>
      <c r="S4983" s="12" t="inlineStr">
        <is>
          <t>Duct bank</t>
        </is>
      </c>
      <c r="T4983" s="15" t="n">
        <v>57</v>
      </c>
      <c r="U4983" s="15" t="n">
        <v>97</v>
      </c>
      <c r="V4983" s="15">
        <f>ROUNDUP((T4983+U4983+2*'Read Me'!$B$13)*(1+'Read Me'!$B$12),-1)</f>
        <v/>
      </c>
      <c r="W4983" s="15">
        <f>V4983*N4983*O4983</f>
        <v/>
      </c>
      <c r="X4983" s="12">
        <f>IF(LEFT(I4983,2)="MV",2*N4983*IF(L4983="1/C",O4983,1),0)</f>
        <v/>
      </c>
      <c r="Y4983" s="12">
        <f>IF(OR(LEFT(K4983,4)="LVAX",LEFT(K4983,6)="MV15AX",LEFT(K4983,4)="CTAX",LEFT(K4983,2)="W|"),2*N4983*O4983,0)</f>
        <v/>
      </c>
      <c r="Z4983" s="12" t="inlineStr"/>
      <c r="AA4983" s="12">
        <f>N4983*O4983</f>
        <v/>
      </c>
    </row>
    <row r="4984">
      <c r="A4984" s="12" t="inlineStr">
        <is>
          <t>I-I-0381</t>
        </is>
      </c>
      <c r="B4984" s="12" t="inlineStr">
        <is>
          <t>I</t>
        </is>
      </c>
      <c r="C4984" s="12" t="inlineStr">
        <is>
          <t>Modular / portable power</t>
        </is>
      </c>
      <c r="D4984" s="12" t="inlineStr">
        <is>
          <t>Discrete device to JB JB-RICE-8-DI01: 20 x 1 pr (field cables)</t>
        </is>
      </c>
      <c r="E4984" s="12" t="inlineStr">
        <is>
          <t>RICE-8</t>
        </is>
      </c>
      <c r="F4984" s="12" t="inlineStr">
        <is>
          <t>RICE engine-generator 8</t>
        </is>
      </c>
      <c r="G4984" s="12" t="inlineStr">
        <is>
          <t>JB-RICE-8-DI01</t>
        </is>
      </c>
      <c r="H4984" s="12" t="inlineStr">
        <is>
          <t>RICE engine-generator 8</t>
        </is>
      </c>
      <c r="I4984" s="12" t="inlineStr">
        <is>
          <t>Instrumentation</t>
        </is>
      </c>
      <c r="J4984" s="12" t="inlineStr">
        <is>
          <t>Instrumentation PLTC / TC-ER 300 V, #18 twisted shielded pairs, overall shield</t>
        </is>
      </c>
      <c r="K4984" s="12" t="inlineStr">
        <is>
          <t>PLTC|1 pr|16</t>
        </is>
      </c>
      <c r="L4984" s="12" t="inlineStr">
        <is>
          <t>1 pr</t>
        </is>
      </c>
      <c r="M4984" s="12" t="inlineStr">
        <is>
          <t>16</t>
        </is>
      </c>
      <c r="N4984" s="12" t="n">
        <v>20</v>
      </c>
      <c r="O4984" s="12" t="n">
        <v>1</v>
      </c>
      <c r="P4984" s="12" t="n"/>
      <c r="Q4984" s="12" t="n"/>
      <c r="R4984" s="12" t="n"/>
      <c r="S4984" s="12" t="inlineStr">
        <is>
          <t>Tray / conduit</t>
        </is>
      </c>
      <c r="T4984" s="15" t="n">
        <v>72</v>
      </c>
      <c r="U4984" s="15" t="n">
        <v>10</v>
      </c>
      <c r="V4984" s="15">
        <f>ROUNDUP((T4984+U4984+2*'Read Me'!$B$13)*(1+'Read Me'!$B$12),-1)</f>
        <v/>
      </c>
      <c r="W4984" s="15">
        <f>V4984*N4984*O4984</f>
        <v/>
      </c>
      <c r="X4984" s="12">
        <f>IF(LEFT(I4984,2)="MV",2*N4984*IF(L4984="1/C",O4984,1),0)</f>
        <v/>
      </c>
      <c r="Y4984" s="12">
        <f>IF(OR(LEFT(K4984,4)="LVAX",LEFT(K4984,6)="MV15AX",LEFT(K4984,4)="CTAX",LEFT(K4984,2)="W|"),2*N4984*O4984,0)</f>
        <v/>
      </c>
      <c r="Z4984" s="12" t="inlineStr">
        <is>
          <t>device-to-JB field wiring, one cable per device</t>
        </is>
      </c>
      <c r="AA4984" s="12">
        <f>N4984*O4984</f>
        <v/>
      </c>
    </row>
    <row r="4985">
      <c r="A4985" s="12" t="inlineStr">
        <is>
          <t>I-I-0382</t>
        </is>
      </c>
      <c r="B4985" s="12" t="inlineStr">
        <is>
          <t>I</t>
        </is>
      </c>
      <c r="C4985" s="12" t="inlineStr">
        <is>
          <t>Modular / portable power</t>
        </is>
      </c>
      <c r="D4985" s="12" t="inlineStr">
        <is>
          <t>Home run JB-RICE-8-DI01 to the control / marshalling room</t>
        </is>
      </c>
      <c r="E4985" s="12" t="inlineStr"/>
      <c r="F4985" s="12" t="inlineStr">
        <is>
          <t>PCM: power control module</t>
        </is>
      </c>
      <c r="G4985" s="12" t="inlineStr">
        <is>
          <t>JB-RICE-8-DI01</t>
        </is>
      </c>
      <c r="H4985" s="12" t="inlineStr">
        <is>
          <t>RICE engine-generator 8</t>
        </is>
      </c>
      <c r="I4985" s="12" t="inlineStr">
        <is>
          <t>Instrumentation</t>
        </is>
      </c>
      <c r="J4985" s="12" t="inlineStr">
        <is>
          <t>Instrumentation PLTC / TC-ER 300 V, #18 twisted shielded pairs, overall shield</t>
        </is>
      </c>
      <c r="K4985" s="12" t="inlineStr">
        <is>
          <t>PLTC|24 pr|18</t>
        </is>
      </c>
      <c r="L4985" s="12" t="inlineStr">
        <is>
          <t>24 pr</t>
        </is>
      </c>
      <c r="M4985" s="12" t="inlineStr">
        <is>
          <t>18</t>
        </is>
      </c>
      <c r="N4985" s="12" t="n">
        <v>1</v>
      </c>
      <c r="O4985" s="12" t="n">
        <v>1</v>
      </c>
      <c r="P4985" s="12" t="n"/>
      <c r="Q4985" s="12" t="n"/>
      <c r="R4985" s="12" t="n"/>
      <c r="S4985" s="12" t="inlineStr">
        <is>
          <t>Duct bank</t>
        </is>
      </c>
      <c r="T4985" s="15" t="n">
        <v>57</v>
      </c>
      <c r="U4985" s="15" t="n">
        <v>97</v>
      </c>
      <c r="V4985" s="15">
        <f>ROUNDUP((T4985+U4985+2*'Read Me'!$B$13)*(1+'Read Me'!$B$12),-1)</f>
        <v/>
      </c>
      <c r="W4985" s="15">
        <f>V4985*N4985*O4985</f>
        <v/>
      </c>
      <c r="X4985" s="12">
        <f>IF(LEFT(I4985,2)="MV",2*N4985*IF(L4985="1/C",O4985,1),0)</f>
        <v/>
      </c>
      <c r="Y4985" s="12">
        <f>IF(OR(LEFT(K4985,4)="LVAX",LEFT(K4985,6)="MV15AX",LEFT(K4985,4)="CTAX",LEFT(K4985,2)="W|"),2*N4985*O4985,0)</f>
        <v/>
      </c>
      <c r="Z4985" s="12" t="inlineStr"/>
      <c r="AA4985" s="12">
        <f>N4985*O4985</f>
        <v/>
      </c>
    </row>
    <row r="4986">
      <c r="A4986" s="12" t="inlineStr">
        <is>
          <t>I-I-0383</t>
        </is>
      </c>
      <c r="B4986" s="12" t="inlineStr">
        <is>
          <t>I</t>
        </is>
      </c>
      <c r="C4986" s="12" t="inlineStr">
        <is>
          <t>Modular / portable power</t>
        </is>
      </c>
      <c r="D4986" s="12" t="inlineStr">
        <is>
          <t>Discrete device to JB JB-RICE-8-DI02: 20 x 1 pr (field cables)</t>
        </is>
      </c>
      <c r="E4986" s="12" t="inlineStr">
        <is>
          <t>RICE-8</t>
        </is>
      </c>
      <c r="F4986" s="12" t="inlineStr">
        <is>
          <t>RICE engine-generator 8</t>
        </is>
      </c>
      <c r="G4986" s="12" t="inlineStr">
        <is>
          <t>JB-RICE-8-DI02</t>
        </is>
      </c>
      <c r="H4986" s="12" t="inlineStr">
        <is>
          <t>RICE engine-generator 8</t>
        </is>
      </c>
      <c r="I4986" s="12" t="inlineStr">
        <is>
          <t>Instrumentation</t>
        </is>
      </c>
      <c r="J4986" s="12" t="inlineStr">
        <is>
          <t>Instrumentation PLTC / TC-ER 300 V, #18 twisted shielded pairs, overall shield</t>
        </is>
      </c>
      <c r="K4986" s="12" t="inlineStr">
        <is>
          <t>PLTC|1 pr|16</t>
        </is>
      </c>
      <c r="L4986" s="12" t="inlineStr">
        <is>
          <t>1 pr</t>
        </is>
      </c>
      <c r="M4986" s="12" t="inlineStr">
        <is>
          <t>16</t>
        </is>
      </c>
      <c r="N4986" s="12" t="n">
        <v>20</v>
      </c>
      <c r="O4986" s="12" t="n">
        <v>1</v>
      </c>
      <c r="P4986" s="12" t="n"/>
      <c r="Q4986" s="12" t="n"/>
      <c r="R4986" s="12" t="n"/>
      <c r="S4986" s="12" t="inlineStr">
        <is>
          <t>Tray / conduit</t>
        </is>
      </c>
      <c r="T4986" s="15" t="n">
        <v>72</v>
      </c>
      <c r="U4986" s="15" t="n">
        <v>10</v>
      </c>
      <c r="V4986" s="15">
        <f>ROUNDUP((T4986+U4986+2*'Read Me'!$B$13)*(1+'Read Me'!$B$12),-1)</f>
        <v/>
      </c>
      <c r="W4986" s="15">
        <f>V4986*N4986*O4986</f>
        <v/>
      </c>
      <c r="X4986" s="12">
        <f>IF(LEFT(I4986,2)="MV",2*N4986*IF(L4986="1/C",O4986,1),0)</f>
        <v/>
      </c>
      <c r="Y4986" s="12">
        <f>IF(OR(LEFT(K4986,4)="LVAX",LEFT(K4986,6)="MV15AX",LEFT(K4986,4)="CTAX",LEFT(K4986,2)="W|"),2*N4986*O4986,0)</f>
        <v/>
      </c>
      <c r="Z4986" s="12" t="inlineStr">
        <is>
          <t>device-to-JB field wiring, one cable per device</t>
        </is>
      </c>
      <c r="AA4986" s="12">
        <f>N4986*O4986</f>
        <v/>
      </c>
    </row>
    <row r="4987">
      <c r="A4987" s="12" t="inlineStr">
        <is>
          <t>I-I-0384</t>
        </is>
      </c>
      <c r="B4987" s="12" t="inlineStr">
        <is>
          <t>I</t>
        </is>
      </c>
      <c r="C4987" s="12" t="inlineStr">
        <is>
          <t>Modular / portable power</t>
        </is>
      </c>
      <c r="D4987" s="12" t="inlineStr">
        <is>
          <t>Home run JB-RICE-8-DI02 to the control / marshalling room</t>
        </is>
      </c>
      <c r="E4987" s="12" t="inlineStr"/>
      <c r="F4987" s="12" t="inlineStr">
        <is>
          <t>PCM: power control module</t>
        </is>
      </c>
      <c r="G4987" s="12" t="inlineStr">
        <is>
          <t>JB-RICE-8-DI02</t>
        </is>
      </c>
      <c r="H4987" s="12" t="inlineStr">
        <is>
          <t>RICE engine-generator 8</t>
        </is>
      </c>
      <c r="I4987" s="12" t="inlineStr">
        <is>
          <t>Instrumentation</t>
        </is>
      </c>
      <c r="J4987" s="12" t="inlineStr">
        <is>
          <t>Instrumentation PLTC / TC-ER 300 V, #18 twisted shielded pairs, overall shield</t>
        </is>
      </c>
      <c r="K4987" s="12" t="inlineStr">
        <is>
          <t>PLTC|24 pr|18</t>
        </is>
      </c>
      <c r="L4987" s="12" t="inlineStr">
        <is>
          <t>24 pr</t>
        </is>
      </c>
      <c r="M4987" s="12" t="inlineStr">
        <is>
          <t>18</t>
        </is>
      </c>
      <c r="N4987" s="12" t="n">
        <v>1</v>
      </c>
      <c r="O4987" s="12" t="n">
        <v>1</v>
      </c>
      <c r="P4987" s="12" t="n"/>
      <c r="Q4987" s="12" t="n"/>
      <c r="R4987" s="12" t="n"/>
      <c r="S4987" s="12" t="inlineStr">
        <is>
          <t>Duct bank</t>
        </is>
      </c>
      <c r="T4987" s="15" t="n">
        <v>57</v>
      </c>
      <c r="U4987" s="15" t="n">
        <v>97</v>
      </c>
      <c r="V4987" s="15">
        <f>ROUNDUP((T4987+U4987+2*'Read Me'!$B$13)*(1+'Read Me'!$B$12),-1)</f>
        <v/>
      </c>
      <c r="W4987" s="15">
        <f>V4987*N4987*O4987</f>
        <v/>
      </c>
      <c r="X4987" s="12">
        <f>IF(LEFT(I4987,2)="MV",2*N4987*IF(L4987="1/C",O4987,1),0)</f>
        <v/>
      </c>
      <c r="Y4987" s="12">
        <f>IF(OR(LEFT(K4987,4)="LVAX",LEFT(K4987,6)="MV15AX",LEFT(K4987,4)="CTAX",LEFT(K4987,2)="W|"),2*N4987*O4987,0)</f>
        <v/>
      </c>
      <c r="Z4987" s="12" t="inlineStr"/>
      <c r="AA4987" s="12">
        <f>N4987*O4987</f>
        <v/>
      </c>
    </row>
    <row r="4988">
      <c r="A4988" s="12" t="inlineStr">
        <is>
          <t>I-I-0385</t>
        </is>
      </c>
      <c r="B4988" s="12" t="inlineStr">
        <is>
          <t>I</t>
        </is>
      </c>
      <c r="C4988" s="12" t="inlineStr">
        <is>
          <t>Modular / portable power</t>
        </is>
      </c>
      <c r="D4988" s="12" t="inlineStr">
        <is>
          <t>Discrete device to JB JB-RICE-8-DI03: 20 x 1 pr (field cables)</t>
        </is>
      </c>
      <c r="E4988" s="12" t="inlineStr">
        <is>
          <t>RICE-8</t>
        </is>
      </c>
      <c r="F4988" s="12" t="inlineStr">
        <is>
          <t>RICE engine-generator 8</t>
        </is>
      </c>
      <c r="G4988" s="12" t="inlineStr">
        <is>
          <t>JB-RICE-8-DI03</t>
        </is>
      </c>
      <c r="H4988" s="12" t="inlineStr">
        <is>
          <t>RICE engine-generator 8</t>
        </is>
      </c>
      <c r="I4988" s="12" t="inlineStr">
        <is>
          <t>Instrumentation</t>
        </is>
      </c>
      <c r="J4988" s="12" t="inlineStr">
        <is>
          <t>Instrumentation PLTC / TC-ER 300 V, #18 twisted shielded pairs, overall shield</t>
        </is>
      </c>
      <c r="K4988" s="12" t="inlineStr">
        <is>
          <t>PLTC|1 pr|16</t>
        </is>
      </c>
      <c r="L4988" s="12" t="inlineStr">
        <is>
          <t>1 pr</t>
        </is>
      </c>
      <c r="M4988" s="12" t="inlineStr">
        <is>
          <t>16</t>
        </is>
      </c>
      <c r="N4988" s="12" t="n">
        <v>20</v>
      </c>
      <c r="O4988" s="12" t="n">
        <v>1</v>
      </c>
      <c r="P4988" s="12" t="n"/>
      <c r="Q4988" s="12" t="n"/>
      <c r="R4988" s="12" t="n"/>
      <c r="S4988" s="12" t="inlineStr">
        <is>
          <t>Tray / conduit</t>
        </is>
      </c>
      <c r="T4988" s="15" t="n">
        <v>72</v>
      </c>
      <c r="U4988" s="15" t="n">
        <v>10</v>
      </c>
      <c r="V4988" s="15">
        <f>ROUNDUP((T4988+U4988+2*'Read Me'!$B$13)*(1+'Read Me'!$B$12),-1)</f>
        <v/>
      </c>
      <c r="W4988" s="15">
        <f>V4988*N4988*O4988</f>
        <v/>
      </c>
      <c r="X4988" s="12">
        <f>IF(LEFT(I4988,2)="MV",2*N4988*IF(L4988="1/C",O4988,1),0)</f>
        <v/>
      </c>
      <c r="Y4988" s="12">
        <f>IF(OR(LEFT(K4988,4)="LVAX",LEFT(K4988,6)="MV15AX",LEFT(K4988,4)="CTAX",LEFT(K4988,2)="W|"),2*N4988*O4988,0)</f>
        <v/>
      </c>
      <c r="Z4988" s="12" t="inlineStr">
        <is>
          <t>device-to-JB field wiring, one cable per device</t>
        </is>
      </c>
      <c r="AA4988" s="12">
        <f>N4988*O4988</f>
        <v/>
      </c>
    </row>
    <row r="4989">
      <c r="A4989" s="12" t="inlineStr">
        <is>
          <t>I-I-0386</t>
        </is>
      </c>
      <c r="B4989" s="12" t="inlineStr">
        <is>
          <t>I</t>
        </is>
      </c>
      <c r="C4989" s="12" t="inlineStr">
        <is>
          <t>Modular / portable power</t>
        </is>
      </c>
      <c r="D4989" s="12" t="inlineStr">
        <is>
          <t>Home run JB-RICE-8-DI03 to the control / marshalling room</t>
        </is>
      </c>
      <c r="E4989" s="12" t="inlineStr"/>
      <c r="F4989" s="12" t="inlineStr">
        <is>
          <t>PCM: power control module</t>
        </is>
      </c>
      <c r="G4989" s="12" t="inlineStr">
        <is>
          <t>JB-RICE-8-DI03</t>
        </is>
      </c>
      <c r="H4989" s="12" t="inlineStr">
        <is>
          <t>RICE engine-generator 8</t>
        </is>
      </c>
      <c r="I4989" s="12" t="inlineStr">
        <is>
          <t>Instrumentation</t>
        </is>
      </c>
      <c r="J4989" s="12" t="inlineStr">
        <is>
          <t>Instrumentation PLTC / TC-ER 300 V, #18 twisted shielded pairs, overall shield</t>
        </is>
      </c>
      <c r="K4989" s="12" t="inlineStr">
        <is>
          <t>PLTC|24 pr|18</t>
        </is>
      </c>
      <c r="L4989" s="12" t="inlineStr">
        <is>
          <t>24 pr</t>
        </is>
      </c>
      <c r="M4989" s="12" t="inlineStr">
        <is>
          <t>18</t>
        </is>
      </c>
      <c r="N4989" s="12" t="n">
        <v>1</v>
      </c>
      <c r="O4989" s="12" t="n">
        <v>1</v>
      </c>
      <c r="P4989" s="12" t="n"/>
      <c r="Q4989" s="12" t="n"/>
      <c r="R4989" s="12" t="n"/>
      <c r="S4989" s="12" t="inlineStr">
        <is>
          <t>Duct bank</t>
        </is>
      </c>
      <c r="T4989" s="15" t="n">
        <v>57</v>
      </c>
      <c r="U4989" s="15" t="n">
        <v>97</v>
      </c>
      <c r="V4989" s="15">
        <f>ROUNDUP((T4989+U4989+2*'Read Me'!$B$13)*(1+'Read Me'!$B$12),-1)</f>
        <v/>
      </c>
      <c r="W4989" s="15">
        <f>V4989*N4989*O4989</f>
        <v/>
      </c>
      <c r="X4989" s="12">
        <f>IF(LEFT(I4989,2)="MV",2*N4989*IF(L4989="1/C",O4989,1),0)</f>
        <v/>
      </c>
      <c r="Y4989" s="12">
        <f>IF(OR(LEFT(K4989,4)="LVAX",LEFT(K4989,6)="MV15AX",LEFT(K4989,4)="CTAX",LEFT(K4989,2)="W|"),2*N4989*O4989,0)</f>
        <v/>
      </c>
      <c r="Z4989" s="12" t="inlineStr"/>
      <c r="AA4989" s="12">
        <f>N4989*O4989</f>
        <v/>
      </c>
    </row>
    <row r="4990">
      <c r="A4990" s="12" t="inlineStr">
        <is>
          <t>I-I-0387</t>
        </is>
      </c>
      <c r="B4990" s="12" t="inlineStr">
        <is>
          <t>I</t>
        </is>
      </c>
      <c r="C4990" s="12" t="inlineStr">
        <is>
          <t>Modular / portable power</t>
        </is>
      </c>
      <c r="D4990" s="12" t="inlineStr">
        <is>
          <t>Thermocouple to TC JB JB-RICE-8-TC01: 20 x 1 pr (field cables)</t>
        </is>
      </c>
      <c r="E4990" s="12" t="inlineStr">
        <is>
          <t>RICE-8</t>
        </is>
      </c>
      <c r="F4990" s="12" t="inlineStr">
        <is>
          <t>RICE engine-generator 8</t>
        </is>
      </c>
      <c r="G4990" s="12" t="inlineStr">
        <is>
          <t>JB-RICE-8-TC01</t>
        </is>
      </c>
      <c r="H4990" s="12" t="inlineStr">
        <is>
          <t>RICE engine-generator 8</t>
        </is>
      </c>
      <c r="I4990" s="12" t="inlineStr">
        <is>
          <t>Instrumentation</t>
        </is>
      </c>
      <c r="J4990" s="12" t="inlineStr">
        <is>
          <t>Thermocouple extension KX, #16 shielded pairs, PLTC</t>
        </is>
      </c>
      <c r="K4990" s="12" t="inlineStr">
        <is>
          <t>TCX|1 pr|16</t>
        </is>
      </c>
      <c r="L4990" s="12" t="inlineStr">
        <is>
          <t>1 pr</t>
        </is>
      </c>
      <c r="M4990" s="12" t="inlineStr">
        <is>
          <t>16</t>
        </is>
      </c>
      <c r="N4990" s="12" t="n">
        <v>20</v>
      </c>
      <c r="O4990" s="12" t="n">
        <v>1</v>
      </c>
      <c r="P4990" s="12" t="n"/>
      <c r="Q4990" s="12" t="n"/>
      <c r="R4990" s="12" t="n"/>
      <c r="S4990" s="12" t="inlineStr">
        <is>
          <t>Tray / conduit</t>
        </is>
      </c>
      <c r="T4990" s="15" t="n">
        <v>72</v>
      </c>
      <c r="U4990" s="15" t="n">
        <v>10</v>
      </c>
      <c r="V4990" s="15">
        <f>ROUNDUP((T4990+U4990+2*'Read Me'!$B$13)*(1+'Read Me'!$B$12),-1)</f>
        <v/>
      </c>
      <c r="W4990" s="15">
        <f>V4990*N4990*O4990</f>
        <v/>
      </c>
      <c r="X4990" s="12">
        <f>IF(LEFT(I4990,2)="MV",2*N4990*IF(L4990="1/C",O4990,1),0)</f>
        <v/>
      </c>
      <c r="Y4990" s="12">
        <f>IF(OR(LEFT(K4990,4)="LVAX",LEFT(K4990,6)="MV15AX",LEFT(K4990,4)="CTAX",LEFT(K4990,2)="W|"),2*N4990*O4990,0)</f>
        <v/>
      </c>
      <c r="Z4990" s="12" t="inlineStr">
        <is>
          <t>device-to-JB field wiring, one cable per device</t>
        </is>
      </c>
      <c r="AA4990" s="12">
        <f>N4990*O4990</f>
        <v/>
      </c>
    </row>
    <row r="4991">
      <c r="A4991" s="12" t="inlineStr">
        <is>
          <t>I-I-0388</t>
        </is>
      </c>
      <c r="B4991" s="12" t="inlineStr">
        <is>
          <t>I</t>
        </is>
      </c>
      <c r="C4991" s="12" t="inlineStr">
        <is>
          <t>Modular / portable power</t>
        </is>
      </c>
      <c r="D4991" s="12" t="inlineStr">
        <is>
          <t>Home run JB-RICE-8-TC01 to the control / marshalling room</t>
        </is>
      </c>
      <c r="E4991" s="12" t="inlineStr"/>
      <c r="F4991" s="12" t="inlineStr">
        <is>
          <t>PCM: power control module</t>
        </is>
      </c>
      <c r="G4991" s="12" t="inlineStr">
        <is>
          <t>JB-RICE-8-TC01</t>
        </is>
      </c>
      <c r="H4991" s="12" t="inlineStr">
        <is>
          <t>RICE engine-generator 8</t>
        </is>
      </c>
      <c r="I4991" s="12" t="inlineStr">
        <is>
          <t>Instrumentation</t>
        </is>
      </c>
      <c r="J4991" s="12" t="inlineStr">
        <is>
          <t>Thermocouple extension KX, #16 shielded pairs, PLTC</t>
        </is>
      </c>
      <c r="K4991" s="12" t="inlineStr">
        <is>
          <t>TCX|24 pr|16</t>
        </is>
      </c>
      <c r="L4991" s="12" t="inlineStr">
        <is>
          <t>24 pr</t>
        </is>
      </c>
      <c r="M4991" s="12" t="inlineStr">
        <is>
          <t>16</t>
        </is>
      </c>
      <c r="N4991" s="12" t="n">
        <v>1</v>
      </c>
      <c r="O4991" s="12" t="n">
        <v>1</v>
      </c>
      <c r="P4991" s="12" t="n"/>
      <c r="Q4991" s="12" t="n"/>
      <c r="R4991" s="12" t="n"/>
      <c r="S4991" s="12" t="inlineStr">
        <is>
          <t>Duct bank</t>
        </is>
      </c>
      <c r="T4991" s="15" t="n">
        <v>57</v>
      </c>
      <c r="U4991" s="15" t="n">
        <v>97</v>
      </c>
      <c r="V4991" s="15">
        <f>ROUNDUP((T4991+U4991+2*'Read Me'!$B$13)*(1+'Read Me'!$B$12),-1)</f>
        <v/>
      </c>
      <c r="W4991" s="15">
        <f>V4991*N4991*O4991</f>
        <v/>
      </c>
      <c r="X4991" s="12">
        <f>IF(LEFT(I4991,2)="MV",2*N4991*IF(L4991="1/C",O4991,1),0)</f>
        <v/>
      </c>
      <c r="Y4991" s="12">
        <f>IF(OR(LEFT(K4991,4)="LVAX",LEFT(K4991,6)="MV15AX",LEFT(K4991,4)="CTAX",LEFT(K4991,2)="W|"),2*N4991*O4991,0)</f>
        <v/>
      </c>
      <c r="Z4991" s="12" t="inlineStr"/>
      <c r="AA4991" s="12">
        <f>N4991*O4991</f>
        <v/>
      </c>
    </row>
    <row r="4992">
      <c r="A4992" s="12" t="inlineStr">
        <is>
          <t>I-I-0389</t>
        </is>
      </c>
      <c r="B4992" s="12" t="inlineStr">
        <is>
          <t>I</t>
        </is>
      </c>
      <c r="C4992" s="12" t="inlineStr">
        <is>
          <t>Modular / portable power</t>
        </is>
      </c>
      <c r="D4992" s="12" t="inlineStr">
        <is>
          <t>Thermocouple to TC JB JB-RICE-8-TC02: 10 x 1 pr (field cables)</t>
        </is>
      </c>
      <c r="E4992" s="12" t="inlineStr">
        <is>
          <t>RICE-8</t>
        </is>
      </c>
      <c r="F4992" s="12" t="inlineStr">
        <is>
          <t>RICE engine-generator 8</t>
        </is>
      </c>
      <c r="G4992" s="12" t="inlineStr">
        <is>
          <t>JB-RICE-8-TC02</t>
        </is>
      </c>
      <c r="H4992" s="12" t="inlineStr">
        <is>
          <t>RICE engine-generator 8</t>
        </is>
      </c>
      <c r="I4992" s="12" t="inlineStr">
        <is>
          <t>Instrumentation</t>
        </is>
      </c>
      <c r="J4992" s="12" t="inlineStr">
        <is>
          <t>Thermocouple extension KX, #16 shielded pairs, PLTC</t>
        </is>
      </c>
      <c r="K4992" s="12" t="inlineStr">
        <is>
          <t>TCX|1 pr|16</t>
        </is>
      </c>
      <c r="L4992" s="12" t="inlineStr">
        <is>
          <t>1 pr</t>
        </is>
      </c>
      <c r="M4992" s="12" t="inlineStr">
        <is>
          <t>16</t>
        </is>
      </c>
      <c r="N4992" s="12" t="n">
        <v>10</v>
      </c>
      <c r="O4992" s="12" t="n">
        <v>1</v>
      </c>
      <c r="P4992" s="12" t="n"/>
      <c r="Q4992" s="12" t="n"/>
      <c r="R4992" s="12" t="n"/>
      <c r="S4992" s="12" t="inlineStr">
        <is>
          <t>Tray / conduit</t>
        </is>
      </c>
      <c r="T4992" s="15" t="n">
        <v>72</v>
      </c>
      <c r="U4992" s="15" t="n">
        <v>10</v>
      </c>
      <c r="V4992" s="15">
        <f>ROUNDUP((T4992+U4992+2*'Read Me'!$B$13)*(1+'Read Me'!$B$12),-1)</f>
        <v/>
      </c>
      <c r="W4992" s="15">
        <f>V4992*N4992*O4992</f>
        <v/>
      </c>
      <c r="X4992" s="12">
        <f>IF(LEFT(I4992,2)="MV",2*N4992*IF(L4992="1/C",O4992,1),0)</f>
        <v/>
      </c>
      <c r="Y4992" s="12">
        <f>IF(OR(LEFT(K4992,4)="LVAX",LEFT(K4992,6)="MV15AX",LEFT(K4992,4)="CTAX",LEFT(K4992,2)="W|"),2*N4992*O4992,0)</f>
        <v/>
      </c>
      <c r="Z4992" s="12" t="inlineStr">
        <is>
          <t>device-to-JB field wiring, one cable per device</t>
        </is>
      </c>
      <c r="AA4992" s="12">
        <f>N4992*O4992</f>
        <v/>
      </c>
    </row>
    <row r="4993">
      <c r="A4993" s="12" t="inlineStr">
        <is>
          <t>I-I-0390</t>
        </is>
      </c>
      <c r="B4993" s="12" t="inlineStr">
        <is>
          <t>I</t>
        </is>
      </c>
      <c r="C4993" s="12" t="inlineStr">
        <is>
          <t>Modular / portable power</t>
        </is>
      </c>
      <c r="D4993" s="12" t="inlineStr">
        <is>
          <t>Home run JB-RICE-8-TC02 to the control / marshalling room</t>
        </is>
      </c>
      <c r="E4993" s="12" t="inlineStr"/>
      <c r="F4993" s="12" t="inlineStr">
        <is>
          <t>PCM: power control module</t>
        </is>
      </c>
      <c r="G4993" s="12" t="inlineStr">
        <is>
          <t>JB-RICE-8-TC02</t>
        </is>
      </c>
      <c r="H4993" s="12" t="inlineStr">
        <is>
          <t>RICE engine-generator 8</t>
        </is>
      </c>
      <c r="I4993" s="12" t="inlineStr">
        <is>
          <t>Instrumentation</t>
        </is>
      </c>
      <c r="J4993" s="12" t="inlineStr">
        <is>
          <t>Thermocouple extension KX, #16 shielded pairs, PLTC</t>
        </is>
      </c>
      <c r="K4993" s="12" t="inlineStr">
        <is>
          <t>TCX|24 pr|16</t>
        </is>
      </c>
      <c r="L4993" s="12" t="inlineStr">
        <is>
          <t>24 pr</t>
        </is>
      </c>
      <c r="M4993" s="12" t="inlineStr">
        <is>
          <t>16</t>
        </is>
      </c>
      <c r="N4993" s="12" t="n">
        <v>1</v>
      </c>
      <c r="O4993" s="12" t="n">
        <v>1</v>
      </c>
      <c r="P4993" s="12" t="n"/>
      <c r="Q4993" s="12" t="n"/>
      <c r="R4993" s="12" t="n"/>
      <c r="S4993" s="12" t="inlineStr">
        <is>
          <t>Duct bank</t>
        </is>
      </c>
      <c r="T4993" s="15" t="n">
        <v>57</v>
      </c>
      <c r="U4993" s="15" t="n">
        <v>97</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I-I-0391</t>
        </is>
      </c>
      <c r="B4994" s="12" t="inlineStr">
        <is>
          <t>I</t>
        </is>
      </c>
      <c r="C4994" s="12" t="inlineStr">
        <is>
          <t>Modular / portable power</t>
        </is>
      </c>
      <c r="D4994" s="12" t="inlineStr">
        <is>
          <t>RTD to JB JB-RICE-8-RTD01: 10 x 1 tri (field cables)</t>
        </is>
      </c>
      <c r="E4994" s="12" t="inlineStr">
        <is>
          <t>RICE-8</t>
        </is>
      </c>
      <c r="F4994" s="12" t="inlineStr">
        <is>
          <t>RICE engine-generator 8</t>
        </is>
      </c>
      <c r="G4994" s="12" t="inlineStr">
        <is>
          <t>JB-RICE-8-RTD01</t>
        </is>
      </c>
      <c r="H4994" s="12" t="inlineStr">
        <is>
          <t>RICE engine-generator 8</t>
        </is>
      </c>
      <c r="I4994" s="12" t="inlineStr">
        <is>
          <t>Instrumentation</t>
        </is>
      </c>
      <c r="J4994" s="12" t="inlineStr">
        <is>
          <t>RTD cable, #18 shielded triads, PLTC</t>
        </is>
      </c>
      <c r="K4994" s="12" t="inlineStr">
        <is>
          <t>RTD|1 tri|18</t>
        </is>
      </c>
      <c r="L4994" s="12" t="inlineStr">
        <is>
          <t>1 tri</t>
        </is>
      </c>
      <c r="M4994" s="12" t="inlineStr">
        <is>
          <t>18</t>
        </is>
      </c>
      <c r="N4994" s="12" t="n">
        <v>10</v>
      </c>
      <c r="O4994" s="12" t="n">
        <v>1</v>
      </c>
      <c r="P4994" s="12" t="n"/>
      <c r="Q4994" s="12" t="n"/>
      <c r="R4994" s="12" t="n"/>
      <c r="S4994" s="12" t="inlineStr">
        <is>
          <t>Tray / conduit</t>
        </is>
      </c>
      <c r="T4994" s="15" t="n">
        <v>72</v>
      </c>
      <c r="U4994" s="15" t="n">
        <v>10</v>
      </c>
      <c r="V4994" s="15">
        <f>ROUNDUP((T4994+U4994+2*'Read Me'!$B$13)*(1+'Read Me'!$B$12),-1)</f>
        <v/>
      </c>
      <c r="W4994" s="15">
        <f>V4994*N4994*O4994</f>
        <v/>
      </c>
      <c r="X4994" s="12">
        <f>IF(LEFT(I4994,2)="MV",2*N4994*IF(L4994="1/C",O4994,1),0)</f>
        <v/>
      </c>
      <c r="Y4994" s="12">
        <f>IF(OR(LEFT(K4994,4)="LVAX",LEFT(K4994,6)="MV15AX",LEFT(K4994,4)="CTAX",LEFT(K4994,2)="W|"),2*N4994*O4994,0)</f>
        <v/>
      </c>
      <c r="Z4994" s="12" t="inlineStr">
        <is>
          <t>device-to-JB field wiring, one cable per device</t>
        </is>
      </c>
      <c r="AA4994" s="12">
        <f>N4994*O4994</f>
        <v/>
      </c>
    </row>
    <row r="4995">
      <c r="A4995" s="12" t="inlineStr">
        <is>
          <t>I-I-0392</t>
        </is>
      </c>
      <c r="B4995" s="12" t="inlineStr">
        <is>
          <t>I</t>
        </is>
      </c>
      <c r="C4995" s="12" t="inlineStr">
        <is>
          <t>Modular / portable power</t>
        </is>
      </c>
      <c r="D4995" s="12" t="inlineStr">
        <is>
          <t>Home run JB-RICE-8-RTD01 to the control / marshalling room</t>
        </is>
      </c>
      <c r="E4995" s="12" t="inlineStr"/>
      <c r="F4995" s="12" t="inlineStr">
        <is>
          <t>PCM: power control module</t>
        </is>
      </c>
      <c r="G4995" s="12" t="inlineStr">
        <is>
          <t>JB-RICE-8-RTD01</t>
        </is>
      </c>
      <c r="H4995" s="12" t="inlineStr">
        <is>
          <t>RICE engine-generator 8</t>
        </is>
      </c>
      <c r="I4995" s="12" t="inlineStr">
        <is>
          <t>Instrumentation</t>
        </is>
      </c>
      <c r="J4995" s="12" t="inlineStr">
        <is>
          <t>RTD cable, #18 shielded triads, PLTC</t>
        </is>
      </c>
      <c r="K4995" s="12" t="inlineStr">
        <is>
          <t>RTD|12 tri|18</t>
        </is>
      </c>
      <c r="L4995" s="12" t="inlineStr">
        <is>
          <t>12 tri</t>
        </is>
      </c>
      <c r="M4995" s="12" t="inlineStr">
        <is>
          <t>18</t>
        </is>
      </c>
      <c r="N4995" s="12" t="n">
        <v>1</v>
      </c>
      <c r="O4995" s="12" t="n">
        <v>1</v>
      </c>
      <c r="P4995" s="12" t="n"/>
      <c r="Q4995" s="12" t="n"/>
      <c r="R4995" s="12" t="n"/>
      <c r="S4995" s="12" t="inlineStr">
        <is>
          <t>Duct bank</t>
        </is>
      </c>
      <c r="T4995" s="15" t="n">
        <v>57</v>
      </c>
      <c r="U4995" s="15" t="n">
        <v>97</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I-I-0393</t>
        </is>
      </c>
      <c r="B4996" s="12" t="inlineStr">
        <is>
          <t>I</t>
        </is>
      </c>
      <c r="C4996" s="12" t="inlineStr">
        <is>
          <t>Modular / portable power</t>
        </is>
      </c>
      <c r="D4996" s="12" t="inlineStr">
        <is>
          <t>RTD to JB JB-RICE-8-RTD02: 2 x 1 tri (field cables)</t>
        </is>
      </c>
      <c r="E4996" s="12" t="inlineStr">
        <is>
          <t>RICE-8</t>
        </is>
      </c>
      <c r="F4996" s="12" t="inlineStr">
        <is>
          <t>RICE engine-generator 8</t>
        </is>
      </c>
      <c r="G4996" s="12" t="inlineStr">
        <is>
          <t>JB-RICE-8-RTD02</t>
        </is>
      </c>
      <c r="H4996" s="12" t="inlineStr">
        <is>
          <t>RICE engine-generator 8</t>
        </is>
      </c>
      <c r="I4996" s="12" t="inlineStr">
        <is>
          <t>Instrumentation</t>
        </is>
      </c>
      <c r="J4996" s="12" t="inlineStr">
        <is>
          <t>RTD cable, #18 shielded triads, PLTC</t>
        </is>
      </c>
      <c r="K4996" s="12" t="inlineStr">
        <is>
          <t>RTD|1 tri|18</t>
        </is>
      </c>
      <c r="L4996" s="12" t="inlineStr">
        <is>
          <t>1 tri</t>
        </is>
      </c>
      <c r="M4996" s="12" t="inlineStr">
        <is>
          <t>18</t>
        </is>
      </c>
      <c r="N4996" s="12" t="n">
        <v>2</v>
      </c>
      <c r="O4996" s="12" t="n">
        <v>1</v>
      </c>
      <c r="P4996" s="12" t="n"/>
      <c r="Q4996" s="12" t="n"/>
      <c r="R4996" s="12" t="n"/>
      <c r="S4996" s="12" t="inlineStr">
        <is>
          <t>Tray / conduit</t>
        </is>
      </c>
      <c r="T4996" s="15" t="n">
        <v>72</v>
      </c>
      <c r="U4996" s="15" t="n">
        <v>10</v>
      </c>
      <c r="V4996" s="15">
        <f>ROUNDUP((T4996+U4996+2*'Read Me'!$B$13)*(1+'Read Me'!$B$12),-1)</f>
        <v/>
      </c>
      <c r="W4996" s="15">
        <f>V4996*N4996*O4996</f>
        <v/>
      </c>
      <c r="X4996" s="12">
        <f>IF(LEFT(I4996,2)="MV",2*N4996*IF(L4996="1/C",O4996,1),0)</f>
        <v/>
      </c>
      <c r="Y4996" s="12">
        <f>IF(OR(LEFT(K4996,4)="LVAX",LEFT(K4996,6)="MV15AX",LEFT(K4996,4)="CTAX",LEFT(K4996,2)="W|"),2*N4996*O4996,0)</f>
        <v/>
      </c>
      <c r="Z4996" s="12" t="inlineStr">
        <is>
          <t>device-to-JB field wiring, one cable per device</t>
        </is>
      </c>
      <c r="AA4996" s="12">
        <f>N4996*O4996</f>
        <v/>
      </c>
    </row>
    <row r="4997">
      <c r="A4997" s="12" t="inlineStr">
        <is>
          <t>I-I-0394</t>
        </is>
      </c>
      <c r="B4997" s="12" t="inlineStr">
        <is>
          <t>I</t>
        </is>
      </c>
      <c r="C4997" s="12" t="inlineStr">
        <is>
          <t>Modular / portable power</t>
        </is>
      </c>
      <c r="D4997" s="12" t="inlineStr">
        <is>
          <t>Home run JB-RICE-8-RTD02 to the control / marshalling room</t>
        </is>
      </c>
      <c r="E4997" s="12" t="inlineStr"/>
      <c r="F4997" s="12" t="inlineStr">
        <is>
          <t>PCM: power control module</t>
        </is>
      </c>
      <c r="G4997" s="12" t="inlineStr">
        <is>
          <t>JB-RICE-8-RTD02</t>
        </is>
      </c>
      <c r="H4997" s="12" t="inlineStr">
        <is>
          <t>RICE engine-generator 8</t>
        </is>
      </c>
      <c r="I4997" s="12" t="inlineStr">
        <is>
          <t>Instrumentation</t>
        </is>
      </c>
      <c r="J4997" s="12" t="inlineStr">
        <is>
          <t>RTD cable, #18 shielded triads, PLTC</t>
        </is>
      </c>
      <c r="K4997" s="12" t="inlineStr">
        <is>
          <t>RTD|12 tri|18</t>
        </is>
      </c>
      <c r="L4997" s="12" t="inlineStr">
        <is>
          <t>12 tri</t>
        </is>
      </c>
      <c r="M4997" s="12" t="inlineStr">
        <is>
          <t>18</t>
        </is>
      </c>
      <c r="N4997" s="12" t="n">
        <v>1</v>
      </c>
      <c r="O4997" s="12" t="n">
        <v>1</v>
      </c>
      <c r="P4997" s="12" t="n"/>
      <c r="Q4997" s="12" t="n"/>
      <c r="R4997" s="12" t="n"/>
      <c r="S4997" s="12" t="inlineStr">
        <is>
          <t>Duct bank</t>
        </is>
      </c>
      <c r="T4997" s="15" t="n">
        <v>57</v>
      </c>
      <c r="U4997" s="15" t="n">
        <v>97</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I-I-0395</t>
        </is>
      </c>
      <c r="B4998" s="12" t="inlineStr">
        <is>
          <t>I</t>
        </is>
      </c>
      <c r="C4998" s="12" t="inlineStr">
        <is>
          <t>Modular / portable power</t>
        </is>
      </c>
      <c r="D4998" s="12" t="inlineStr">
        <is>
          <t>RICE-GSU-A monitoring: temperatures, gas relay, oil level</t>
        </is>
      </c>
      <c r="E4998" s="12" t="inlineStr"/>
      <c r="F4998" s="12" t="inlineStr">
        <is>
          <t>PCM: power control module</t>
        </is>
      </c>
      <c r="G4998" s="12" t="inlineStr">
        <is>
          <t>RICE-GSU-A</t>
        </is>
      </c>
      <c r="H4998" s="12" t="inlineStr">
        <is>
          <t>RICE-GSU-A: 13.8 / 34.5 kV group step-up, ~45 MVA (RICE 1-2)</t>
        </is>
      </c>
      <c r="I4998" s="12" t="inlineStr">
        <is>
          <t>Instrumentation</t>
        </is>
      </c>
      <c r="J4998" s="12" t="inlineStr">
        <is>
          <t>Instrumentation ITC / PLTC, IS, #18 shielded pairs, blue jacket</t>
        </is>
      </c>
      <c r="K4998" s="12" t="inlineStr">
        <is>
          <t>ITC|4 pr|18</t>
        </is>
      </c>
      <c r="L4998" s="12" t="inlineStr">
        <is>
          <t>4 pr</t>
        </is>
      </c>
      <c r="M4998" s="12" t="inlineStr">
        <is>
          <t>18</t>
        </is>
      </c>
      <c r="N4998" s="12" t="n">
        <v>1</v>
      </c>
      <c r="O4998" s="12" t="n">
        <v>1</v>
      </c>
      <c r="P4998" s="12" t="n"/>
      <c r="Q4998" s="12" t="n"/>
      <c r="R4998" s="12" t="n"/>
      <c r="S4998" s="12" t="inlineStr">
        <is>
          <t>Duct bank</t>
        </is>
      </c>
      <c r="T4998" s="15" t="n">
        <v>78</v>
      </c>
      <c r="U4998" s="15" t="n">
        <v>32</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I-I-0396</t>
        </is>
      </c>
      <c r="B4999" s="12" t="inlineStr">
        <is>
          <t>I</t>
        </is>
      </c>
      <c r="C4999" s="12" t="inlineStr">
        <is>
          <t>Modular / portable power</t>
        </is>
      </c>
      <c r="D4999" s="12" t="inlineStr">
        <is>
          <t>RICE-GSU-B monitoring: temperatures, gas relay, oil level</t>
        </is>
      </c>
      <c r="E4999" s="12" t="inlineStr"/>
      <c r="F4999" s="12" t="inlineStr">
        <is>
          <t>PCM: power control module</t>
        </is>
      </c>
      <c r="G4999" s="12" t="inlineStr">
        <is>
          <t>RICE-GSU-B</t>
        </is>
      </c>
      <c r="H4999" s="12" t="inlineStr">
        <is>
          <t>RICE-GSU-B: 13.8 / 34.5 kV group step-up, ~45 MVA (RICE 3-4)</t>
        </is>
      </c>
      <c r="I4999" s="12" t="inlineStr">
        <is>
          <t>Instrumentation</t>
        </is>
      </c>
      <c r="J4999" s="12" t="inlineStr">
        <is>
          <t>Instrumentation ITC / PLTC, IS, #18 shielded pairs, blue jacket</t>
        </is>
      </c>
      <c r="K4999" s="12" t="inlineStr">
        <is>
          <t>ITC|4 pr|18</t>
        </is>
      </c>
      <c r="L4999" s="12" t="inlineStr">
        <is>
          <t>4 pr</t>
        </is>
      </c>
      <c r="M4999" s="12" t="inlineStr">
        <is>
          <t>18</t>
        </is>
      </c>
      <c r="N4999" s="12" t="n">
        <v>1</v>
      </c>
      <c r="O4999" s="12" t="n">
        <v>1</v>
      </c>
      <c r="P4999" s="12" t="n"/>
      <c r="Q4999" s="12" t="n"/>
      <c r="R4999" s="12" t="n"/>
      <c r="S4999" s="12" t="inlineStr">
        <is>
          <t>Duct bank</t>
        </is>
      </c>
      <c r="T4999" s="15" t="n">
        <v>105</v>
      </c>
      <c r="U4999" s="15" t="n">
        <v>32</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I-I-0397</t>
        </is>
      </c>
      <c r="B5000" s="12" t="inlineStr">
        <is>
          <t>I</t>
        </is>
      </c>
      <c r="C5000" s="12" t="inlineStr">
        <is>
          <t>Modular / portable power</t>
        </is>
      </c>
      <c r="D5000" s="12" t="inlineStr">
        <is>
          <t>RICE-GSU-C monitoring: temperatures, gas relay, oil level</t>
        </is>
      </c>
      <c r="E5000" s="12" t="inlineStr"/>
      <c r="F5000" s="12" t="inlineStr">
        <is>
          <t>PCM: power control module</t>
        </is>
      </c>
      <c r="G5000" s="12" t="inlineStr">
        <is>
          <t>RICE-GSU-C</t>
        </is>
      </c>
      <c r="H5000" s="12" t="inlineStr">
        <is>
          <t>RICE-GSU-C: 13.8 / 34.5 kV group step-up, ~45 MVA (RICE 5-6)</t>
        </is>
      </c>
      <c r="I5000" s="12" t="inlineStr">
        <is>
          <t>Instrumentation</t>
        </is>
      </c>
      <c r="J5000" s="12" t="inlineStr">
        <is>
          <t>Instrumentation ITC / PLTC, IS, #18 shielded pairs, blue jacket</t>
        </is>
      </c>
      <c r="K5000" s="12" t="inlineStr">
        <is>
          <t>ITC|4 pr|18</t>
        </is>
      </c>
      <c r="L5000" s="12" t="inlineStr">
        <is>
          <t>4 pr</t>
        </is>
      </c>
      <c r="M5000" s="12" t="inlineStr">
        <is>
          <t>18</t>
        </is>
      </c>
      <c r="N5000" s="12" t="n">
        <v>1</v>
      </c>
      <c r="O5000" s="12" t="n">
        <v>1</v>
      </c>
      <c r="P5000" s="12" t="n"/>
      <c r="Q5000" s="12" t="n"/>
      <c r="R5000" s="12" t="n"/>
      <c r="S5000" s="12" t="inlineStr">
        <is>
          <t>Duct bank</t>
        </is>
      </c>
      <c r="T5000" s="15" t="n">
        <v>132</v>
      </c>
      <c r="U5000" s="15" t="n">
        <v>32</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I-I-0398</t>
        </is>
      </c>
      <c r="B5001" s="12" t="inlineStr">
        <is>
          <t>I</t>
        </is>
      </c>
      <c r="C5001" s="12" t="inlineStr">
        <is>
          <t>Modular / portable power</t>
        </is>
      </c>
      <c r="D5001" s="12" t="inlineStr">
        <is>
          <t>RICE-GSU-D monitoring: temperatures, gas relay, oil level</t>
        </is>
      </c>
      <c r="E5001" s="12" t="inlineStr"/>
      <c r="F5001" s="12" t="inlineStr">
        <is>
          <t>PCM: power control module</t>
        </is>
      </c>
      <c r="G5001" s="12" t="inlineStr">
        <is>
          <t>RICE-GSU-D</t>
        </is>
      </c>
      <c r="H5001" s="12" t="inlineStr">
        <is>
          <t>RICE-GSU-D: 13.8 / 34.5 kV group step-up, ~45 MVA (RICE 7-8)</t>
        </is>
      </c>
      <c r="I5001" s="12" t="inlineStr">
        <is>
          <t>Instrumentation</t>
        </is>
      </c>
      <c r="J5001" s="12" t="inlineStr">
        <is>
          <t>Instrumentation ITC / PLTC, IS, #18 shielded pairs, blue jacket</t>
        </is>
      </c>
      <c r="K5001" s="12" t="inlineStr">
        <is>
          <t>ITC|4 pr|18</t>
        </is>
      </c>
      <c r="L5001" s="12" t="inlineStr">
        <is>
          <t>4 pr</t>
        </is>
      </c>
      <c r="M5001" s="12" t="inlineStr">
        <is>
          <t>18</t>
        </is>
      </c>
      <c r="N5001" s="12" t="n">
        <v>1</v>
      </c>
      <c r="O5001" s="12" t="n">
        <v>1</v>
      </c>
      <c r="P5001" s="12" t="n"/>
      <c r="Q5001" s="12" t="n"/>
      <c r="R5001" s="12" t="n"/>
      <c r="S5001" s="12" t="inlineStr">
        <is>
          <t>Duct bank</t>
        </is>
      </c>
      <c r="T5001" s="15" t="n">
        <v>159</v>
      </c>
      <c r="U5001" s="15" t="n">
        <v>32</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I-I-0399</t>
        </is>
      </c>
      <c r="B5002" s="12" t="inlineStr">
        <is>
          <t>I</t>
        </is>
      </c>
      <c r="C5002" s="12" t="inlineStr">
        <is>
          <t>Modular / portable power</t>
        </is>
      </c>
      <c r="D5002" s="12" t="inlineStr">
        <is>
          <t>Instrumentation</t>
        </is>
      </c>
      <c r="E5002" s="12" t="inlineStr"/>
      <c r="F5002" s="12" t="inlineStr">
        <is>
          <t>PCM: power control module</t>
        </is>
      </c>
      <c r="G5002" s="12" t="inlineStr"/>
      <c r="H5002" s="12" t="inlineStr">
        <is>
          <t>Reagent storage</t>
        </is>
      </c>
      <c r="I5002" s="12" t="inlineStr">
        <is>
          <t>Instrumentation</t>
        </is>
      </c>
      <c r="J5002" s="12" t="inlineStr">
        <is>
          <t>Instrumentation PLTC / TC-ER 300 V, #18 twisted shielded pairs, overall shield</t>
        </is>
      </c>
      <c r="K5002" s="12" t="inlineStr">
        <is>
          <t>PLTC|4 pr|18</t>
        </is>
      </c>
      <c r="L5002" s="12" t="inlineStr">
        <is>
          <t>4 pr</t>
        </is>
      </c>
      <c r="M5002" s="12" t="inlineStr">
        <is>
          <t>18</t>
        </is>
      </c>
      <c r="N5002" s="12" t="n">
        <v>1</v>
      </c>
      <c r="O5002" s="12" t="n">
        <v>1</v>
      </c>
      <c r="P5002" s="12" t="n"/>
      <c r="Q5002" s="12" t="n"/>
      <c r="R5002" s="12" t="n"/>
      <c r="S5002" s="12" t="inlineStr">
        <is>
          <t>Duct bank</t>
        </is>
      </c>
      <c r="T5002" s="15" t="n">
        <v>258</v>
      </c>
      <c r="U5002" s="15" t="n">
        <v>110</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I-I-0400</t>
        </is>
      </c>
      <c r="B5003" s="12" t="inlineStr">
        <is>
          <t>I</t>
        </is>
      </c>
      <c r="C5003" s="12" t="inlineStr">
        <is>
          <t>Modular / portable power</t>
        </is>
      </c>
      <c r="D5003" s="12" t="inlineStr">
        <is>
          <t>Analog instrument to JB JB-SC-1 CEMS shelter-AI01: 12 x 1 pr (field cables)</t>
        </is>
      </c>
      <c r="E5003" s="12" t="inlineStr"/>
      <c r="F5003" s="12" t="inlineStr">
        <is>
          <t>SC-1 CEMS shelter</t>
        </is>
      </c>
      <c r="G5003" s="12" t="inlineStr">
        <is>
          <t>JB-SC-1 CEMS shelter-AI01</t>
        </is>
      </c>
      <c r="H5003" s="12" t="inlineStr">
        <is>
          <t>SC-1 CEMS shelter</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12</v>
      </c>
      <c r="O5003" s="12" t="n">
        <v>1</v>
      </c>
      <c r="P5003" s="12" t="n"/>
      <c r="Q5003" s="12" t="n"/>
      <c r="R5003" s="12" t="n"/>
      <c r="S5003" s="12" t="inlineStr">
        <is>
          <t>Tray / conduit</t>
        </is>
      </c>
      <c r="T5003" s="15" t="n">
        <v>57</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I-I-0401</t>
        </is>
      </c>
      <c r="B5004" s="12" t="inlineStr">
        <is>
          <t>I</t>
        </is>
      </c>
      <c r="C5004" s="12" t="inlineStr">
        <is>
          <t>Modular / portable power</t>
        </is>
      </c>
      <c r="D5004" s="12" t="inlineStr">
        <is>
          <t>Home run JB-SC-1 CEMS shelter-AI01 to the control / marshalling room</t>
        </is>
      </c>
      <c r="E5004" s="12" t="inlineStr"/>
      <c r="F5004" s="12" t="inlineStr">
        <is>
          <t>SC-1 PCM + 15 kV GCB</t>
        </is>
      </c>
      <c r="G5004" s="12" t="inlineStr">
        <is>
          <t>JB-SC-1 CEMS shelter-AI01</t>
        </is>
      </c>
      <c r="H5004" s="12" t="inlineStr">
        <is>
          <t>SC-1 CEMS shelter</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Duct bank</t>
        </is>
      </c>
      <c r="T5004" s="15" t="n">
        <v>81</v>
      </c>
      <c r="U5004" s="15" t="n">
        <v>106</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I-I-0402</t>
        </is>
      </c>
      <c r="B5005" s="12" t="inlineStr">
        <is>
          <t>I</t>
        </is>
      </c>
      <c r="C5005" s="12" t="inlineStr">
        <is>
          <t>Modular / portable power</t>
        </is>
      </c>
      <c r="D5005" s="12" t="inlineStr">
        <is>
          <t>Discrete device to JB JB-SC-1 CEMS shelter-DI01: 10 x 1 pr (field cables)</t>
        </is>
      </c>
      <c r="E5005" s="12" t="inlineStr"/>
      <c r="F5005" s="12" t="inlineStr">
        <is>
          <t>SC-1 CEMS shelter</t>
        </is>
      </c>
      <c r="G5005" s="12" t="inlineStr">
        <is>
          <t>JB-SC-1 CEMS shelter-DI01</t>
        </is>
      </c>
      <c r="H5005" s="12" t="inlineStr">
        <is>
          <t>SC-1 CEMS shelter</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10</v>
      </c>
      <c r="O5005" s="12" t="n">
        <v>1</v>
      </c>
      <c r="P5005" s="12" t="n"/>
      <c r="Q5005" s="12" t="n"/>
      <c r="R5005" s="12" t="n"/>
      <c r="S5005" s="12" t="inlineStr">
        <is>
          <t>Tray / conduit</t>
        </is>
      </c>
      <c r="T5005" s="15" t="n">
        <v>57</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I-I-0403</t>
        </is>
      </c>
      <c r="B5006" s="12" t="inlineStr">
        <is>
          <t>I</t>
        </is>
      </c>
      <c r="C5006" s="12" t="inlineStr">
        <is>
          <t>Modular / portable power</t>
        </is>
      </c>
      <c r="D5006" s="12" t="inlineStr">
        <is>
          <t>Home run JB-SC-1 CEMS shelter-DI01 to the control / marshalling room</t>
        </is>
      </c>
      <c r="E5006" s="12" t="inlineStr"/>
      <c r="F5006" s="12" t="inlineStr">
        <is>
          <t>SC-1 PCM + 15 kV GCB</t>
        </is>
      </c>
      <c r="G5006" s="12" t="inlineStr">
        <is>
          <t>JB-SC-1 CEMS shelter-DI01</t>
        </is>
      </c>
      <c r="H5006" s="12" t="inlineStr">
        <is>
          <t>SC-1 CEMS shelter</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Duct bank</t>
        </is>
      </c>
      <c r="T5006" s="15" t="n">
        <v>81</v>
      </c>
      <c r="U5006" s="15" t="n">
        <v>106</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I-I-0404</t>
        </is>
      </c>
      <c r="B5007" s="12" t="inlineStr">
        <is>
          <t>I</t>
        </is>
      </c>
      <c r="C5007" s="12" t="inlineStr">
        <is>
          <t>Modular / portable power</t>
        </is>
      </c>
      <c r="D5007" s="12" t="inlineStr">
        <is>
          <t>Analog instrument to JB JB-SC-1 SCR / CO cata-AI01: 16 x 1 pr (field cables)</t>
        </is>
      </c>
      <c r="E5007" s="12" t="inlineStr"/>
      <c r="F5007" s="12" t="inlineStr">
        <is>
          <t>SC-1 SCR / CO catalyst</t>
        </is>
      </c>
      <c r="G5007" s="12" t="inlineStr">
        <is>
          <t>JB-SC-1 SCR / CO cata-AI01</t>
        </is>
      </c>
      <c r="H5007" s="12" t="inlineStr">
        <is>
          <t>SC-1 SCR / CO catalyst</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16</v>
      </c>
      <c r="O5007" s="12" t="n">
        <v>1</v>
      </c>
      <c r="P5007" s="12" t="n"/>
      <c r="Q5007" s="12" t="n"/>
      <c r="R5007" s="12" t="n"/>
      <c r="S5007" s="12" t="inlineStr">
        <is>
          <t>Tray / conduit</t>
        </is>
      </c>
      <c r="T5007" s="15" t="n">
        <v>74</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I-I-0405</t>
        </is>
      </c>
      <c r="B5008" s="12" t="inlineStr">
        <is>
          <t>I</t>
        </is>
      </c>
      <c r="C5008" s="12" t="inlineStr">
        <is>
          <t>Modular / portable power</t>
        </is>
      </c>
      <c r="D5008" s="12" t="inlineStr">
        <is>
          <t>Home run JB-SC-1 SCR / CO cata-AI01 to the control / marshalling room</t>
        </is>
      </c>
      <c r="E5008" s="12" t="inlineStr"/>
      <c r="F5008" s="12" t="inlineStr">
        <is>
          <t>SC-1 PCM + 15 kV GCB</t>
        </is>
      </c>
      <c r="G5008" s="12" t="inlineStr">
        <is>
          <t>JB-SC-1 SCR / CO cata-AI01</t>
        </is>
      </c>
      <c r="H5008" s="12" t="inlineStr">
        <is>
          <t>SC-1 SCR / CO catalyst</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Duct bank</t>
        </is>
      </c>
      <c r="T5008" s="15" t="n">
        <v>55</v>
      </c>
      <c r="U5008" s="15" t="n">
        <v>57</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I-I-0406</t>
        </is>
      </c>
      <c r="B5009" s="12" t="inlineStr">
        <is>
          <t>I</t>
        </is>
      </c>
      <c r="C5009" s="12" t="inlineStr">
        <is>
          <t>Modular / portable power</t>
        </is>
      </c>
      <c r="D5009" s="12" t="inlineStr">
        <is>
          <t>Discrete device to JB JB-SC-1 SCR / CO cata-DI01: 8 x 1 pr (field cables)</t>
        </is>
      </c>
      <c r="E5009" s="12" t="inlineStr"/>
      <c r="F5009" s="12" t="inlineStr">
        <is>
          <t>SC-1 SCR / CO catalyst</t>
        </is>
      </c>
      <c r="G5009" s="12" t="inlineStr">
        <is>
          <t>JB-SC-1 SCR / CO cata-DI01</t>
        </is>
      </c>
      <c r="H5009" s="12" t="inlineStr">
        <is>
          <t>SC-1 SCR / CO catalyst</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8</v>
      </c>
      <c r="O5009" s="12" t="n">
        <v>1</v>
      </c>
      <c r="P5009" s="12" t="n"/>
      <c r="Q5009" s="12" t="n"/>
      <c r="R5009" s="12" t="n"/>
      <c r="S5009" s="12" t="inlineStr">
        <is>
          <t>Tray / conduit</t>
        </is>
      </c>
      <c r="T5009" s="15" t="n">
        <v>74</v>
      </c>
      <c r="U5009" s="15" t="n">
        <v>10</v>
      </c>
      <c r="V5009" s="15">
        <f>ROUNDUP((T5009+U5009+2*'Read Me'!$B$13)*(1+'Read Me'!$B$12),-1)</f>
        <v/>
      </c>
      <c r="W5009" s="15">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I-I-0407</t>
        </is>
      </c>
      <c r="B5010" s="12" t="inlineStr">
        <is>
          <t>I</t>
        </is>
      </c>
      <c r="C5010" s="12" t="inlineStr">
        <is>
          <t>Modular / portable power</t>
        </is>
      </c>
      <c r="D5010" s="12" t="inlineStr">
        <is>
          <t>Home run JB-SC-1 SCR / CO cata-DI01 to the control / marshalling room</t>
        </is>
      </c>
      <c r="E5010" s="12" t="inlineStr"/>
      <c r="F5010" s="12" t="inlineStr">
        <is>
          <t>SC-1 PCM + 15 kV GCB</t>
        </is>
      </c>
      <c r="G5010" s="12" t="inlineStr">
        <is>
          <t>JB-SC-1 SCR / CO cata-DI01</t>
        </is>
      </c>
      <c r="H5010" s="12" t="inlineStr">
        <is>
          <t>SC-1 SCR / CO catalyst</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Duct bank</t>
        </is>
      </c>
      <c r="T5010" s="15" t="n">
        <v>55</v>
      </c>
      <c r="U5010" s="15" t="n">
        <v>57</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I-I-0408</t>
        </is>
      </c>
      <c r="B5011" s="12" t="inlineStr">
        <is>
          <t>I</t>
        </is>
      </c>
      <c r="C5011" s="12" t="inlineStr">
        <is>
          <t>Modular / portable power</t>
        </is>
      </c>
      <c r="D5011" s="12" t="inlineStr">
        <is>
          <t>Analog instrument to JB JB-SC-1 ammonia flow--AI01: 8 x 1 pr (field cables)</t>
        </is>
      </c>
      <c r="E5011" s="12" t="inlineStr"/>
      <c r="F5011" s="12" t="inlineStr">
        <is>
          <t>SC-1 ammonia flow-control unit</t>
        </is>
      </c>
      <c r="G5011" s="12" t="inlineStr">
        <is>
          <t>JB-SC-1 ammonia flow--AI01</t>
        </is>
      </c>
      <c r="H5011" s="12" t="inlineStr">
        <is>
          <t>SC-1 ammonia flow-control unit</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8</v>
      </c>
      <c r="O5011" s="12" t="n">
        <v>1</v>
      </c>
      <c r="P5011" s="12" t="n"/>
      <c r="Q5011" s="12" t="n"/>
      <c r="R5011" s="12" t="n"/>
      <c r="S5011" s="12" t="inlineStr">
        <is>
          <t>Tray / conduit</t>
        </is>
      </c>
      <c r="T5011" s="15" t="n">
        <v>40</v>
      </c>
      <c r="U5011" s="15" t="n">
        <v>10</v>
      </c>
      <c r="V5011" s="15">
        <f>ROUNDUP((T5011+U5011+2*'Read Me'!$B$13)*(1+'Read Me'!$B$12),-1)</f>
        <v/>
      </c>
      <c r="W5011" s="15">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I-I-0409</t>
        </is>
      </c>
      <c r="B5012" s="12" t="inlineStr">
        <is>
          <t>I</t>
        </is>
      </c>
      <c r="C5012" s="12" t="inlineStr">
        <is>
          <t>Modular / portable power</t>
        </is>
      </c>
      <c r="D5012" s="12" t="inlineStr">
        <is>
          <t>Home run JB-SC-1 ammonia flow--AI01 to the control / marshalling room</t>
        </is>
      </c>
      <c r="E5012" s="12" t="inlineStr"/>
      <c r="F5012" s="12" t="inlineStr">
        <is>
          <t>SC-1 PCM + 15 kV GCB</t>
        </is>
      </c>
      <c r="G5012" s="12" t="inlineStr">
        <is>
          <t>JB-SC-1 ammonia flow--AI01</t>
        </is>
      </c>
      <c r="H5012" s="12" t="inlineStr">
        <is>
          <t>SC-1 ammonia flow-control unit</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Duct bank</t>
        </is>
      </c>
      <c r="T5012" s="15" t="n">
        <v>55</v>
      </c>
      <c r="U5012" s="15" t="n">
        <v>55</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I-I-0410</t>
        </is>
      </c>
      <c r="B5013" s="12" t="inlineStr">
        <is>
          <t>I</t>
        </is>
      </c>
      <c r="C5013" s="12" t="inlineStr">
        <is>
          <t>Modular / portable power</t>
        </is>
      </c>
      <c r="D5013" s="12" t="inlineStr">
        <is>
          <t>Discrete device to JB JB-SC-1 ammonia flow--DI01: 8 x 1 pr (field cables)</t>
        </is>
      </c>
      <c r="E5013" s="12" t="inlineStr"/>
      <c r="F5013" s="12" t="inlineStr">
        <is>
          <t>SC-1 ammonia flow-control unit</t>
        </is>
      </c>
      <c r="G5013" s="12" t="inlineStr">
        <is>
          <t>JB-SC-1 ammonia flow--DI01</t>
        </is>
      </c>
      <c r="H5013" s="12" t="inlineStr">
        <is>
          <t>SC-1 ammonia flow-control unit</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8</v>
      </c>
      <c r="O5013" s="12" t="n">
        <v>1</v>
      </c>
      <c r="P5013" s="12" t="n"/>
      <c r="Q5013" s="12" t="n"/>
      <c r="R5013" s="12" t="n"/>
      <c r="S5013" s="12" t="inlineStr">
        <is>
          <t>Tray / conduit</t>
        </is>
      </c>
      <c r="T5013" s="15" t="n">
        <v>40</v>
      </c>
      <c r="U5013" s="15" t="n">
        <v>10</v>
      </c>
      <c r="V5013" s="15">
        <f>ROUNDUP((T5013+U5013+2*'Read Me'!$B$13)*(1+'Read Me'!$B$12),-1)</f>
        <v/>
      </c>
      <c r="W5013" s="15">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I-I-0411</t>
        </is>
      </c>
      <c r="B5014" s="12" t="inlineStr">
        <is>
          <t>I</t>
        </is>
      </c>
      <c r="C5014" s="12" t="inlineStr">
        <is>
          <t>Modular / portable power</t>
        </is>
      </c>
      <c r="D5014" s="12" t="inlineStr">
        <is>
          <t>Home run JB-SC-1 ammonia flow--DI01 to the control / marshalling room</t>
        </is>
      </c>
      <c r="E5014" s="12" t="inlineStr"/>
      <c r="F5014" s="12" t="inlineStr">
        <is>
          <t>SC-1 PCM + 15 kV GCB</t>
        </is>
      </c>
      <c r="G5014" s="12" t="inlineStr">
        <is>
          <t>JB-SC-1 ammonia flow--DI01</t>
        </is>
      </c>
      <c r="H5014" s="12" t="inlineStr">
        <is>
          <t>SC-1 ammonia flow-control unit</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Duct bank</t>
        </is>
      </c>
      <c r="T5014" s="15" t="n">
        <v>55</v>
      </c>
      <c r="U5014" s="15" t="n">
        <v>55</v>
      </c>
      <c r="V5014" s="15">
        <f>ROUNDUP((T5014+U5014+2*'Read Me'!$B$13)*(1+'Read Me'!$B$12),-1)</f>
        <v/>
      </c>
      <c r="W5014" s="15">
        <f>V5014*N5014*O5014</f>
        <v/>
      </c>
      <c r="X5014" s="12">
        <f>IF(LEFT(I5014,2)="MV",2*N5014*IF(L5014="1/C",O5014,1),0)</f>
        <v/>
      </c>
      <c r="Y5014" s="12">
        <f>IF(OR(LEFT(K5014,4)="LVAX",LEFT(K5014,6)="MV15AX",LEFT(K5014,4)="CTAX",LEFT(K5014,2)="W|"),2*N5014*O5014,0)</f>
        <v/>
      </c>
      <c r="Z5014" s="12" t="inlineStr"/>
      <c r="AA5014" s="12">
        <f>N5014*O5014</f>
        <v/>
      </c>
    </row>
    <row r="5015">
      <c r="A5015" s="12" t="inlineStr">
        <is>
          <t>I-I-0412</t>
        </is>
      </c>
      <c r="B5015" s="12" t="inlineStr">
        <is>
          <t>I</t>
        </is>
      </c>
      <c r="C5015" s="12" t="inlineStr">
        <is>
          <t>Modular / portable power</t>
        </is>
      </c>
      <c r="D5015" s="12" t="inlineStr">
        <is>
          <t>Analog instrument to JB JB-SC-1 auxiliary ski-AI01: 14 x 1 pr (field cables)</t>
        </is>
      </c>
      <c r="E5015" s="12" t="inlineStr"/>
      <c r="F5015" s="12" t="inlineStr">
        <is>
          <t>SC-1 auxiliary skids: fuel-gas module, water-wash skid</t>
        </is>
      </c>
      <c r="G5015" s="12" t="inlineStr">
        <is>
          <t>JB-SC-1 auxiliary ski-AI01</t>
        </is>
      </c>
      <c r="H5015" s="12" t="inlineStr">
        <is>
          <t>SC-1 auxiliary skids: fuel-gas module, water-wash skid</t>
        </is>
      </c>
      <c r="I5015" s="12" t="inlineStr">
        <is>
          <t>Instrumentation</t>
        </is>
      </c>
      <c r="J5015" s="12" t="inlineStr">
        <is>
          <t>Instrumentation ITC / PLTC, IS, #18 shielded pairs, blue jacket</t>
        </is>
      </c>
      <c r="K5015" s="12" t="inlineStr">
        <is>
          <t>ITC|1 pr|16</t>
        </is>
      </c>
      <c r="L5015" s="12" t="inlineStr">
        <is>
          <t>1 pr</t>
        </is>
      </c>
      <c r="M5015" s="12" t="inlineStr">
        <is>
          <t>16</t>
        </is>
      </c>
      <c r="N5015" s="12" t="n">
        <v>14</v>
      </c>
      <c r="O5015" s="12" t="n">
        <v>1</v>
      </c>
      <c r="P5015" s="12" t="n"/>
      <c r="Q5015" s="12" t="n"/>
      <c r="R5015" s="12" t="n"/>
      <c r="S5015" s="12" t="inlineStr">
        <is>
          <t>Tray / conduit</t>
        </is>
      </c>
      <c r="T5015" s="15" t="n">
        <v>63</v>
      </c>
      <c r="U5015" s="15" t="n">
        <v>10</v>
      </c>
      <c r="V5015" s="15">
        <f>ROUNDUP((T5015+U5015+2*'Read Me'!$B$13)*(1+'Read Me'!$B$12),-1)</f>
        <v/>
      </c>
      <c r="W5015" s="15">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I-I-0413</t>
        </is>
      </c>
      <c r="B5016" s="12" t="inlineStr">
        <is>
          <t>I</t>
        </is>
      </c>
      <c r="C5016" s="12" t="inlineStr">
        <is>
          <t>Modular / portable power</t>
        </is>
      </c>
      <c r="D5016" s="12" t="inlineStr">
        <is>
          <t>Home run JB-SC-1 auxiliary ski-AI01 to the control / marshalling room</t>
        </is>
      </c>
      <c r="E5016" s="12" t="inlineStr"/>
      <c r="F5016" s="12" t="inlineStr">
        <is>
          <t>SC-1 PCM + 15 kV GCB</t>
        </is>
      </c>
      <c r="G5016" s="12" t="inlineStr">
        <is>
          <t>JB-SC-1 auxiliary ski-AI01</t>
        </is>
      </c>
      <c r="H5016" s="12" t="inlineStr">
        <is>
          <t>SC-1 auxiliary skids: fuel-gas module, water-wash skid</t>
        </is>
      </c>
      <c r="I5016" s="12" t="inlineStr">
        <is>
          <t>Instrumentation</t>
        </is>
      </c>
      <c r="J5016" s="12" t="inlineStr">
        <is>
          <t>Instrumentation ITC / PLTC, IS, #18 shielded pairs, blue jacket</t>
        </is>
      </c>
      <c r="K5016" s="12" t="inlineStr">
        <is>
          <t>ITC|24 pr|18</t>
        </is>
      </c>
      <c r="L5016" s="12" t="inlineStr">
        <is>
          <t>24 pr</t>
        </is>
      </c>
      <c r="M5016" s="12" t="inlineStr">
        <is>
          <t>18</t>
        </is>
      </c>
      <c r="N5016" s="12" t="n">
        <v>1</v>
      </c>
      <c r="O5016" s="12" t="n">
        <v>1</v>
      </c>
      <c r="P5016" s="12" t="n"/>
      <c r="Q5016" s="12" t="n"/>
      <c r="R5016" s="12" t="n"/>
      <c r="S5016" s="12" t="inlineStr">
        <is>
          <t>Tray</t>
        </is>
      </c>
      <c r="T5016" s="15" t="n">
        <v>5</v>
      </c>
      <c r="U5016" s="15" t="n">
        <v>49</v>
      </c>
      <c r="V5016" s="15">
        <f>ROUNDUP((T5016+U5016+2*'Read Me'!$B$13)*(1+'Read Me'!$B$12),-1)</f>
        <v/>
      </c>
      <c r="W5016" s="15">
        <f>V5016*N5016*O5016</f>
        <v/>
      </c>
      <c r="X5016" s="12">
        <f>IF(LEFT(I5016,2)="MV",2*N5016*IF(L5016="1/C",O5016,1),0)</f>
        <v/>
      </c>
      <c r="Y5016" s="12">
        <f>IF(OR(LEFT(K5016,4)="LVAX",LEFT(K5016,6)="MV15AX",LEFT(K5016,4)="CTAX",LEFT(K5016,2)="W|"),2*N5016*O5016,0)</f>
        <v/>
      </c>
      <c r="Z5016" s="12" t="inlineStr"/>
      <c r="AA5016" s="12">
        <f>N5016*O5016</f>
        <v/>
      </c>
    </row>
    <row r="5017">
      <c r="A5017" s="12" t="inlineStr">
        <is>
          <t>I-I-0414</t>
        </is>
      </c>
      <c r="B5017" s="12" t="inlineStr">
        <is>
          <t>I</t>
        </is>
      </c>
      <c r="C5017" s="12" t="inlineStr">
        <is>
          <t>Modular / portable power</t>
        </is>
      </c>
      <c r="D5017" s="12" t="inlineStr">
        <is>
          <t>Discrete device to JB JB-SC-1 auxiliary ski-DI01: 12 x 1 pr (field cables)</t>
        </is>
      </c>
      <c r="E5017" s="12" t="inlineStr"/>
      <c r="F5017" s="12" t="inlineStr">
        <is>
          <t>SC-1 auxiliary skids: fuel-gas module, water-wash skid</t>
        </is>
      </c>
      <c r="G5017" s="12" t="inlineStr">
        <is>
          <t>JB-SC-1 auxiliary ski-DI01</t>
        </is>
      </c>
      <c r="H5017" s="12" t="inlineStr">
        <is>
          <t>SC-1 auxiliary skids: fuel-gas module, water-wash skid</t>
        </is>
      </c>
      <c r="I5017" s="12" t="inlineStr">
        <is>
          <t>Instrumentation</t>
        </is>
      </c>
      <c r="J5017" s="12" t="inlineStr">
        <is>
          <t>Instrumentation ITC / PLTC, IS, #18 shielded pairs, blue jacket</t>
        </is>
      </c>
      <c r="K5017" s="12" t="inlineStr">
        <is>
          <t>ITC|1 pr|16</t>
        </is>
      </c>
      <c r="L5017" s="12" t="inlineStr">
        <is>
          <t>1 pr</t>
        </is>
      </c>
      <c r="M5017" s="12" t="inlineStr">
        <is>
          <t>16</t>
        </is>
      </c>
      <c r="N5017" s="12" t="n">
        <v>12</v>
      </c>
      <c r="O5017" s="12" t="n">
        <v>1</v>
      </c>
      <c r="P5017" s="12" t="n"/>
      <c r="Q5017" s="12" t="n"/>
      <c r="R5017" s="12" t="n"/>
      <c r="S5017" s="12" t="inlineStr">
        <is>
          <t>Tray / conduit</t>
        </is>
      </c>
      <c r="T5017" s="15" t="n">
        <v>63</v>
      </c>
      <c r="U5017" s="15" t="n">
        <v>10</v>
      </c>
      <c r="V5017" s="15">
        <f>ROUNDUP((T5017+U5017+2*'Read Me'!$B$13)*(1+'Read Me'!$B$12),-1)</f>
        <v/>
      </c>
      <c r="W5017" s="15">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I-I-0415</t>
        </is>
      </c>
      <c r="B5018" s="12" t="inlineStr">
        <is>
          <t>I</t>
        </is>
      </c>
      <c r="C5018" s="12" t="inlineStr">
        <is>
          <t>Modular / portable power</t>
        </is>
      </c>
      <c r="D5018" s="12" t="inlineStr">
        <is>
          <t>Home run JB-SC-1 auxiliary ski-DI01 to the control / marshalling room</t>
        </is>
      </c>
      <c r="E5018" s="12" t="inlineStr"/>
      <c r="F5018" s="12" t="inlineStr">
        <is>
          <t>SC-1 PCM + 15 kV GCB</t>
        </is>
      </c>
      <c r="G5018" s="12" t="inlineStr">
        <is>
          <t>JB-SC-1 auxiliary ski-DI01</t>
        </is>
      </c>
      <c r="H5018" s="12" t="inlineStr">
        <is>
          <t>SC-1 auxiliary skids: fuel-gas module, water-wash skid</t>
        </is>
      </c>
      <c r="I5018" s="12" t="inlineStr">
        <is>
          <t>Instrumentation</t>
        </is>
      </c>
      <c r="J5018" s="12" t="inlineStr">
        <is>
          <t>Instrumentation ITC / PLTC, IS, #18 shielded pairs, blue jacket</t>
        </is>
      </c>
      <c r="K5018" s="12" t="inlineStr">
        <is>
          <t>ITC|24 pr|18</t>
        </is>
      </c>
      <c r="L5018" s="12" t="inlineStr">
        <is>
          <t>24 pr</t>
        </is>
      </c>
      <c r="M5018" s="12" t="inlineStr">
        <is>
          <t>18</t>
        </is>
      </c>
      <c r="N5018" s="12" t="n">
        <v>1</v>
      </c>
      <c r="O5018" s="12" t="n">
        <v>1</v>
      </c>
      <c r="P5018" s="12" t="n"/>
      <c r="Q5018" s="12" t="n"/>
      <c r="R5018" s="12" t="n"/>
      <c r="S5018" s="12" t="inlineStr">
        <is>
          <t>Tray</t>
        </is>
      </c>
      <c r="T5018" s="15" t="n">
        <v>5</v>
      </c>
      <c r="U5018" s="15" t="n">
        <v>49</v>
      </c>
      <c r="V5018" s="15">
        <f>ROUNDUP((T5018+U5018+2*'Read Me'!$B$13)*(1+'Read Me'!$B$12),-1)</f>
        <v/>
      </c>
      <c r="W5018" s="15">
        <f>V5018*N5018*O5018</f>
        <v/>
      </c>
      <c r="X5018" s="12">
        <f>IF(LEFT(I5018,2)="MV",2*N5018*IF(L5018="1/C",O5018,1),0)</f>
        <v/>
      </c>
      <c r="Y5018" s="12">
        <f>IF(OR(LEFT(K5018,4)="LVAX",LEFT(K5018,6)="MV15AX",LEFT(K5018,4)="CTAX",LEFT(K5018,2)="W|"),2*N5018*O5018,0)</f>
        <v/>
      </c>
      <c r="Z5018" s="12" t="inlineStr"/>
      <c r="AA5018" s="12">
        <f>N5018*O5018</f>
        <v/>
      </c>
    </row>
    <row r="5019">
      <c r="A5019" s="12" t="inlineStr">
        <is>
          <t>I-I-0416</t>
        </is>
      </c>
      <c r="B5019" s="12" t="inlineStr">
        <is>
          <t>I</t>
        </is>
      </c>
      <c r="C5019" s="12" t="inlineStr">
        <is>
          <t>Modular / portable power</t>
        </is>
      </c>
      <c r="D5019" s="12" t="inlineStr">
        <is>
          <t>Analog instrument to JB JB-SC-1 lube-oil fin--AI01: 4 x 1 pr (field cables)</t>
        </is>
      </c>
      <c r="E5019" s="12" t="inlineStr"/>
      <c r="F5019" s="12" t="inlineStr">
        <is>
          <t>SC-1 lube-oil fin-fan cooler</t>
        </is>
      </c>
      <c r="G5019" s="12" t="inlineStr">
        <is>
          <t>JB-SC-1 lube-oil fin--AI01</t>
        </is>
      </c>
      <c r="H5019" s="12" t="inlineStr">
        <is>
          <t>SC-1 lube-oil fin-fan cooler</t>
        </is>
      </c>
      <c r="I5019" s="12" t="inlineStr">
        <is>
          <t>Instrumentation</t>
        </is>
      </c>
      <c r="J5019" s="12" t="inlineStr">
        <is>
          <t>Instrumentation PLTC / TC-ER 300 V, #18 twisted shielded pairs, overall shield</t>
        </is>
      </c>
      <c r="K5019" s="12" t="inlineStr">
        <is>
          <t>PLTC|1 pr|16</t>
        </is>
      </c>
      <c r="L5019" s="12" t="inlineStr">
        <is>
          <t>1 pr</t>
        </is>
      </c>
      <c r="M5019" s="12" t="inlineStr">
        <is>
          <t>16</t>
        </is>
      </c>
      <c r="N5019" s="12" t="n">
        <v>4</v>
      </c>
      <c r="O5019" s="12" t="n">
        <v>1</v>
      </c>
      <c r="P5019" s="12" t="n"/>
      <c r="Q5019" s="12" t="n"/>
      <c r="R5019" s="12" t="n"/>
      <c r="S5019" s="12" t="inlineStr">
        <is>
          <t>Tray / conduit</t>
        </is>
      </c>
      <c r="T5019" s="15" t="n">
        <v>46</v>
      </c>
      <c r="U5019" s="15" t="n">
        <v>10</v>
      </c>
      <c r="V5019" s="15">
        <f>ROUNDUP((T5019+U5019+2*'Read Me'!$B$13)*(1+'Read Me'!$B$12),-1)</f>
        <v/>
      </c>
      <c r="W5019" s="15">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I-I-0417</t>
        </is>
      </c>
      <c r="B5020" s="12" t="inlineStr">
        <is>
          <t>I</t>
        </is>
      </c>
      <c r="C5020" s="12" t="inlineStr">
        <is>
          <t>Modular / portable power</t>
        </is>
      </c>
      <c r="D5020" s="12" t="inlineStr">
        <is>
          <t>Home run JB-SC-1 lube-oil fin--AI01 to the control / marshalling room</t>
        </is>
      </c>
      <c r="E5020" s="12" t="inlineStr"/>
      <c r="F5020" s="12" t="inlineStr">
        <is>
          <t>SC-1 PCM + 15 kV GCB</t>
        </is>
      </c>
      <c r="G5020" s="12" t="inlineStr">
        <is>
          <t>JB-SC-1 lube-oil fin--AI01</t>
        </is>
      </c>
      <c r="H5020" s="12" t="inlineStr">
        <is>
          <t>SC-1 lube-oil fin-fan cooler</t>
        </is>
      </c>
      <c r="I5020" s="12" t="inlineStr">
        <is>
          <t>Instrumentation</t>
        </is>
      </c>
      <c r="J5020" s="12" t="inlineStr">
        <is>
          <t>Instrumentation PLTC / TC-ER 300 V, #18 twisted shielded pairs, overall shield</t>
        </is>
      </c>
      <c r="K5020" s="12" t="inlineStr">
        <is>
          <t>PLTC|24 pr|18</t>
        </is>
      </c>
      <c r="L5020" s="12" t="inlineStr">
        <is>
          <t>24 pr</t>
        </is>
      </c>
      <c r="M5020" s="12" t="inlineStr">
        <is>
          <t>18</t>
        </is>
      </c>
      <c r="N5020" s="12" t="n">
        <v>1</v>
      </c>
      <c r="O5020" s="12" t="n">
        <v>1</v>
      </c>
      <c r="P5020" s="12" t="n"/>
      <c r="Q5020" s="12" t="n"/>
      <c r="R5020" s="12" t="n"/>
      <c r="S5020" s="12" t="inlineStr">
        <is>
          <t>Riser</t>
        </is>
      </c>
      <c r="T5020" s="15" t="n">
        <v>9</v>
      </c>
      <c r="U5020" s="15" t="n">
        <v>33</v>
      </c>
      <c r="V5020" s="15">
        <f>ROUNDUP((T5020+U5020+2*'Read Me'!$B$13)*(1+'Read Me'!$B$12),-1)</f>
        <v/>
      </c>
      <c r="W5020" s="15">
        <f>V5020*N5020*O5020</f>
        <v/>
      </c>
      <c r="X5020" s="12">
        <f>IF(LEFT(I5020,2)="MV",2*N5020*IF(L5020="1/C",O5020,1),0)</f>
        <v/>
      </c>
      <c r="Y5020" s="12">
        <f>IF(OR(LEFT(K5020,4)="LVAX",LEFT(K5020,6)="MV15AX",LEFT(K5020,4)="CTAX",LEFT(K5020,2)="W|"),2*N5020*O5020,0)</f>
        <v/>
      </c>
      <c r="Z5020" s="12" t="inlineStr"/>
      <c r="AA5020" s="12">
        <f>N5020*O5020</f>
        <v/>
      </c>
    </row>
    <row r="5021">
      <c r="A5021" s="12" t="inlineStr">
        <is>
          <t>I-I-0418</t>
        </is>
      </c>
      <c r="B5021" s="12" t="inlineStr">
        <is>
          <t>I</t>
        </is>
      </c>
      <c r="C5021" s="12" t="inlineStr">
        <is>
          <t>Modular / portable power</t>
        </is>
      </c>
      <c r="D5021" s="12" t="inlineStr">
        <is>
          <t>Discrete device to JB JB-SC-1 lube-oil fin--DI01: 8 x 1 pr (field cables)</t>
        </is>
      </c>
      <c r="E5021" s="12" t="inlineStr"/>
      <c r="F5021" s="12" t="inlineStr">
        <is>
          <t>SC-1 lube-oil fin-fan cooler</t>
        </is>
      </c>
      <c r="G5021" s="12" t="inlineStr">
        <is>
          <t>JB-SC-1 lube-oil fin--DI01</t>
        </is>
      </c>
      <c r="H5021" s="12" t="inlineStr">
        <is>
          <t>SC-1 lube-oil fin-fan cooler</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8</v>
      </c>
      <c r="O5021" s="12" t="n">
        <v>1</v>
      </c>
      <c r="P5021" s="12" t="n"/>
      <c r="Q5021" s="12" t="n"/>
      <c r="R5021" s="12" t="n"/>
      <c r="S5021" s="12" t="inlineStr">
        <is>
          <t>Tray / conduit</t>
        </is>
      </c>
      <c r="T5021" s="15" t="n">
        <v>46</v>
      </c>
      <c r="U5021" s="15" t="n">
        <v>10</v>
      </c>
      <c r="V5021" s="15">
        <f>ROUNDUP((T5021+U5021+2*'Read Me'!$B$13)*(1+'Read Me'!$B$12),-1)</f>
        <v/>
      </c>
      <c r="W5021" s="15">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I-I-0419</t>
        </is>
      </c>
      <c r="B5022" s="12" t="inlineStr">
        <is>
          <t>I</t>
        </is>
      </c>
      <c r="C5022" s="12" t="inlineStr">
        <is>
          <t>Modular / portable power</t>
        </is>
      </c>
      <c r="D5022" s="12" t="inlineStr">
        <is>
          <t>Home run JB-SC-1 lube-oil fin--DI01 to the control / marshalling room</t>
        </is>
      </c>
      <c r="E5022" s="12" t="inlineStr"/>
      <c r="F5022" s="12" t="inlineStr">
        <is>
          <t>SC-1 PCM + 15 kV GCB</t>
        </is>
      </c>
      <c r="G5022" s="12" t="inlineStr">
        <is>
          <t>JB-SC-1 lube-oil fin--DI01</t>
        </is>
      </c>
      <c r="H5022" s="12" t="inlineStr">
        <is>
          <t>SC-1 lube-oil fin-fan cooler</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Riser</t>
        </is>
      </c>
      <c r="T5022" s="15" t="n">
        <v>9</v>
      </c>
      <c r="U5022" s="15" t="n">
        <v>33</v>
      </c>
      <c r="V5022" s="15">
        <f>ROUNDUP((T5022+U5022+2*'Read Me'!$B$13)*(1+'Read Me'!$B$12),-1)</f>
        <v/>
      </c>
      <c r="W5022" s="15">
        <f>V5022*N5022*O5022</f>
        <v/>
      </c>
      <c r="X5022" s="12">
        <f>IF(LEFT(I5022,2)="MV",2*N5022*IF(L5022="1/C",O5022,1),0)</f>
        <v/>
      </c>
      <c r="Y5022" s="12">
        <f>IF(OR(LEFT(K5022,4)="LVAX",LEFT(K5022,6)="MV15AX",LEFT(K5022,4)="CTAX",LEFT(K5022,2)="W|"),2*N5022*O5022,0)</f>
        <v/>
      </c>
      <c r="Z5022" s="12" t="inlineStr"/>
      <c r="AA5022" s="12">
        <f>N5022*O5022</f>
        <v/>
      </c>
    </row>
    <row r="5023">
      <c r="A5023" s="12" t="inlineStr">
        <is>
          <t>I-I-0420</t>
        </is>
      </c>
      <c r="B5023" s="12" t="inlineStr">
        <is>
          <t>I</t>
        </is>
      </c>
      <c r="C5023" s="12" t="inlineStr">
        <is>
          <t>Modular / portable power</t>
        </is>
      </c>
      <c r="D5023" s="12" t="inlineStr">
        <is>
          <t>Analog instrument to JB JB-SC-1 tempering-air-AI01: 8 x 1 pr (field cables)</t>
        </is>
      </c>
      <c r="E5023" s="12" t="inlineStr"/>
      <c r="F5023" s="12" t="inlineStr">
        <is>
          <t>SC-1 tempering-air fans (2 x 100 %)</t>
        </is>
      </c>
      <c r="G5023" s="12" t="inlineStr">
        <is>
          <t>JB-SC-1 tempering-air-AI01</t>
        </is>
      </c>
      <c r="H5023" s="12" t="inlineStr">
        <is>
          <t>SC-1 tempering-air fans (2 x 100 %)</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8</v>
      </c>
      <c r="O5023" s="12" t="n">
        <v>1</v>
      </c>
      <c r="P5023" s="12" t="n"/>
      <c r="Q5023" s="12" t="n"/>
      <c r="R5023" s="12" t="n"/>
      <c r="S5023" s="12" t="inlineStr">
        <is>
          <t>Tray / conduit</t>
        </is>
      </c>
      <c r="T5023" s="15" t="n">
        <v>53</v>
      </c>
      <c r="U5023" s="15" t="n">
        <v>10</v>
      </c>
      <c r="V5023" s="15">
        <f>ROUNDUP((T5023+U5023+2*'Read Me'!$B$13)*(1+'Read Me'!$B$12),-1)</f>
        <v/>
      </c>
      <c r="W5023" s="15">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I-I-0421</t>
        </is>
      </c>
      <c r="B5024" s="12" t="inlineStr">
        <is>
          <t>I</t>
        </is>
      </c>
      <c r="C5024" s="12" t="inlineStr">
        <is>
          <t>Modular / portable power</t>
        </is>
      </c>
      <c r="D5024" s="12" t="inlineStr">
        <is>
          <t>Home run JB-SC-1 tempering-air-AI01 to the control / marshalling room</t>
        </is>
      </c>
      <c r="E5024" s="12" t="inlineStr"/>
      <c r="F5024" s="12" t="inlineStr">
        <is>
          <t>SC-1 PCM + 15 kV GCB</t>
        </is>
      </c>
      <c r="G5024" s="12" t="inlineStr">
        <is>
          <t>JB-SC-1 tempering-air-AI01</t>
        </is>
      </c>
      <c r="H5024" s="12" t="inlineStr">
        <is>
          <t>SC-1 tempering-air fans (2 x 100 %)</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Duct bank</t>
        </is>
      </c>
      <c r="T5024" s="15" t="n">
        <v>15</v>
      </c>
      <c r="U5024" s="15" t="n">
        <v>99</v>
      </c>
      <c r="V5024" s="15">
        <f>ROUNDUP((T5024+U5024+2*'Read Me'!$B$13)*(1+'Read Me'!$B$12),-1)</f>
        <v/>
      </c>
      <c r="W5024" s="15">
        <f>V5024*N5024*O5024</f>
        <v/>
      </c>
      <c r="X5024" s="12">
        <f>IF(LEFT(I5024,2)="MV",2*N5024*IF(L5024="1/C",O5024,1),0)</f>
        <v/>
      </c>
      <c r="Y5024" s="12">
        <f>IF(OR(LEFT(K5024,4)="LVAX",LEFT(K5024,6)="MV15AX",LEFT(K5024,4)="CTAX",LEFT(K5024,2)="W|"),2*N5024*O5024,0)</f>
        <v/>
      </c>
      <c r="Z5024" s="12" t="inlineStr"/>
      <c r="AA5024" s="12">
        <f>N5024*O5024</f>
        <v/>
      </c>
    </row>
    <row r="5025">
      <c r="A5025" s="12" t="inlineStr">
        <is>
          <t>I-I-0422</t>
        </is>
      </c>
      <c r="B5025" s="12" t="inlineStr">
        <is>
          <t>I</t>
        </is>
      </c>
      <c r="C5025" s="12" t="inlineStr">
        <is>
          <t>Modular / portable power</t>
        </is>
      </c>
      <c r="D5025" s="12" t="inlineStr">
        <is>
          <t>Discrete device to JB JB-SC-1 tempering-air-DI01: 8 x 1 pr (field cables)</t>
        </is>
      </c>
      <c r="E5025" s="12" t="inlineStr"/>
      <c r="F5025" s="12" t="inlineStr">
        <is>
          <t>SC-1 tempering-air fans (2 x 100 %)</t>
        </is>
      </c>
      <c r="G5025" s="12" t="inlineStr">
        <is>
          <t>JB-SC-1 tempering-air-DI01</t>
        </is>
      </c>
      <c r="H5025" s="12" t="inlineStr">
        <is>
          <t>SC-1 tempering-air fans (2 x 100 %)</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8</v>
      </c>
      <c r="O5025" s="12" t="n">
        <v>1</v>
      </c>
      <c r="P5025" s="12" t="n"/>
      <c r="Q5025" s="12" t="n"/>
      <c r="R5025" s="12" t="n"/>
      <c r="S5025" s="12" t="inlineStr">
        <is>
          <t>Tray / conduit</t>
        </is>
      </c>
      <c r="T5025" s="15" t="n">
        <v>53</v>
      </c>
      <c r="U5025" s="15" t="n">
        <v>10</v>
      </c>
      <c r="V5025" s="15">
        <f>ROUNDUP((T5025+U5025+2*'Read Me'!$B$13)*(1+'Read Me'!$B$12),-1)</f>
        <v/>
      </c>
      <c r="W5025" s="15">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I-I-0423</t>
        </is>
      </c>
      <c r="B5026" s="12" t="inlineStr">
        <is>
          <t>I</t>
        </is>
      </c>
      <c r="C5026" s="12" t="inlineStr">
        <is>
          <t>Modular / portable power</t>
        </is>
      </c>
      <c r="D5026" s="12" t="inlineStr">
        <is>
          <t>Home run JB-SC-1 tempering-air-DI01 to the control / marshalling room</t>
        </is>
      </c>
      <c r="E5026" s="12" t="inlineStr"/>
      <c r="F5026" s="12" t="inlineStr">
        <is>
          <t>SC-1 PCM + 15 kV GCB</t>
        </is>
      </c>
      <c r="G5026" s="12" t="inlineStr">
        <is>
          <t>JB-SC-1 tempering-air-DI01</t>
        </is>
      </c>
      <c r="H5026" s="12" t="inlineStr">
        <is>
          <t>SC-1 tempering-air fans (2 x 100 %)</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Duct bank</t>
        </is>
      </c>
      <c r="T5026" s="15" t="n">
        <v>15</v>
      </c>
      <c r="U5026" s="15" t="n">
        <v>99</v>
      </c>
      <c r="V5026" s="15">
        <f>ROUNDUP((T5026+U5026+2*'Read Me'!$B$13)*(1+'Read Me'!$B$12),-1)</f>
        <v/>
      </c>
      <c r="W5026" s="15">
        <f>V5026*N5026*O5026</f>
        <v/>
      </c>
      <c r="X5026" s="12">
        <f>IF(LEFT(I5026,2)="MV",2*N5026*IF(L5026="1/C",O5026,1),0)</f>
        <v/>
      </c>
      <c r="Y5026" s="12">
        <f>IF(OR(LEFT(K5026,4)="LVAX",LEFT(K5026,6)="MV15AX",LEFT(K5026,4)="CTAX",LEFT(K5026,2)="W|"),2*N5026*O5026,0)</f>
        <v/>
      </c>
      <c r="Z5026" s="12" t="inlineStr"/>
      <c r="AA5026" s="12">
        <f>N5026*O5026</f>
        <v/>
      </c>
    </row>
    <row r="5027">
      <c r="A5027" s="12" t="inlineStr">
        <is>
          <t>I-I-0424</t>
        </is>
      </c>
      <c r="B5027" s="12" t="inlineStr">
        <is>
          <t>I</t>
        </is>
      </c>
      <c r="C5027" s="12" t="inlineStr">
        <is>
          <t>Modular / portable power</t>
        </is>
      </c>
      <c r="D5027" s="12" t="inlineStr">
        <is>
          <t>Analog instrument to JB JB-SC-1-AI01: 20 x 1 pr (field cables)</t>
        </is>
      </c>
      <c r="E5027" s="12" t="inlineStr">
        <is>
          <t>SC-1</t>
        </is>
      </c>
      <c r="F5027" s="12" t="inlineStr">
        <is>
          <t>SC-1: aeroderivative simple-cycle unit (LM6000 class)</t>
        </is>
      </c>
      <c r="G5027" s="12" t="inlineStr">
        <is>
          <t>JB-SC-1-AI01</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5" t="n">
        <v>99</v>
      </c>
      <c r="U5027" s="15" t="n">
        <v>10</v>
      </c>
      <c r="V5027" s="15">
        <f>ROUNDUP((T5027+U5027+2*'Read Me'!$B$13)*(1+'Read Me'!$B$12),-1)</f>
        <v/>
      </c>
      <c r="W5027" s="15">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I-I-0425</t>
        </is>
      </c>
      <c r="B5028" s="12" t="inlineStr">
        <is>
          <t>I</t>
        </is>
      </c>
      <c r="C5028" s="12" t="inlineStr">
        <is>
          <t>Modular / portable power</t>
        </is>
      </c>
      <c r="D5028" s="12" t="inlineStr">
        <is>
          <t>Home run JB-SC-1-AI01 to the control / marshalling room</t>
        </is>
      </c>
      <c r="E5028" s="12" t="inlineStr"/>
      <c r="F5028" s="12" t="inlineStr">
        <is>
          <t>SC-1 PCM + 15 kV GCB</t>
        </is>
      </c>
      <c r="G5028" s="12" t="inlineStr">
        <is>
          <t>JB-SC-1-AI01</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Tray</t>
        </is>
      </c>
      <c r="T5028" s="15" t="n">
        <v>5</v>
      </c>
      <c r="U5028" s="15" t="n">
        <v>62</v>
      </c>
      <c r="V5028" s="15">
        <f>ROUNDUP((T5028+U5028+2*'Read Me'!$B$13)*(1+'Read Me'!$B$12),-1)</f>
        <v/>
      </c>
      <c r="W5028" s="15">
        <f>V5028*N5028*O5028</f>
        <v/>
      </c>
      <c r="X5028" s="12">
        <f>IF(LEFT(I5028,2)="MV",2*N5028*IF(L5028="1/C",O5028,1),0)</f>
        <v/>
      </c>
      <c r="Y5028" s="12">
        <f>IF(OR(LEFT(K5028,4)="LVAX",LEFT(K5028,6)="MV15AX",LEFT(K5028,4)="CTAX",LEFT(K5028,2)="W|"),2*N5028*O5028,0)</f>
        <v/>
      </c>
      <c r="Z5028" s="12" t="inlineStr"/>
      <c r="AA5028" s="12">
        <f>N5028*O5028</f>
        <v/>
      </c>
    </row>
    <row r="5029">
      <c r="A5029" s="12" t="inlineStr">
        <is>
          <t>I-I-0426</t>
        </is>
      </c>
      <c r="B5029" s="12" t="inlineStr">
        <is>
          <t>I</t>
        </is>
      </c>
      <c r="C5029" s="12" t="inlineStr">
        <is>
          <t>Modular / portable power</t>
        </is>
      </c>
      <c r="D5029" s="12" t="inlineStr">
        <is>
          <t>Analog instrument to JB JB-SC-1-AI02: 20 x 1 pr (field cables)</t>
        </is>
      </c>
      <c r="E5029" s="12" t="inlineStr">
        <is>
          <t>SC-1</t>
        </is>
      </c>
      <c r="F5029" s="12" t="inlineStr">
        <is>
          <t>SC-1: aeroderivative simple-cycle unit (LM6000 class)</t>
        </is>
      </c>
      <c r="G5029" s="12" t="inlineStr">
        <is>
          <t>JB-SC-1-AI02</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5" t="n">
        <v>99</v>
      </c>
      <c r="U5029" s="15" t="n">
        <v>10</v>
      </c>
      <c r="V5029" s="15">
        <f>ROUNDUP((T5029+U5029+2*'Read Me'!$B$13)*(1+'Read Me'!$B$12),-1)</f>
        <v/>
      </c>
      <c r="W5029" s="15">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I-I-0427</t>
        </is>
      </c>
      <c r="B5030" s="12" t="inlineStr">
        <is>
          <t>I</t>
        </is>
      </c>
      <c r="C5030" s="12" t="inlineStr">
        <is>
          <t>Modular / portable power</t>
        </is>
      </c>
      <c r="D5030" s="12" t="inlineStr">
        <is>
          <t>Home run JB-SC-1-AI02 to the control / marshalling room</t>
        </is>
      </c>
      <c r="E5030" s="12" t="inlineStr"/>
      <c r="F5030" s="12" t="inlineStr">
        <is>
          <t>SC-1 PCM + 15 kV GCB</t>
        </is>
      </c>
      <c r="G5030" s="12" t="inlineStr">
        <is>
          <t>JB-SC-1-AI02</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Tray</t>
        </is>
      </c>
      <c r="T5030" s="15" t="n">
        <v>5</v>
      </c>
      <c r="U5030" s="15" t="n">
        <v>62</v>
      </c>
      <c r="V5030" s="15">
        <f>ROUNDUP((T5030+U5030+2*'Read Me'!$B$13)*(1+'Read Me'!$B$12),-1)</f>
        <v/>
      </c>
      <c r="W5030" s="15">
        <f>V5030*N5030*O5030</f>
        <v/>
      </c>
      <c r="X5030" s="12">
        <f>IF(LEFT(I5030,2)="MV",2*N5030*IF(L5030="1/C",O5030,1),0)</f>
        <v/>
      </c>
      <c r="Y5030" s="12">
        <f>IF(OR(LEFT(K5030,4)="LVAX",LEFT(K5030,6)="MV15AX",LEFT(K5030,4)="CTAX",LEFT(K5030,2)="W|"),2*N5030*O5030,0)</f>
        <v/>
      </c>
      <c r="Z5030" s="12" t="inlineStr"/>
      <c r="AA5030" s="12">
        <f>N5030*O5030</f>
        <v/>
      </c>
    </row>
    <row r="5031">
      <c r="A5031" s="12" t="inlineStr">
        <is>
          <t>I-I-0428</t>
        </is>
      </c>
      <c r="B5031" s="12" t="inlineStr">
        <is>
          <t>I</t>
        </is>
      </c>
      <c r="C5031" s="12" t="inlineStr">
        <is>
          <t>Modular / portable power</t>
        </is>
      </c>
      <c r="D5031" s="12" t="inlineStr">
        <is>
          <t>Analog instrument to JB JB-SC-1-AI03: 20 x 1 pr (field cables)</t>
        </is>
      </c>
      <c r="E5031" s="12" t="inlineStr">
        <is>
          <t>SC-1</t>
        </is>
      </c>
      <c r="F5031" s="12" t="inlineStr">
        <is>
          <t>SC-1: aeroderivative simple-cycle unit (LM6000 class)</t>
        </is>
      </c>
      <c r="G5031" s="12" t="inlineStr">
        <is>
          <t>JB-SC-1-AI03</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5" t="n">
        <v>99</v>
      </c>
      <c r="U5031" s="15" t="n">
        <v>10</v>
      </c>
      <c r="V5031" s="15">
        <f>ROUNDUP((T5031+U5031+2*'Read Me'!$B$13)*(1+'Read Me'!$B$12),-1)</f>
        <v/>
      </c>
      <c r="W5031" s="15">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I-I-0429</t>
        </is>
      </c>
      <c r="B5032" s="12" t="inlineStr">
        <is>
          <t>I</t>
        </is>
      </c>
      <c r="C5032" s="12" t="inlineStr">
        <is>
          <t>Modular / portable power</t>
        </is>
      </c>
      <c r="D5032" s="12" t="inlineStr">
        <is>
          <t>Home run JB-SC-1-AI03 to the control / marshalling room</t>
        </is>
      </c>
      <c r="E5032" s="12" t="inlineStr"/>
      <c r="F5032" s="12" t="inlineStr">
        <is>
          <t>SC-1 PCM + 15 kV GCB</t>
        </is>
      </c>
      <c r="G5032" s="12" t="inlineStr">
        <is>
          <t>JB-SC-1-AI03</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Tray</t>
        </is>
      </c>
      <c r="T5032" s="15" t="n">
        <v>5</v>
      </c>
      <c r="U5032" s="15" t="n">
        <v>62</v>
      </c>
      <c r="V5032" s="15">
        <f>ROUNDUP((T5032+U5032+2*'Read Me'!$B$13)*(1+'Read Me'!$B$12),-1)</f>
        <v/>
      </c>
      <c r="W5032" s="15">
        <f>V5032*N5032*O5032</f>
        <v/>
      </c>
      <c r="X5032" s="12">
        <f>IF(LEFT(I5032,2)="MV",2*N5032*IF(L5032="1/C",O5032,1),0)</f>
        <v/>
      </c>
      <c r="Y5032" s="12">
        <f>IF(OR(LEFT(K5032,4)="LVAX",LEFT(K5032,6)="MV15AX",LEFT(K5032,4)="CTAX",LEFT(K5032,2)="W|"),2*N5032*O5032,0)</f>
        <v/>
      </c>
      <c r="Z5032" s="12" t="inlineStr"/>
      <c r="AA5032" s="12">
        <f>N5032*O5032</f>
        <v/>
      </c>
    </row>
    <row r="5033">
      <c r="A5033" s="12" t="inlineStr">
        <is>
          <t>I-I-0430</t>
        </is>
      </c>
      <c r="B5033" s="12" t="inlineStr">
        <is>
          <t>I</t>
        </is>
      </c>
      <c r="C5033" s="12" t="inlineStr">
        <is>
          <t>Modular / portable power</t>
        </is>
      </c>
      <c r="D5033" s="12" t="inlineStr">
        <is>
          <t>Analog instrument to JB JB-SC-1-AI04: 20 x 1 pr (field cables)</t>
        </is>
      </c>
      <c r="E5033" s="12" t="inlineStr">
        <is>
          <t>SC-1</t>
        </is>
      </c>
      <c r="F5033" s="12" t="inlineStr">
        <is>
          <t>SC-1: aeroderivative simple-cycle unit (LM6000 class)</t>
        </is>
      </c>
      <c r="G5033" s="12" t="inlineStr">
        <is>
          <t>JB-SC-1-AI04</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5" t="n">
        <v>99</v>
      </c>
      <c r="U5033" s="15" t="n">
        <v>10</v>
      </c>
      <c r="V5033" s="15">
        <f>ROUNDUP((T5033+U5033+2*'Read Me'!$B$13)*(1+'Read Me'!$B$12),-1)</f>
        <v/>
      </c>
      <c r="W5033" s="15">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I-I-0431</t>
        </is>
      </c>
      <c r="B5034" s="12" t="inlineStr">
        <is>
          <t>I</t>
        </is>
      </c>
      <c r="C5034" s="12" t="inlineStr">
        <is>
          <t>Modular / portable power</t>
        </is>
      </c>
      <c r="D5034" s="12" t="inlineStr">
        <is>
          <t>Home run JB-SC-1-AI04 to the control / marshalling room</t>
        </is>
      </c>
      <c r="E5034" s="12" t="inlineStr"/>
      <c r="F5034" s="12" t="inlineStr">
        <is>
          <t>SC-1 PCM + 15 kV GCB</t>
        </is>
      </c>
      <c r="G5034" s="12" t="inlineStr">
        <is>
          <t>JB-SC-1-AI04</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Tray</t>
        </is>
      </c>
      <c r="T5034" s="15" t="n">
        <v>5</v>
      </c>
      <c r="U5034" s="15" t="n">
        <v>62</v>
      </c>
      <c r="V5034" s="15">
        <f>ROUNDUP((T5034+U5034+2*'Read Me'!$B$13)*(1+'Read Me'!$B$12),-1)</f>
        <v/>
      </c>
      <c r="W5034" s="15">
        <f>V5034*N5034*O5034</f>
        <v/>
      </c>
      <c r="X5034" s="12">
        <f>IF(LEFT(I5034,2)="MV",2*N5034*IF(L5034="1/C",O5034,1),0)</f>
        <v/>
      </c>
      <c r="Y5034" s="12">
        <f>IF(OR(LEFT(K5034,4)="LVAX",LEFT(K5034,6)="MV15AX",LEFT(K5034,4)="CTAX",LEFT(K5034,2)="W|"),2*N5034*O5034,0)</f>
        <v/>
      </c>
      <c r="Z5034" s="12" t="inlineStr"/>
      <c r="AA5034" s="12">
        <f>N5034*O5034</f>
        <v/>
      </c>
    </row>
    <row r="5035">
      <c r="A5035" s="12" t="inlineStr">
        <is>
          <t>I-I-0432</t>
        </is>
      </c>
      <c r="B5035" s="12" t="inlineStr">
        <is>
          <t>I</t>
        </is>
      </c>
      <c r="C5035" s="12" t="inlineStr">
        <is>
          <t>Modular / portable power</t>
        </is>
      </c>
      <c r="D5035" s="12" t="inlineStr">
        <is>
          <t>Analog instrument to JB JB-SC-1-AI05: 20 x 1 pr (field cables)</t>
        </is>
      </c>
      <c r="E5035" s="12" t="inlineStr">
        <is>
          <t>SC-1</t>
        </is>
      </c>
      <c r="F5035" s="12" t="inlineStr">
        <is>
          <t>SC-1: aeroderivative simple-cycle unit (LM6000 class)</t>
        </is>
      </c>
      <c r="G5035" s="12" t="inlineStr">
        <is>
          <t>JB-SC-1-AI05</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5" t="n">
        <v>99</v>
      </c>
      <c r="U5035" s="15" t="n">
        <v>10</v>
      </c>
      <c r="V5035" s="15">
        <f>ROUNDUP((T5035+U5035+2*'Read Me'!$B$13)*(1+'Read Me'!$B$12),-1)</f>
        <v/>
      </c>
      <c r="W5035" s="15">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I-I-0433</t>
        </is>
      </c>
      <c r="B5036" s="12" t="inlineStr">
        <is>
          <t>I</t>
        </is>
      </c>
      <c r="C5036" s="12" t="inlineStr">
        <is>
          <t>Modular / portable power</t>
        </is>
      </c>
      <c r="D5036" s="12" t="inlineStr">
        <is>
          <t>Home run JB-SC-1-AI05 to the control / marshalling room</t>
        </is>
      </c>
      <c r="E5036" s="12" t="inlineStr"/>
      <c r="F5036" s="12" t="inlineStr">
        <is>
          <t>SC-1 PCM + 15 kV GCB</t>
        </is>
      </c>
      <c r="G5036" s="12" t="inlineStr">
        <is>
          <t>JB-SC-1-AI05</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Tray</t>
        </is>
      </c>
      <c r="T5036" s="15" t="n">
        <v>5</v>
      </c>
      <c r="U5036" s="15" t="n">
        <v>62</v>
      </c>
      <c r="V5036" s="15">
        <f>ROUNDUP((T5036+U5036+2*'Read Me'!$B$13)*(1+'Read Me'!$B$12),-1)</f>
        <v/>
      </c>
      <c r="W5036" s="15">
        <f>V5036*N5036*O5036</f>
        <v/>
      </c>
      <c r="X5036" s="12">
        <f>IF(LEFT(I5036,2)="MV",2*N5036*IF(L5036="1/C",O5036,1),0)</f>
        <v/>
      </c>
      <c r="Y5036" s="12">
        <f>IF(OR(LEFT(K5036,4)="LVAX",LEFT(K5036,6)="MV15AX",LEFT(K5036,4)="CTAX",LEFT(K5036,2)="W|"),2*N5036*O5036,0)</f>
        <v/>
      </c>
      <c r="Z5036" s="12" t="inlineStr"/>
      <c r="AA5036" s="12">
        <f>N5036*O5036</f>
        <v/>
      </c>
    </row>
    <row r="5037">
      <c r="A5037" s="12" t="inlineStr">
        <is>
          <t>I-I-0434</t>
        </is>
      </c>
      <c r="B5037" s="12" t="inlineStr">
        <is>
          <t>I</t>
        </is>
      </c>
      <c r="C5037" s="12" t="inlineStr">
        <is>
          <t>Modular / portable power</t>
        </is>
      </c>
      <c r="D5037" s="12" t="inlineStr">
        <is>
          <t>Analog instrument to JB JB-SC-1-AI06: 20 x 1 pr (field cables)</t>
        </is>
      </c>
      <c r="E5037" s="12" t="inlineStr">
        <is>
          <t>SC-1</t>
        </is>
      </c>
      <c r="F5037" s="12" t="inlineStr">
        <is>
          <t>SC-1: aeroderivative simple-cycle unit (LM6000 class)</t>
        </is>
      </c>
      <c r="G5037" s="12" t="inlineStr">
        <is>
          <t>JB-SC-1-AI06</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PLTC|1 pr|16</t>
        </is>
      </c>
      <c r="L5037" s="12" t="inlineStr">
        <is>
          <t>1 pr</t>
        </is>
      </c>
      <c r="M5037" s="12" t="inlineStr">
        <is>
          <t>16</t>
        </is>
      </c>
      <c r="N5037" s="12" t="n">
        <v>20</v>
      </c>
      <c r="O5037" s="12" t="n">
        <v>1</v>
      </c>
      <c r="P5037" s="12" t="n"/>
      <c r="Q5037" s="12" t="n"/>
      <c r="R5037" s="12" t="n"/>
      <c r="S5037" s="12" t="inlineStr">
        <is>
          <t>Tray / conduit</t>
        </is>
      </c>
      <c r="T5037" s="15" t="n">
        <v>99</v>
      </c>
      <c r="U5037" s="15" t="n">
        <v>10</v>
      </c>
      <c r="V5037" s="15">
        <f>ROUNDUP((T5037+U5037+2*'Read Me'!$B$13)*(1+'Read Me'!$B$12),-1)</f>
        <v/>
      </c>
      <c r="W5037" s="15">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I-I-0435</t>
        </is>
      </c>
      <c r="B5038" s="12" t="inlineStr">
        <is>
          <t>I</t>
        </is>
      </c>
      <c r="C5038" s="12" t="inlineStr">
        <is>
          <t>Modular / portable power</t>
        </is>
      </c>
      <c r="D5038" s="12" t="inlineStr">
        <is>
          <t>Home run JB-SC-1-AI06 to the control / marshalling room</t>
        </is>
      </c>
      <c r="E5038" s="12" t="inlineStr"/>
      <c r="F5038" s="12" t="inlineStr">
        <is>
          <t>SC-1 PCM + 15 kV GCB</t>
        </is>
      </c>
      <c r="G5038" s="12" t="inlineStr">
        <is>
          <t>JB-SC-1-AI06</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PLTC|24 pr|18</t>
        </is>
      </c>
      <c r="L5038" s="12" t="inlineStr">
        <is>
          <t>24 pr</t>
        </is>
      </c>
      <c r="M5038" s="12" t="inlineStr">
        <is>
          <t>18</t>
        </is>
      </c>
      <c r="N5038" s="12" t="n">
        <v>1</v>
      </c>
      <c r="O5038" s="12" t="n">
        <v>1</v>
      </c>
      <c r="P5038" s="12" t="n"/>
      <c r="Q5038" s="12" t="n"/>
      <c r="R5038" s="12" t="n"/>
      <c r="S5038" s="12" t="inlineStr">
        <is>
          <t>Tray</t>
        </is>
      </c>
      <c r="T5038" s="15" t="n">
        <v>5</v>
      </c>
      <c r="U5038" s="15" t="n">
        <v>62</v>
      </c>
      <c r="V5038" s="15">
        <f>ROUNDUP((T5038+U5038+2*'Read Me'!$B$13)*(1+'Read Me'!$B$12),-1)</f>
        <v/>
      </c>
      <c r="W5038" s="15">
        <f>V5038*N5038*O5038</f>
        <v/>
      </c>
      <c r="X5038" s="12">
        <f>IF(LEFT(I5038,2)="MV",2*N5038*IF(L5038="1/C",O5038,1),0)</f>
        <v/>
      </c>
      <c r="Y5038" s="12">
        <f>IF(OR(LEFT(K5038,4)="LVAX",LEFT(K5038,6)="MV15AX",LEFT(K5038,4)="CTAX",LEFT(K5038,2)="W|"),2*N5038*O5038,0)</f>
        <v/>
      </c>
      <c r="Z5038" s="12" t="inlineStr"/>
      <c r="AA5038" s="12">
        <f>N5038*O5038</f>
        <v/>
      </c>
    </row>
    <row r="5039">
      <c r="A5039" s="12" t="inlineStr">
        <is>
          <t>I-I-0436</t>
        </is>
      </c>
      <c r="B5039" s="12" t="inlineStr">
        <is>
          <t>I</t>
        </is>
      </c>
      <c r="C5039" s="12" t="inlineStr">
        <is>
          <t>Modular / portable power</t>
        </is>
      </c>
      <c r="D5039" s="12" t="inlineStr">
        <is>
          <t>Analog instrument to JB JB-SC-1-AI07: 20 x 1 pr (field cables)</t>
        </is>
      </c>
      <c r="E5039" s="12" t="inlineStr">
        <is>
          <t>SC-1</t>
        </is>
      </c>
      <c r="F5039" s="12" t="inlineStr">
        <is>
          <t>SC-1: aeroderivative simple-cycle unit (LM6000 class)</t>
        </is>
      </c>
      <c r="G5039" s="12" t="inlineStr">
        <is>
          <t>JB-SC-1-AI07</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20</v>
      </c>
      <c r="O5039" s="12" t="n">
        <v>1</v>
      </c>
      <c r="P5039" s="12" t="n"/>
      <c r="Q5039" s="12" t="n"/>
      <c r="R5039" s="12" t="n"/>
      <c r="S5039" s="12" t="inlineStr">
        <is>
          <t>Tray / conduit</t>
        </is>
      </c>
      <c r="T5039" s="15" t="n">
        <v>99</v>
      </c>
      <c r="U5039" s="15" t="n">
        <v>10</v>
      </c>
      <c r="V5039" s="15">
        <f>ROUNDUP((T5039+U5039+2*'Read Me'!$B$13)*(1+'Read Me'!$B$12),-1)</f>
        <v/>
      </c>
      <c r="W5039" s="15">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I-I-0437</t>
        </is>
      </c>
      <c r="B5040" s="12" t="inlineStr">
        <is>
          <t>I</t>
        </is>
      </c>
      <c r="C5040" s="12" t="inlineStr">
        <is>
          <t>Modular / portable power</t>
        </is>
      </c>
      <c r="D5040" s="12" t="inlineStr">
        <is>
          <t>Home run JB-SC-1-AI07 to the control / marshalling room</t>
        </is>
      </c>
      <c r="E5040" s="12" t="inlineStr"/>
      <c r="F5040" s="12" t="inlineStr">
        <is>
          <t>SC-1 PCM + 15 kV GCB</t>
        </is>
      </c>
      <c r="G5040" s="12" t="inlineStr">
        <is>
          <t>JB-SC-1-AI07</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5" t="n">
        <v>5</v>
      </c>
      <c r="U5040" s="15" t="n">
        <v>62</v>
      </c>
      <c r="V5040" s="15">
        <f>ROUNDUP((T5040+U5040+2*'Read Me'!$B$13)*(1+'Read Me'!$B$12),-1)</f>
        <v/>
      </c>
      <c r="W5040" s="15">
        <f>V5040*N5040*O5040</f>
        <v/>
      </c>
      <c r="X5040" s="12">
        <f>IF(LEFT(I5040,2)="MV",2*N5040*IF(L5040="1/C",O5040,1),0)</f>
        <v/>
      </c>
      <c r="Y5040" s="12">
        <f>IF(OR(LEFT(K5040,4)="LVAX",LEFT(K5040,6)="MV15AX",LEFT(K5040,4)="CTAX",LEFT(K5040,2)="W|"),2*N5040*O5040,0)</f>
        <v/>
      </c>
      <c r="Z5040" s="12" t="inlineStr"/>
      <c r="AA5040" s="12">
        <f>N5040*O5040</f>
        <v/>
      </c>
    </row>
    <row r="5041">
      <c r="A5041" s="12" t="inlineStr">
        <is>
          <t>I-I-0438</t>
        </is>
      </c>
      <c r="B5041" s="12" t="inlineStr">
        <is>
          <t>I</t>
        </is>
      </c>
      <c r="C5041" s="12" t="inlineStr">
        <is>
          <t>Modular / portable power</t>
        </is>
      </c>
      <c r="D5041" s="12" t="inlineStr">
        <is>
          <t>Analog instrument to JB JB-SC-1-AI08: 10 x 1 pr (field cables)</t>
        </is>
      </c>
      <c r="E5041" s="12" t="inlineStr">
        <is>
          <t>SC-1</t>
        </is>
      </c>
      <c r="F5041" s="12" t="inlineStr">
        <is>
          <t>SC-1: aeroderivative simple-cycle unit (LM6000 class)</t>
        </is>
      </c>
      <c r="G5041" s="12" t="inlineStr">
        <is>
          <t>JB-SC-1-AI08</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5" t="n">
        <v>99</v>
      </c>
      <c r="U5041" s="15" t="n">
        <v>10</v>
      </c>
      <c r="V5041" s="15">
        <f>ROUNDUP((T5041+U5041+2*'Read Me'!$B$13)*(1+'Read Me'!$B$12),-1)</f>
        <v/>
      </c>
      <c r="W5041" s="15">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I-I-0439</t>
        </is>
      </c>
      <c r="B5042" s="12" t="inlineStr">
        <is>
          <t>I</t>
        </is>
      </c>
      <c r="C5042" s="12" t="inlineStr">
        <is>
          <t>Modular / portable power</t>
        </is>
      </c>
      <c r="D5042" s="12" t="inlineStr">
        <is>
          <t>Home run JB-SC-1-AI08 to the control / marshalling room</t>
        </is>
      </c>
      <c r="E5042" s="12" t="inlineStr"/>
      <c r="F5042" s="12" t="inlineStr">
        <is>
          <t>SC-1 PCM + 15 kV GCB</t>
        </is>
      </c>
      <c r="G5042" s="12" t="inlineStr">
        <is>
          <t>JB-SC-1-AI08</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5" t="n">
        <v>5</v>
      </c>
      <c r="U5042" s="15" t="n">
        <v>62</v>
      </c>
      <c r="V5042" s="15">
        <f>ROUNDUP((T5042+U5042+2*'Read Me'!$B$13)*(1+'Read Me'!$B$12),-1)</f>
        <v/>
      </c>
      <c r="W5042" s="15">
        <f>V5042*N5042*O5042</f>
        <v/>
      </c>
      <c r="X5042" s="12">
        <f>IF(LEFT(I5042,2)="MV",2*N5042*IF(L5042="1/C",O5042,1),0)</f>
        <v/>
      </c>
      <c r="Y5042" s="12">
        <f>IF(OR(LEFT(K5042,4)="LVAX",LEFT(K5042,6)="MV15AX",LEFT(K5042,4)="CTAX",LEFT(K5042,2)="W|"),2*N5042*O5042,0)</f>
        <v/>
      </c>
      <c r="Z5042" s="12" t="inlineStr"/>
      <c r="AA5042" s="12">
        <f>N5042*O5042</f>
        <v/>
      </c>
    </row>
    <row r="5043">
      <c r="A5043" s="12" t="inlineStr">
        <is>
          <t>I-I-0440</t>
        </is>
      </c>
      <c r="B5043" s="12" t="inlineStr">
        <is>
          <t>I</t>
        </is>
      </c>
      <c r="C5043" s="12" t="inlineStr">
        <is>
          <t>Modular / portable power</t>
        </is>
      </c>
      <c r="D5043" s="12" t="inlineStr">
        <is>
          <t>Discrete device to JB JB-SC-1-DI01: 20 x 1 pr (field cables)</t>
        </is>
      </c>
      <c r="E5043" s="12" t="inlineStr">
        <is>
          <t>SC-1</t>
        </is>
      </c>
      <c r="F5043" s="12" t="inlineStr">
        <is>
          <t>SC-1: aeroderivative simple-cycle unit (LM6000 class)</t>
        </is>
      </c>
      <c r="G5043" s="12" t="inlineStr">
        <is>
          <t>JB-SC-1-DI01</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PLTC|1 pr|16</t>
        </is>
      </c>
      <c r="L5043" s="12" t="inlineStr">
        <is>
          <t>1 pr</t>
        </is>
      </c>
      <c r="M5043" s="12" t="inlineStr">
        <is>
          <t>16</t>
        </is>
      </c>
      <c r="N5043" s="12" t="n">
        <v>20</v>
      </c>
      <c r="O5043" s="12" t="n">
        <v>1</v>
      </c>
      <c r="P5043" s="12" t="n"/>
      <c r="Q5043" s="12" t="n"/>
      <c r="R5043" s="12" t="n"/>
      <c r="S5043" s="12" t="inlineStr">
        <is>
          <t>Tray / conduit</t>
        </is>
      </c>
      <c r="T5043" s="15" t="n">
        <v>99</v>
      </c>
      <c r="U5043" s="15" t="n">
        <v>10</v>
      </c>
      <c r="V5043" s="15">
        <f>ROUNDUP((T5043+U5043+2*'Read Me'!$B$13)*(1+'Read Me'!$B$12),-1)</f>
        <v/>
      </c>
      <c r="W5043" s="15">
        <f>V5043*N5043*O5043</f>
        <v/>
      </c>
      <c r="X5043" s="12">
        <f>IF(LEFT(I5043,2)="MV",2*N5043*IF(L5043="1/C",O5043,1),0)</f>
        <v/>
      </c>
      <c r="Y5043" s="12">
        <f>IF(OR(LEFT(K5043,4)="LVAX",LEFT(K5043,6)="MV15AX",LEFT(K5043,4)="CTAX",LEFT(K5043,2)="W|"),2*N5043*O5043,0)</f>
        <v/>
      </c>
      <c r="Z5043" s="12" t="inlineStr">
        <is>
          <t>device-to-JB field wiring, one cable per device</t>
        </is>
      </c>
      <c r="AA5043" s="12">
        <f>N5043*O5043</f>
        <v/>
      </c>
    </row>
    <row r="5044">
      <c r="A5044" s="12" t="inlineStr">
        <is>
          <t>I-I-0441</t>
        </is>
      </c>
      <c r="B5044" s="12" t="inlineStr">
        <is>
          <t>I</t>
        </is>
      </c>
      <c r="C5044" s="12" t="inlineStr">
        <is>
          <t>Modular / portable power</t>
        </is>
      </c>
      <c r="D5044" s="12" t="inlineStr">
        <is>
          <t>Home run JB-SC-1-DI01 to the control / marshalling room</t>
        </is>
      </c>
      <c r="E5044" s="12" t="inlineStr"/>
      <c r="F5044" s="12" t="inlineStr">
        <is>
          <t>SC-1 PCM + 15 kV GCB</t>
        </is>
      </c>
      <c r="G5044" s="12" t="inlineStr">
        <is>
          <t>JB-SC-1-DI01</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PLTC|24 pr|18</t>
        </is>
      </c>
      <c r="L5044" s="12" t="inlineStr">
        <is>
          <t>24 pr</t>
        </is>
      </c>
      <c r="M5044" s="12" t="inlineStr">
        <is>
          <t>18</t>
        </is>
      </c>
      <c r="N5044" s="12" t="n">
        <v>1</v>
      </c>
      <c r="O5044" s="12" t="n">
        <v>1</v>
      </c>
      <c r="P5044" s="12" t="n"/>
      <c r="Q5044" s="12" t="n"/>
      <c r="R5044" s="12" t="n"/>
      <c r="S5044" s="12" t="inlineStr">
        <is>
          <t>Tray</t>
        </is>
      </c>
      <c r="T5044" s="15" t="n">
        <v>5</v>
      </c>
      <c r="U5044" s="15" t="n">
        <v>62</v>
      </c>
      <c r="V5044" s="15">
        <f>ROUNDUP((T5044+U5044+2*'Read Me'!$B$13)*(1+'Read Me'!$B$12),-1)</f>
        <v/>
      </c>
      <c r="W5044" s="15">
        <f>V5044*N5044*O5044</f>
        <v/>
      </c>
      <c r="X5044" s="12">
        <f>IF(LEFT(I5044,2)="MV",2*N5044*IF(L5044="1/C",O5044,1),0)</f>
        <v/>
      </c>
      <c r="Y5044" s="12">
        <f>IF(OR(LEFT(K5044,4)="LVAX",LEFT(K5044,6)="MV15AX",LEFT(K5044,4)="CTAX",LEFT(K5044,2)="W|"),2*N5044*O5044,0)</f>
        <v/>
      </c>
      <c r="Z5044" s="12" t="inlineStr"/>
      <c r="AA5044" s="12">
        <f>N5044*O5044</f>
        <v/>
      </c>
    </row>
    <row r="5045">
      <c r="A5045" s="12" t="inlineStr">
        <is>
          <t>I-I-0442</t>
        </is>
      </c>
      <c r="B5045" s="12" t="inlineStr">
        <is>
          <t>I</t>
        </is>
      </c>
      <c r="C5045" s="12" t="inlineStr">
        <is>
          <t>Modular / portable power</t>
        </is>
      </c>
      <c r="D5045" s="12" t="inlineStr">
        <is>
          <t>Discrete device to JB JB-SC-1-DI02: 20 x 1 pr (field cables)</t>
        </is>
      </c>
      <c r="E5045" s="12" t="inlineStr">
        <is>
          <t>SC-1</t>
        </is>
      </c>
      <c r="F5045" s="12" t="inlineStr">
        <is>
          <t>SC-1: aeroderivative simple-cycle unit (LM6000 class)</t>
        </is>
      </c>
      <c r="G5045" s="12" t="inlineStr">
        <is>
          <t>JB-SC-1-DI02</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PLTC|1 pr|16</t>
        </is>
      </c>
      <c r="L5045" s="12" t="inlineStr">
        <is>
          <t>1 pr</t>
        </is>
      </c>
      <c r="M5045" s="12" t="inlineStr">
        <is>
          <t>16</t>
        </is>
      </c>
      <c r="N5045" s="12" t="n">
        <v>20</v>
      </c>
      <c r="O5045" s="12" t="n">
        <v>1</v>
      </c>
      <c r="P5045" s="12" t="n"/>
      <c r="Q5045" s="12" t="n"/>
      <c r="R5045" s="12" t="n"/>
      <c r="S5045" s="12" t="inlineStr">
        <is>
          <t>Tray / conduit</t>
        </is>
      </c>
      <c r="T5045" s="15" t="n">
        <v>99</v>
      </c>
      <c r="U5045" s="15" t="n">
        <v>10</v>
      </c>
      <c r="V5045" s="15">
        <f>ROUNDUP((T5045+U5045+2*'Read Me'!$B$13)*(1+'Read Me'!$B$12),-1)</f>
        <v/>
      </c>
      <c r="W5045" s="15">
        <f>V5045*N5045*O5045</f>
        <v/>
      </c>
      <c r="X5045" s="12">
        <f>IF(LEFT(I5045,2)="MV",2*N5045*IF(L5045="1/C",O5045,1),0)</f>
        <v/>
      </c>
      <c r="Y5045" s="12">
        <f>IF(OR(LEFT(K5045,4)="LVAX",LEFT(K5045,6)="MV15AX",LEFT(K5045,4)="CTAX",LEFT(K5045,2)="W|"),2*N5045*O5045,0)</f>
        <v/>
      </c>
      <c r="Z5045" s="12" t="inlineStr">
        <is>
          <t>device-to-JB field wiring, one cable per device</t>
        </is>
      </c>
      <c r="AA5045" s="12">
        <f>N5045*O5045</f>
        <v/>
      </c>
    </row>
    <row r="5046">
      <c r="A5046" s="12" t="inlineStr">
        <is>
          <t>I-I-0443</t>
        </is>
      </c>
      <c r="B5046" s="12" t="inlineStr">
        <is>
          <t>I</t>
        </is>
      </c>
      <c r="C5046" s="12" t="inlineStr">
        <is>
          <t>Modular / portable power</t>
        </is>
      </c>
      <c r="D5046" s="12" t="inlineStr">
        <is>
          <t>Home run JB-SC-1-DI02 to the control / marshalling room</t>
        </is>
      </c>
      <c r="E5046" s="12" t="inlineStr"/>
      <c r="F5046" s="12" t="inlineStr">
        <is>
          <t>SC-1 PCM + 15 kV GCB</t>
        </is>
      </c>
      <c r="G5046" s="12" t="inlineStr">
        <is>
          <t>JB-SC-1-DI02</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PLTC|24 pr|18</t>
        </is>
      </c>
      <c r="L5046" s="12" t="inlineStr">
        <is>
          <t>24 pr</t>
        </is>
      </c>
      <c r="M5046" s="12" t="inlineStr">
        <is>
          <t>18</t>
        </is>
      </c>
      <c r="N5046" s="12" t="n">
        <v>1</v>
      </c>
      <c r="O5046" s="12" t="n">
        <v>1</v>
      </c>
      <c r="P5046" s="12" t="n"/>
      <c r="Q5046" s="12" t="n"/>
      <c r="R5046" s="12" t="n"/>
      <c r="S5046" s="12" t="inlineStr">
        <is>
          <t>Tray</t>
        </is>
      </c>
      <c r="T5046" s="15" t="n">
        <v>5</v>
      </c>
      <c r="U5046" s="15" t="n">
        <v>62</v>
      </c>
      <c r="V5046" s="15">
        <f>ROUNDUP((T5046+U5046+2*'Read Me'!$B$13)*(1+'Read Me'!$B$12),-1)</f>
        <v/>
      </c>
      <c r="W5046" s="15">
        <f>V5046*N5046*O5046</f>
        <v/>
      </c>
      <c r="X5046" s="12">
        <f>IF(LEFT(I5046,2)="MV",2*N5046*IF(L5046="1/C",O5046,1),0)</f>
        <v/>
      </c>
      <c r="Y5046" s="12">
        <f>IF(OR(LEFT(K5046,4)="LVAX",LEFT(K5046,6)="MV15AX",LEFT(K5046,4)="CTAX",LEFT(K5046,2)="W|"),2*N5046*O5046,0)</f>
        <v/>
      </c>
      <c r="Z5046" s="12" t="inlineStr"/>
      <c r="AA5046" s="12">
        <f>N5046*O5046</f>
        <v/>
      </c>
    </row>
    <row r="5047">
      <c r="A5047" s="12" t="inlineStr">
        <is>
          <t>I-I-0444</t>
        </is>
      </c>
      <c r="B5047" s="12" t="inlineStr">
        <is>
          <t>I</t>
        </is>
      </c>
      <c r="C5047" s="12" t="inlineStr">
        <is>
          <t>Modular / portable power</t>
        </is>
      </c>
      <c r="D5047" s="12" t="inlineStr">
        <is>
          <t>Discrete device to JB JB-SC-1-DI03: 20 x 1 pr (field cables)</t>
        </is>
      </c>
      <c r="E5047" s="12" t="inlineStr">
        <is>
          <t>SC-1</t>
        </is>
      </c>
      <c r="F5047" s="12" t="inlineStr">
        <is>
          <t>SC-1: aeroderivative simple-cycle unit (LM6000 class)</t>
        </is>
      </c>
      <c r="G5047" s="12" t="inlineStr">
        <is>
          <t>JB-SC-1-DI03</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PLTC|1 pr|16</t>
        </is>
      </c>
      <c r="L5047" s="12" t="inlineStr">
        <is>
          <t>1 pr</t>
        </is>
      </c>
      <c r="M5047" s="12" t="inlineStr">
        <is>
          <t>16</t>
        </is>
      </c>
      <c r="N5047" s="12" t="n">
        <v>20</v>
      </c>
      <c r="O5047" s="12" t="n">
        <v>1</v>
      </c>
      <c r="P5047" s="12" t="n"/>
      <c r="Q5047" s="12" t="n"/>
      <c r="R5047" s="12" t="n"/>
      <c r="S5047" s="12" t="inlineStr">
        <is>
          <t>Tray / conduit</t>
        </is>
      </c>
      <c r="T5047" s="15" t="n">
        <v>99</v>
      </c>
      <c r="U5047" s="15" t="n">
        <v>10</v>
      </c>
      <c r="V5047" s="15">
        <f>ROUNDUP((T5047+U5047+2*'Read Me'!$B$13)*(1+'Read Me'!$B$12),-1)</f>
        <v/>
      </c>
      <c r="W5047" s="15">
        <f>V5047*N5047*O5047</f>
        <v/>
      </c>
      <c r="X5047" s="12">
        <f>IF(LEFT(I5047,2)="MV",2*N5047*IF(L5047="1/C",O5047,1),0)</f>
        <v/>
      </c>
      <c r="Y5047" s="12">
        <f>IF(OR(LEFT(K5047,4)="LVAX",LEFT(K5047,6)="MV15AX",LEFT(K5047,4)="CTAX",LEFT(K5047,2)="W|"),2*N5047*O5047,0)</f>
        <v/>
      </c>
      <c r="Z5047" s="12" t="inlineStr">
        <is>
          <t>device-to-JB field wiring, one cable per device</t>
        </is>
      </c>
      <c r="AA5047" s="12">
        <f>N5047*O5047</f>
        <v/>
      </c>
    </row>
    <row r="5048">
      <c r="A5048" s="12" t="inlineStr">
        <is>
          <t>I-I-0445</t>
        </is>
      </c>
      <c r="B5048" s="12" t="inlineStr">
        <is>
          <t>I</t>
        </is>
      </c>
      <c r="C5048" s="12" t="inlineStr">
        <is>
          <t>Modular / portable power</t>
        </is>
      </c>
      <c r="D5048" s="12" t="inlineStr">
        <is>
          <t>Home run JB-SC-1-DI03 to the control / marshalling room</t>
        </is>
      </c>
      <c r="E5048" s="12" t="inlineStr"/>
      <c r="F5048" s="12" t="inlineStr">
        <is>
          <t>SC-1 PCM + 15 kV GCB</t>
        </is>
      </c>
      <c r="G5048" s="12" t="inlineStr">
        <is>
          <t>JB-SC-1-DI03</t>
        </is>
      </c>
      <c r="H5048" s="12" t="inlineStr">
        <is>
          <t>SC-1: aeroderivative simple-cycle unit (LM6000 class)</t>
        </is>
      </c>
      <c r="I5048" s="12" t="inlineStr">
        <is>
          <t>Instrumentation</t>
        </is>
      </c>
      <c r="J5048" s="12" t="inlineStr">
        <is>
          <t>Instrumentation PLTC / TC-ER 300 V, #18 twisted shielded pairs, overall shield</t>
        </is>
      </c>
      <c r="K5048" s="12" t="inlineStr">
        <is>
          <t>PLTC|24 pr|18</t>
        </is>
      </c>
      <c r="L5048" s="12" t="inlineStr">
        <is>
          <t>24 pr</t>
        </is>
      </c>
      <c r="M5048" s="12" t="inlineStr">
        <is>
          <t>18</t>
        </is>
      </c>
      <c r="N5048" s="12" t="n">
        <v>1</v>
      </c>
      <c r="O5048" s="12" t="n">
        <v>1</v>
      </c>
      <c r="P5048" s="12" t="n"/>
      <c r="Q5048" s="12" t="n"/>
      <c r="R5048" s="12" t="n"/>
      <c r="S5048" s="12" t="inlineStr">
        <is>
          <t>Tray</t>
        </is>
      </c>
      <c r="T5048" s="15" t="n">
        <v>5</v>
      </c>
      <c r="U5048" s="15" t="n">
        <v>62</v>
      </c>
      <c r="V5048" s="15">
        <f>ROUNDUP((T5048+U5048+2*'Read Me'!$B$13)*(1+'Read Me'!$B$12),-1)</f>
        <v/>
      </c>
      <c r="W5048" s="15">
        <f>V5048*N5048*O5048</f>
        <v/>
      </c>
      <c r="X5048" s="12">
        <f>IF(LEFT(I5048,2)="MV",2*N5048*IF(L5048="1/C",O5048,1),0)</f>
        <v/>
      </c>
      <c r="Y5048" s="12">
        <f>IF(OR(LEFT(K5048,4)="LVAX",LEFT(K5048,6)="MV15AX",LEFT(K5048,4)="CTAX",LEFT(K5048,2)="W|"),2*N5048*O5048,0)</f>
        <v/>
      </c>
      <c r="Z5048" s="12" t="inlineStr"/>
      <c r="AA5048" s="12">
        <f>N5048*O5048</f>
        <v/>
      </c>
    </row>
    <row r="5049">
      <c r="A5049" s="12" t="inlineStr">
        <is>
          <t>I-I-0446</t>
        </is>
      </c>
      <c r="B5049" s="12" t="inlineStr">
        <is>
          <t>I</t>
        </is>
      </c>
      <c r="C5049" s="12" t="inlineStr">
        <is>
          <t>Modular / portable power</t>
        </is>
      </c>
      <c r="D5049" s="12" t="inlineStr">
        <is>
          <t>Discrete device to JB JB-SC-1-DI04: 20 x 1 pr (field cables)</t>
        </is>
      </c>
      <c r="E5049" s="12" t="inlineStr">
        <is>
          <t>SC-1</t>
        </is>
      </c>
      <c r="F5049" s="12" t="inlineStr">
        <is>
          <t>SC-1: aeroderivative simple-cycle unit (LM6000 class)</t>
        </is>
      </c>
      <c r="G5049" s="12" t="inlineStr">
        <is>
          <t>JB-SC-1-DI04</t>
        </is>
      </c>
      <c r="H5049" s="12" t="inlineStr">
        <is>
          <t>SC-1: aeroderivative simple-cycle unit (LM6000 class)</t>
        </is>
      </c>
      <c r="I5049" s="12" t="inlineStr">
        <is>
          <t>Instrumentation</t>
        </is>
      </c>
      <c r="J5049" s="12" t="inlineStr">
        <is>
          <t>Instrumentation PLTC / TC-ER 300 V, #18 twisted shielded pairs, overall shield</t>
        </is>
      </c>
      <c r="K5049" s="12" t="inlineStr">
        <is>
          <t>PLTC|1 pr|16</t>
        </is>
      </c>
      <c r="L5049" s="12" t="inlineStr">
        <is>
          <t>1 pr</t>
        </is>
      </c>
      <c r="M5049" s="12" t="inlineStr">
        <is>
          <t>16</t>
        </is>
      </c>
      <c r="N5049" s="12" t="n">
        <v>20</v>
      </c>
      <c r="O5049" s="12" t="n">
        <v>1</v>
      </c>
      <c r="P5049" s="12" t="n"/>
      <c r="Q5049" s="12" t="n"/>
      <c r="R5049" s="12" t="n"/>
      <c r="S5049" s="12" t="inlineStr">
        <is>
          <t>Tray / conduit</t>
        </is>
      </c>
      <c r="T5049" s="15" t="n">
        <v>99</v>
      </c>
      <c r="U5049" s="15" t="n">
        <v>10</v>
      </c>
      <c r="V5049" s="15">
        <f>ROUNDUP((T5049+U5049+2*'Read Me'!$B$13)*(1+'Read Me'!$B$12),-1)</f>
        <v/>
      </c>
      <c r="W5049" s="15">
        <f>V5049*N5049*O5049</f>
        <v/>
      </c>
      <c r="X5049" s="12">
        <f>IF(LEFT(I5049,2)="MV",2*N5049*IF(L5049="1/C",O5049,1),0)</f>
        <v/>
      </c>
      <c r="Y5049" s="12">
        <f>IF(OR(LEFT(K5049,4)="LVAX",LEFT(K5049,6)="MV15AX",LEFT(K5049,4)="CTAX",LEFT(K5049,2)="W|"),2*N5049*O5049,0)</f>
        <v/>
      </c>
      <c r="Z5049" s="12" t="inlineStr">
        <is>
          <t>device-to-JB field wiring, one cable per device</t>
        </is>
      </c>
      <c r="AA5049" s="12">
        <f>N5049*O5049</f>
        <v/>
      </c>
    </row>
    <row r="5050">
      <c r="A5050" s="12" t="inlineStr">
        <is>
          <t>I-I-0447</t>
        </is>
      </c>
      <c r="B5050" s="12" t="inlineStr">
        <is>
          <t>I</t>
        </is>
      </c>
      <c r="C5050" s="12" t="inlineStr">
        <is>
          <t>Modular / portable power</t>
        </is>
      </c>
      <c r="D5050" s="12" t="inlineStr">
        <is>
          <t>Home run JB-SC-1-DI04 to the control / marshalling room</t>
        </is>
      </c>
      <c r="E5050" s="12" t="inlineStr"/>
      <c r="F5050" s="12" t="inlineStr">
        <is>
          <t>SC-1 PCM + 15 kV GCB</t>
        </is>
      </c>
      <c r="G5050" s="12" t="inlineStr">
        <is>
          <t>JB-SC-1-DI04</t>
        </is>
      </c>
      <c r="H5050" s="12" t="inlineStr">
        <is>
          <t>SC-1: aeroderivative simple-cycle unit (LM6000 class)</t>
        </is>
      </c>
      <c r="I5050" s="12" t="inlineStr">
        <is>
          <t>Instrumentation</t>
        </is>
      </c>
      <c r="J5050" s="12" t="inlineStr">
        <is>
          <t>Instrumentation PLTC / TC-ER 300 V, #18 twisted shielded pairs, overall shield</t>
        </is>
      </c>
      <c r="K5050" s="12" t="inlineStr">
        <is>
          <t>PLTC|24 pr|18</t>
        </is>
      </c>
      <c r="L5050" s="12" t="inlineStr">
        <is>
          <t>24 pr</t>
        </is>
      </c>
      <c r="M5050" s="12" t="inlineStr">
        <is>
          <t>18</t>
        </is>
      </c>
      <c r="N5050" s="12" t="n">
        <v>1</v>
      </c>
      <c r="O5050" s="12" t="n">
        <v>1</v>
      </c>
      <c r="P5050" s="12" t="n"/>
      <c r="Q5050" s="12" t="n"/>
      <c r="R5050" s="12" t="n"/>
      <c r="S5050" s="12" t="inlineStr">
        <is>
          <t>Tray</t>
        </is>
      </c>
      <c r="T5050" s="15" t="n">
        <v>5</v>
      </c>
      <c r="U5050" s="15" t="n">
        <v>62</v>
      </c>
      <c r="V5050" s="15">
        <f>ROUNDUP((T5050+U5050+2*'Read Me'!$B$13)*(1+'Read Me'!$B$12),-1)</f>
        <v/>
      </c>
      <c r="W5050" s="15">
        <f>V5050*N5050*O5050</f>
        <v/>
      </c>
      <c r="X5050" s="12">
        <f>IF(LEFT(I5050,2)="MV",2*N5050*IF(L5050="1/C",O5050,1),0)</f>
        <v/>
      </c>
      <c r="Y5050" s="12">
        <f>IF(OR(LEFT(K5050,4)="LVAX",LEFT(K5050,6)="MV15AX",LEFT(K5050,4)="CTAX",LEFT(K5050,2)="W|"),2*N5050*O5050,0)</f>
        <v/>
      </c>
      <c r="Z5050" s="12" t="inlineStr"/>
      <c r="AA5050" s="12">
        <f>N5050*O5050</f>
        <v/>
      </c>
    </row>
    <row r="5051">
      <c r="A5051" s="12" t="inlineStr">
        <is>
          <t>I-I-0448</t>
        </is>
      </c>
      <c r="B5051" s="12" t="inlineStr">
        <is>
          <t>I</t>
        </is>
      </c>
      <c r="C5051" s="12" t="inlineStr">
        <is>
          <t>Modular / portable power</t>
        </is>
      </c>
      <c r="D5051" s="12" t="inlineStr">
        <is>
          <t>Discrete device to JB JB-SC-1-DI05: 20 x 1 pr (field cables)</t>
        </is>
      </c>
      <c r="E5051" s="12" t="inlineStr">
        <is>
          <t>SC-1</t>
        </is>
      </c>
      <c r="F5051" s="12" t="inlineStr">
        <is>
          <t>SC-1: aeroderivative simple-cycle unit (LM6000 class)</t>
        </is>
      </c>
      <c r="G5051" s="12" t="inlineStr">
        <is>
          <t>JB-SC-1-DI05</t>
        </is>
      </c>
      <c r="H5051" s="12" t="inlineStr">
        <is>
          <t>SC-1: aeroderivative simple-cycle unit (LM6000 class)</t>
        </is>
      </c>
      <c r="I5051" s="12" t="inlineStr">
        <is>
          <t>Instrumentation</t>
        </is>
      </c>
      <c r="J5051" s="12" t="inlineStr">
        <is>
          <t>Instrumentation PLTC / TC-ER 300 V, #18 twisted shielded pairs, overall shield</t>
        </is>
      </c>
      <c r="K5051" s="12" t="inlineStr">
        <is>
          <t>PLTC|1 pr|16</t>
        </is>
      </c>
      <c r="L5051" s="12" t="inlineStr">
        <is>
          <t>1 pr</t>
        </is>
      </c>
      <c r="M5051" s="12" t="inlineStr">
        <is>
          <t>16</t>
        </is>
      </c>
      <c r="N5051" s="12" t="n">
        <v>20</v>
      </c>
      <c r="O5051" s="12" t="n">
        <v>1</v>
      </c>
      <c r="P5051" s="12" t="n"/>
      <c r="Q5051" s="12" t="n"/>
      <c r="R5051" s="12" t="n"/>
      <c r="S5051" s="12" t="inlineStr">
        <is>
          <t>Tray / conduit</t>
        </is>
      </c>
      <c r="T5051" s="15" t="n">
        <v>99</v>
      </c>
      <c r="U5051" s="15" t="n">
        <v>10</v>
      </c>
      <c r="V5051" s="15">
        <f>ROUNDUP((T5051+U5051+2*'Read Me'!$B$13)*(1+'Read Me'!$B$12),-1)</f>
        <v/>
      </c>
      <c r="W5051" s="15">
        <f>V5051*N5051*O5051</f>
        <v/>
      </c>
      <c r="X5051" s="12">
        <f>IF(LEFT(I5051,2)="MV",2*N5051*IF(L5051="1/C",O5051,1),0)</f>
        <v/>
      </c>
      <c r="Y5051" s="12">
        <f>IF(OR(LEFT(K5051,4)="LVAX",LEFT(K5051,6)="MV15AX",LEFT(K5051,4)="CTAX",LEFT(K5051,2)="W|"),2*N5051*O5051,0)</f>
        <v/>
      </c>
      <c r="Z5051" s="12" t="inlineStr">
        <is>
          <t>device-to-JB field wiring, one cable per device</t>
        </is>
      </c>
      <c r="AA5051" s="12">
        <f>N5051*O5051</f>
        <v/>
      </c>
    </row>
    <row r="5052">
      <c r="A5052" s="12" t="inlineStr">
        <is>
          <t>I-I-0449</t>
        </is>
      </c>
      <c r="B5052" s="12" t="inlineStr">
        <is>
          <t>I</t>
        </is>
      </c>
      <c r="C5052" s="12" t="inlineStr">
        <is>
          <t>Modular / portable power</t>
        </is>
      </c>
      <c r="D5052" s="12" t="inlineStr">
        <is>
          <t>Home run JB-SC-1-DI05 to the control / marshalling room</t>
        </is>
      </c>
      <c r="E5052" s="12" t="inlineStr"/>
      <c r="F5052" s="12" t="inlineStr">
        <is>
          <t>SC-1 PCM + 15 kV GCB</t>
        </is>
      </c>
      <c r="G5052" s="12" t="inlineStr">
        <is>
          <t>JB-SC-1-DI05</t>
        </is>
      </c>
      <c r="H5052" s="12" t="inlineStr">
        <is>
          <t>SC-1: aeroderivative simple-cycle unit (LM6000 class)</t>
        </is>
      </c>
      <c r="I5052" s="12" t="inlineStr">
        <is>
          <t>Instrumentation</t>
        </is>
      </c>
      <c r="J5052" s="12" t="inlineStr">
        <is>
          <t>Instrumentation PLTC / TC-ER 300 V, #18 twisted shielded pairs, overall shield</t>
        </is>
      </c>
      <c r="K5052" s="12" t="inlineStr">
        <is>
          <t>PLTC|24 pr|18</t>
        </is>
      </c>
      <c r="L5052" s="12" t="inlineStr">
        <is>
          <t>24 pr</t>
        </is>
      </c>
      <c r="M5052" s="12" t="inlineStr">
        <is>
          <t>18</t>
        </is>
      </c>
      <c r="N5052" s="12" t="n">
        <v>1</v>
      </c>
      <c r="O5052" s="12" t="n">
        <v>1</v>
      </c>
      <c r="P5052" s="12" t="n"/>
      <c r="Q5052" s="12" t="n"/>
      <c r="R5052" s="12" t="n"/>
      <c r="S5052" s="12" t="inlineStr">
        <is>
          <t>Tray</t>
        </is>
      </c>
      <c r="T5052" s="15" t="n">
        <v>5</v>
      </c>
      <c r="U5052" s="15" t="n">
        <v>62</v>
      </c>
      <c r="V5052" s="15">
        <f>ROUNDUP((T5052+U5052+2*'Read Me'!$B$13)*(1+'Read Me'!$B$12),-1)</f>
        <v/>
      </c>
      <c r="W5052" s="15">
        <f>V5052*N5052*O5052</f>
        <v/>
      </c>
      <c r="X5052" s="12">
        <f>IF(LEFT(I5052,2)="MV",2*N5052*IF(L5052="1/C",O5052,1),0)</f>
        <v/>
      </c>
      <c r="Y5052" s="12">
        <f>IF(OR(LEFT(K5052,4)="LVAX",LEFT(K5052,6)="MV15AX",LEFT(K5052,4)="CTAX",LEFT(K5052,2)="W|"),2*N5052*O5052,0)</f>
        <v/>
      </c>
      <c r="Z5052" s="12" t="inlineStr"/>
      <c r="AA5052" s="12">
        <f>N5052*O5052</f>
        <v/>
      </c>
    </row>
    <row r="5053">
      <c r="A5053" s="12" t="inlineStr">
        <is>
          <t>I-I-0450</t>
        </is>
      </c>
      <c r="B5053" s="12" t="inlineStr">
        <is>
          <t>I</t>
        </is>
      </c>
      <c r="C5053" s="12" t="inlineStr">
        <is>
          <t>Modular / portable power</t>
        </is>
      </c>
      <c r="D5053" s="12" t="inlineStr">
        <is>
          <t>Thermocouple to TC JB JB-SC-1-TC01: 20 x 1 pr (field cables)</t>
        </is>
      </c>
      <c r="E5053" s="12" t="inlineStr">
        <is>
          <t>SC-1</t>
        </is>
      </c>
      <c r="F5053" s="12" t="inlineStr">
        <is>
          <t>SC-1: aeroderivative simple-cycle unit (LM6000 class)</t>
        </is>
      </c>
      <c r="G5053" s="12" t="inlineStr">
        <is>
          <t>JB-SC-1-TC01</t>
        </is>
      </c>
      <c r="H5053" s="12" t="inlineStr">
        <is>
          <t>SC-1: aeroderivative simple-cycle unit (LM6000 class)</t>
        </is>
      </c>
      <c r="I5053" s="12" t="inlineStr">
        <is>
          <t>Instrumentation</t>
        </is>
      </c>
      <c r="J5053" s="12" t="inlineStr">
        <is>
          <t>Thermocouple extension KX, #16 shielded pairs, PLTC</t>
        </is>
      </c>
      <c r="K5053" s="12" t="inlineStr">
        <is>
          <t>TCX|1 pr|16</t>
        </is>
      </c>
      <c r="L5053" s="12" t="inlineStr">
        <is>
          <t>1 pr</t>
        </is>
      </c>
      <c r="M5053" s="12" t="inlineStr">
        <is>
          <t>16</t>
        </is>
      </c>
      <c r="N5053" s="12" t="n">
        <v>20</v>
      </c>
      <c r="O5053" s="12" t="n">
        <v>1</v>
      </c>
      <c r="P5053" s="12" t="n"/>
      <c r="Q5053" s="12" t="n"/>
      <c r="R5053" s="12" t="n"/>
      <c r="S5053" s="12" t="inlineStr">
        <is>
          <t>Tray / conduit</t>
        </is>
      </c>
      <c r="T5053" s="15" t="n">
        <v>99</v>
      </c>
      <c r="U5053" s="15" t="n">
        <v>10</v>
      </c>
      <c r="V5053" s="15">
        <f>ROUNDUP((T5053+U5053+2*'Read Me'!$B$13)*(1+'Read Me'!$B$12),-1)</f>
        <v/>
      </c>
      <c r="W5053" s="15">
        <f>V5053*N5053*O5053</f>
        <v/>
      </c>
      <c r="X5053" s="12">
        <f>IF(LEFT(I5053,2)="MV",2*N5053*IF(L5053="1/C",O5053,1),0)</f>
        <v/>
      </c>
      <c r="Y5053" s="12">
        <f>IF(OR(LEFT(K5053,4)="LVAX",LEFT(K5053,6)="MV15AX",LEFT(K5053,4)="CTAX",LEFT(K5053,2)="W|"),2*N5053*O5053,0)</f>
        <v/>
      </c>
      <c r="Z5053" s="12" t="inlineStr">
        <is>
          <t>device-to-JB field wiring, one cable per device</t>
        </is>
      </c>
      <c r="AA5053" s="12">
        <f>N5053*O5053</f>
        <v/>
      </c>
    </row>
    <row r="5054">
      <c r="A5054" s="12" t="inlineStr">
        <is>
          <t>I-I-0451</t>
        </is>
      </c>
      <c r="B5054" s="12" t="inlineStr">
        <is>
          <t>I</t>
        </is>
      </c>
      <c r="C5054" s="12" t="inlineStr">
        <is>
          <t>Modular / portable power</t>
        </is>
      </c>
      <c r="D5054" s="12" t="inlineStr">
        <is>
          <t>Home run JB-SC-1-TC01 to the control / marshalling room</t>
        </is>
      </c>
      <c r="E5054" s="12" t="inlineStr"/>
      <c r="F5054" s="12" t="inlineStr">
        <is>
          <t>SC-1 PCM + 15 kV GCB</t>
        </is>
      </c>
      <c r="G5054" s="12" t="inlineStr">
        <is>
          <t>JB-SC-1-TC01</t>
        </is>
      </c>
      <c r="H5054" s="12" t="inlineStr">
        <is>
          <t>SC-1: aeroderivative simple-cycle unit (LM6000 class)</t>
        </is>
      </c>
      <c r="I5054" s="12" t="inlineStr">
        <is>
          <t>Instrumentation</t>
        </is>
      </c>
      <c r="J5054" s="12" t="inlineStr">
        <is>
          <t>Thermocouple extension KX, #16 shielded pairs, PLTC</t>
        </is>
      </c>
      <c r="K5054" s="12" t="inlineStr">
        <is>
          <t>TCX|24 pr|16</t>
        </is>
      </c>
      <c r="L5054" s="12" t="inlineStr">
        <is>
          <t>24 pr</t>
        </is>
      </c>
      <c r="M5054" s="12" t="inlineStr">
        <is>
          <t>16</t>
        </is>
      </c>
      <c r="N5054" s="12" t="n">
        <v>1</v>
      </c>
      <c r="O5054" s="12" t="n">
        <v>1</v>
      </c>
      <c r="P5054" s="12" t="n"/>
      <c r="Q5054" s="12" t="n"/>
      <c r="R5054" s="12" t="n"/>
      <c r="S5054" s="12" t="inlineStr">
        <is>
          <t>Tray</t>
        </is>
      </c>
      <c r="T5054" s="15" t="n">
        <v>5</v>
      </c>
      <c r="U5054" s="15" t="n">
        <v>62</v>
      </c>
      <c r="V5054" s="15">
        <f>ROUNDUP((T5054+U5054+2*'Read Me'!$B$13)*(1+'Read Me'!$B$12),-1)</f>
        <v/>
      </c>
      <c r="W5054" s="15">
        <f>V5054*N5054*O5054</f>
        <v/>
      </c>
      <c r="X5054" s="12">
        <f>IF(LEFT(I5054,2)="MV",2*N5054*IF(L5054="1/C",O5054,1),0)</f>
        <v/>
      </c>
      <c r="Y5054" s="12">
        <f>IF(OR(LEFT(K5054,4)="LVAX",LEFT(K5054,6)="MV15AX",LEFT(K5054,4)="CTAX",LEFT(K5054,2)="W|"),2*N5054*O5054,0)</f>
        <v/>
      </c>
      <c r="Z5054" s="12" t="inlineStr"/>
      <c r="AA5054" s="12">
        <f>N5054*O5054</f>
        <v/>
      </c>
    </row>
    <row r="5055">
      <c r="A5055" s="12" t="inlineStr">
        <is>
          <t>I-I-0452</t>
        </is>
      </c>
      <c r="B5055" s="12" t="inlineStr">
        <is>
          <t>I</t>
        </is>
      </c>
      <c r="C5055" s="12" t="inlineStr">
        <is>
          <t>Modular / portable power</t>
        </is>
      </c>
      <c r="D5055" s="12" t="inlineStr">
        <is>
          <t>Thermocouple to TC JB JB-SC-1-TC02: 20 x 1 pr (field cables)</t>
        </is>
      </c>
      <c r="E5055" s="12" t="inlineStr">
        <is>
          <t>SC-1</t>
        </is>
      </c>
      <c r="F5055" s="12" t="inlineStr">
        <is>
          <t>SC-1: aeroderivative simple-cycle unit (LM6000 class)</t>
        </is>
      </c>
      <c r="G5055" s="12" t="inlineStr">
        <is>
          <t>JB-SC-1-TC02</t>
        </is>
      </c>
      <c r="H5055" s="12" t="inlineStr">
        <is>
          <t>SC-1: aeroderivative simple-cycle unit (LM6000 class)</t>
        </is>
      </c>
      <c r="I5055" s="12" t="inlineStr">
        <is>
          <t>Instrumentation</t>
        </is>
      </c>
      <c r="J5055" s="12" t="inlineStr">
        <is>
          <t>Thermocouple extension KX, #16 shielded pairs, PLTC</t>
        </is>
      </c>
      <c r="K5055" s="12" t="inlineStr">
        <is>
          <t>TCX|1 pr|16</t>
        </is>
      </c>
      <c r="L5055" s="12" t="inlineStr">
        <is>
          <t>1 pr</t>
        </is>
      </c>
      <c r="M5055" s="12" t="inlineStr">
        <is>
          <t>16</t>
        </is>
      </c>
      <c r="N5055" s="12" t="n">
        <v>20</v>
      </c>
      <c r="O5055" s="12" t="n">
        <v>1</v>
      </c>
      <c r="P5055" s="12" t="n"/>
      <c r="Q5055" s="12" t="n"/>
      <c r="R5055" s="12" t="n"/>
      <c r="S5055" s="12" t="inlineStr">
        <is>
          <t>Tray / conduit</t>
        </is>
      </c>
      <c r="T5055" s="15" t="n">
        <v>99</v>
      </c>
      <c r="U5055" s="15" t="n">
        <v>10</v>
      </c>
      <c r="V5055" s="15">
        <f>ROUNDUP((T5055+U5055+2*'Read Me'!$B$13)*(1+'Read Me'!$B$12),-1)</f>
        <v/>
      </c>
      <c r="W5055" s="15">
        <f>V5055*N5055*O5055</f>
        <v/>
      </c>
      <c r="X5055" s="12">
        <f>IF(LEFT(I5055,2)="MV",2*N5055*IF(L5055="1/C",O5055,1),0)</f>
        <v/>
      </c>
      <c r="Y5055" s="12">
        <f>IF(OR(LEFT(K5055,4)="LVAX",LEFT(K5055,6)="MV15AX",LEFT(K5055,4)="CTAX",LEFT(K5055,2)="W|"),2*N5055*O5055,0)</f>
        <v/>
      </c>
      <c r="Z5055" s="12" t="inlineStr">
        <is>
          <t>device-to-JB field wiring, one cable per device</t>
        </is>
      </c>
      <c r="AA5055" s="12">
        <f>N5055*O5055</f>
        <v/>
      </c>
    </row>
    <row r="5056">
      <c r="A5056" s="12" t="inlineStr">
        <is>
          <t>I-I-0453</t>
        </is>
      </c>
      <c r="B5056" s="12" t="inlineStr">
        <is>
          <t>I</t>
        </is>
      </c>
      <c r="C5056" s="12" t="inlineStr">
        <is>
          <t>Modular / portable power</t>
        </is>
      </c>
      <c r="D5056" s="12" t="inlineStr">
        <is>
          <t>Home run JB-SC-1-TC02 to the control / marshalling room</t>
        </is>
      </c>
      <c r="E5056" s="12" t="inlineStr"/>
      <c r="F5056" s="12" t="inlineStr">
        <is>
          <t>SC-1 PCM + 15 kV GCB</t>
        </is>
      </c>
      <c r="G5056" s="12" t="inlineStr">
        <is>
          <t>JB-SC-1-TC02</t>
        </is>
      </c>
      <c r="H5056" s="12" t="inlineStr">
        <is>
          <t>SC-1: aeroderivative simple-cycle unit (LM6000 class)</t>
        </is>
      </c>
      <c r="I5056" s="12" t="inlineStr">
        <is>
          <t>Instrumentation</t>
        </is>
      </c>
      <c r="J5056" s="12" t="inlineStr">
        <is>
          <t>Thermocouple extension KX, #16 shielded pairs, PLTC</t>
        </is>
      </c>
      <c r="K5056" s="12" t="inlineStr">
        <is>
          <t>TCX|24 pr|16</t>
        </is>
      </c>
      <c r="L5056" s="12" t="inlineStr">
        <is>
          <t>24 pr</t>
        </is>
      </c>
      <c r="M5056" s="12" t="inlineStr">
        <is>
          <t>16</t>
        </is>
      </c>
      <c r="N5056" s="12" t="n">
        <v>1</v>
      </c>
      <c r="O5056" s="12" t="n">
        <v>1</v>
      </c>
      <c r="P5056" s="12" t="n"/>
      <c r="Q5056" s="12" t="n"/>
      <c r="R5056" s="12" t="n"/>
      <c r="S5056" s="12" t="inlineStr">
        <is>
          <t>Tray</t>
        </is>
      </c>
      <c r="T5056" s="15" t="n">
        <v>5</v>
      </c>
      <c r="U5056" s="15" t="n">
        <v>62</v>
      </c>
      <c r="V5056" s="15">
        <f>ROUNDUP((T5056+U5056+2*'Read Me'!$B$13)*(1+'Read Me'!$B$12),-1)</f>
        <v/>
      </c>
      <c r="W5056" s="15">
        <f>V5056*N5056*O5056</f>
        <v/>
      </c>
      <c r="X5056" s="12">
        <f>IF(LEFT(I5056,2)="MV",2*N5056*IF(L5056="1/C",O5056,1),0)</f>
        <v/>
      </c>
      <c r="Y5056" s="12">
        <f>IF(OR(LEFT(K5056,4)="LVAX",LEFT(K5056,6)="MV15AX",LEFT(K5056,4)="CTAX",LEFT(K5056,2)="W|"),2*N5056*O5056,0)</f>
        <v/>
      </c>
      <c r="Z5056" s="12" t="inlineStr"/>
      <c r="AA5056" s="12">
        <f>N5056*O5056</f>
        <v/>
      </c>
    </row>
    <row r="5057">
      <c r="A5057" s="12" t="inlineStr">
        <is>
          <t>I-I-0454</t>
        </is>
      </c>
      <c r="B5057" s="12" t="inlineStr">
        <is>
          <t>I</t>
        </is>
      </c>
      <c r="C5057" s="12" t="inlineStr">
        <is>
          <t>Modular / portable power</t>
        </is>
      </c>
      <c r="D5057" s="12" t="inlineStr">
        <is>
          <t>Analog instrument to JB JB-SC-2 CEMS shelter-AI01: 12 x 1 pr (field cables)</t>
        </is>
      </c>
      <c r="E5057" s="12" t="inlineStr"/>
      <c r="F5057" s="12" t="inlineStr">
        <is>
          <t>SC-2 CEMS shelter</t>
        </is>
      </c>
      <c r="G5057" s="12" t="inlineStr">
        <is>
          <t>JB-SC-2 CEMS shelter-AI01</t>
        </is>
      </c>
      <c r="H5057" s="12" t="inlineStr">
        <is>
          <t>SC-2 CEMS shelter</t>
        </is>
      </c>
      <c r="I5057" s="12" t="inlineStr">
        <is>
          <t>Instrumentation</t>
        </is>
      </c>
      <c r="J5057" s="12" t="inlineStr">
        <is>
          <t>Instrumentation PLTC / TC-ER 300 V, #18 twisted shielded pairs, overall shield</t>
        </is>
      </c>
      <c r="K5057" s="12" t="inlineStr">
        <is>
          <t>PLTC|1 pr|16</t>
        </is>
      </c>
      <c r="L5057" s="12" t="inlineStr">
        <is>
          <t>1 pr</t>
        </is>
      </c>
      <c r="M5057" s="12" t="inlineStr">
        <is>
          <t>16</t>
        </is>
      </c>
      <c r="N5057" s="12" t="n">
        <v>12</v>
      </c>
      <c r="O5057" s="12" t="n">
        <v>1</v>
      </c>
      <c r="P5057" s="12" t="n"/>
      <c r="Q5057" s="12" t="n"/>
      <c r="R5057" s="12" t="n"/>
      <c r="S5057" s="12" t="inlineStr">
        <is>
          <t>Tray / conduit</t>
        </is>
      </c>
      <c r="T5057" s="15" t="n">
        <v>57</v>
      </c>
      <c r="U5057" s="15" t="n">
        <v>10</v>
      </c>
      <c r="V5057" s="15">
        <f>ROUNDUP((T5057+U5057+2*'Read Me'!$B$13)*(1+'Read Me'!$B$12),-1)</f>
        <v/>
      </c>
      <c r="W5057" s="15">
        <f>V5057*N5057*O5057</f>
        <v/>
      </c>
      <c r="X5057" s="12">
        <f>IF(LEFT(I5057,2)="MV",2*N5057*IF(L5057="1/C",O5057,1),0)</f>
        <v/>
      </c>
      <c r="Y5057" s="12">
        <f>IF(OR(LEFT(K5057,4)="LVAX",LEFT(K5057,6)="MV15AX",LEFT(K5057,4)="CTAX",LEFT(K5057,2)="W|"),2*N5057*O5057,0)</f>
        <v/>
      </c>
      <c r="Z5057" s="12" t="inlineStr">
        <is>
          <t>device-to-JB field wiring, one cable per device</t>
        </is>
      </c>
      <c r="AA5057" s="12">
        <f>N5057*O5057</f>
        <v/>
      </c>
    </row>
    <row r="5058">
      <c r="A5058" s="12" t="inlineStr">
        <is>
          <t>I-I-0455</t>
        </is>
      </c>
      <c r="B5058" s="12" t="inlineStr">
        <is>
          <t>I</t>
        </is>
      </c>
      <c r="C5058" s="12" t="inlineStr">
        <is>
          <t>Modular / portable power</t>
        </is>
      </c>
      <c r="D5058" s="12" t="inlineStr">
        <is>
          <t>Home run JB-SC-2 CEMS shelter-AI01 to the control / marshalling room</t>
        </is>
      </c>
      <c r="E5058" s="12" t="inlineStr"/>
      <c r="F5058" s="12" t="inlineStr">
        <is>
          <t>SC-2 PCM + 15 kV GCB</t>
        </is>
      </c>
      <c r="G5058" s="12" t="inlineStr">
        <is>
          <t>JB-SC-2 CEMS shelter-AI01</t>
        </is>
      </c>
      <c r="H5058" s="12" t="inlineStr">
        <is>
          <t>SC-2 CEMS shelter</t>
        </is>
      </c>
      <c r="I5058" s="12" t="inlineStr">
        <is>
          <t>Instrumentation</t>
        </is>
      </c>
      <c r="J5058" s="12" t="inlineStr">
        <is>
          <t>Instrumentation PLTC / TC-ER 300 V, #18 twisted shielded pairs, overall shield</t>
        </is>
      </c>
      <c r="K5058" s="12" t="inlineStr">
        <is>
          <t>PLTC|24 pr|18</t>
        </is>
      </c>
      <c r="L5058" s="12" t="inlineStr">
        <is>
          <t>24 pr</t>
        </is>
      </c>
      <c r="M5058" s="12" t="inlineStr">
        <is>
          <t>18</t>
        </is>
      </c>
      <c r="N5058" s="12" t="n">
        <v>1</v>
      </c>
      <c r="O5058" s="12" t="n">
        <v>1</v>
      </c>
      <c r="P5058" s="12" t="n"/>
      <c r="Q5058" s="12" t="n"/>
      <c r="R5058" s="12" t="n"/>
      <c r="S5058" s="12" t="inlineStr">
        <is>
          <t>Duct bank</t>
        </is>
      </c>
      <c r="T5058" s="15" t="n">
        <v>74</v>
      </c>
      <c r="U5058" s="15" t="n">
        <v>112</v>
      </c>
      <c r="V5058" s="15">
        <f>ROUNDUP((T5058+U5058+2*'Read Me'!$B$13)*(1+'Read Me'!$B$12),-1)</f>
        <v/>
      </c>
      <c r="W5058" s="15">
        <f>V5058*N5058*O5058</f>
        <v/>
      </c>
      <c r="X5058" s="12">
        <f>IF(LEFT(I5058,2)="MV",2*N5058*IF(L5058="1/C",O5058,1),0)</f>
        <v/>
      </c>
      <c r="Y5058" s="12">
        <f>IF(OR(LEFT(K5058,4)="LVAX",LEFT(K5058,6)="MV15AX",LEFT(K5058,4)="CTAX",LEFT(K5058,2)="W|"),2*N5058*O5058,0)</f>
        <v/>
      </c>
      <c r="Z5058" s="12" t="inlineStr"/>
      <c r="AA5058" s="12">
        <f>N5058*O5058</f>
        <v/>
      </c>
    </row>
    <row r="5059">
      <c r="A5059" s="12" t="inlineStr">
        <is>
          <t>I-I-0456</t>
        </is>
      </c>
      <c r="B5059" s="12" t="inlineStr">
        <is>
          <t>I</t>
        </is>
      </c>
      <c r="C5059" s="12" t="inlineStr">
        <is>
          <t>Modular / portable power</t>
        </is>
      </c>
      <c r="D5059" s="12" t="inlineStr">
        <is>
          <t>Discrete device to JB JB-SC-2 CEMS shelter-DI01: 10 x 1 pr (field cables)</t>
        </is>
      </c>
      <c r="E5059" s="12" t="inlineStr"/>
      <c r="F5059" s="12" t="inlineStr">
        <is>
          <t>SC-2 CEMS shelter</t>
        </is>
      </c>
      <c r="G5059" s="12" t="inlineStr">
        <is>
          <t>JB-SC-2 CEMS shelter-DI01</t>
        </is>
      </c>
      <c r="H5059" s="12" t="inlineStr">
        <is>
          <t>SC-2 CEMS shelter</t>
        </is>
      </c>
      <c r="I5059" s="12" t="inlineStr">
        <is>
          <t>Instrumentation</t>
        </is>
      </c>
      <c r="J5059" s="12" t="inlineStr">
        <is>
          <t>Instrumentation PLTC / TC-ER 300 V, #18 twisted shielded pairs, overall shield</t>
        </is>
      </c>
      <c r="K5059" s="12" t="inlineStr">
        <is>
          <t>PLTC|1 pr|16</t>
        </is>
      </c>
      <c r="L5059" s="12" t="inlineStr">
        <is>
          <t>1 pr</t>
        </is>
      </c>
      <c r="M5059" s="12" t="inlineStr">
        <is>
          <t>16</t>
        </is>
      </c>
      <c r="N5059" s="12" t="n">
        <v>10</v>
      </c>
      <c r="O5059" s="12" t="n">
        <v>1</v>
      </c>
      <c r="P5059" s="12" t="n"/>
      <c r="Q5059" s="12" t="n"/>
      <c r="R5059" s="12" t="n"/>
      <c r="S5059" s="12" t="inlineStr">
        <is>
          <t>Tray / conduit</t>
        </is>
      </c>
      <c r="T5059" s="15" t="n">
        <v>57</v>
      </c>
      <c r="U5059" s="15" t="n">
        <v>10</v>
      </c>
      <c r="V5059" s="15">
        <f>ROUNDUP((T5059+U5059+2*'Read Me'!$B$13)*(1+'Read Me'!$B$12),-1)</f>
        <v/>
      </c>
      <c r="W5059" s="15">
        <f>V5059*N5059*O5059</f>
        <v/>
      </c>
      <c r="X5059" s="12">
        <f>IF(LEFT(I5059,2)="MV",2*N5059*IF(L5059="1/C",O5059,1),0)</f>
        <v/>
      </c>
      <c r="Y5059" s="12">
        <f>IF(OR(LEFT(K5059,4)="LVAX",LEFT(K5059,6)="MV15AX",LEFT(K5059,4)="CTAX",LEFT(K5059,2)="W|"),2*N5059*O5059,0)</f>
        <v/>
      </c>
      <c r="Z5059" s="12" t="inlineStr">
        <is>
          <t>device-to-JB field wiring, one cable per device</t>
        </is>
      </c>
      <c r="AA5059" s="12">
        <f>N5059*O5059</f>
        <v/>
      </c>
    </row>
    <row r="5060">
      <c r="A5060" s="12" t="inlineStr">
        <is>
          <t>I-I-0457</t>
        </is>
      </c>
      <c r="B5060" s="12" t="inlineStr">
        <is>
          <t>I</t>
        </is>
      </c>
      <c r="C5060" s="12" t="inlineStr">
        <is>
          <t>Modular / portable power</t>
        </is>
      </c>
      <c r="D5060" s="12" t="inlineStr">
        <is>
          <t>Home run JB-SC-2 CEMS shelter-DI01 to the control / marshalling room</t>
        </is>
      </c>
      <c r="E5060" s="12" t="inlineStr"/>
      <c r="F5060" s="12" t="inlineStr">
        <is>
          <t>SC-2 PCM + 15 kV GCB</t>
        </is>
      </c>
      <c r="G5060" s="12" t="inlineStr">
        <is>
          <t>JB-SC-2 CEMS shelter-DI01</t>
        </is>
      </c>
      <c r="H5060" s="12" t="inlineStr">
        <is>
          <t>SC-2 CEMS shelter</t>
        </is>
      </c>
      <c r="I5060" s="12" t="inlineStr">
        <is>
          <t>Instrumentation</t>
        </is>
      </c>
      <c r="J5060" s="12" t="inlineStr">
        <is>
          <t>Instrumentation PLTC / TC-ER 300 V, #18 twisted shielded pairs, overall shield</t>
        </is>
      </c>
      <c r="K5060" s="12" t="inlineStr">
        <is>
          <t>PLTC|24 pr|18</t>
        </is>
      </c>
      <c r="L5060" s="12" t="inlineStr">
        <is>
          <t>24 pr</t>
        </is>
      </c>
      <c r="M5060" s="12" t="inlineStr">
        <is>
          <t>18</t>
        </is>
      </c>
      <c r="N5060" s="12" t="n">
        <v>1</v>
      </c>
      <c r="O5060" s="12" t="n">
        <v>1</v>
      </c>
      <c r="P5060" s="12" t="n"/>
      <c r="Q5060" s="12" t="n"/>
      <c r="R5060" s="12" t="n"/>
      <c r="S5060" s="12" t="inlineStr">
        <is>
          <t>Duct bank</t>
        </is>
      </c>
      <c r="T5060" s="15" t="n">
        <v>74</v>
      </c>
      <c r="U5060" s="15" t="n">
        <v>112</v>
      </c>
      <c r="V5060" s="15">
        <f>ROUNDUP((T5060+U5060+2*'Read Me'!$B$13)*(1+'Read Me'!$B$12),-1)</f>
        <v/>
      </c>
      <c r="W5060" s="15">
        <f>V5060*N5060*O5060</f>
        <v/>
      </c>
      <c r="X5060" s="12">
        <f>IF(LEFT(I5060,2)="MV",2*N5060*IF(L5060="1/C",O5060,1),0)</f>
        <v/>
      </c>
      <c r="Y5060" s="12">
        <f>IF(OR(LEFT(K5060,4)="LVAX",LEFT(K5060,6)="MV15AX",LEFT(K5060,4)="CTAX",LEFT(K5060,2)="W|"),2*N5060*O5060,0)</f>
        <v/>
      </c>
      <c r="Z5060" s="12" t="inlineStr"/>
      <c r="AA5060" s="12">
        <f>N5060*O5060</f>
        <v/>
      </c>
    </row>
    <row r="5061">
      <c r="A5061" s="12" t="inlineStr">
        <is>
          <t>I-I-0458</t>
        </is>
      </c>
      <c r="B5061" s="12" t="inlineStr">
        <is>
          <t>I</t>
        </is>
      </c>
      <c r="C5061" s="12" t="inlineStr">
        <is>
          <t>Modular / portable power</t>
        </is>
      </c>
      <c r="D5061" s="12" t="inlineStr">
        <is>
          <t>Analog instrument to JB JB-SC-2 SCR / CO cata-AI01: 16 x 1 pr (field cables)</t>
        </is>
      </c>
      <c r="E5061" s="12" t="inlineStr"/>
      <c r="F5061" s="12" t="inlineStr">
        <is>
          <t>SC-2 SCR / CO catalyst</t>
        </is>
      </c>
      <c r="G5061" s="12" t="inlineStr">
        <is>
          <t>JB-SC-2 SCR / CO cata-AI01</t>
        </is>
      </c>
      <c r="H5061" s="12" t="inlineStr">
        <is>
          <t>SC-2 SCR / CO catalyst</t>
        </is>
      </c>
      <c r="I5061" s="12" t="inlineStr">
        <is>
          <t>Instrumentation</t>
        </is>
      </c>
      <c r="J5061" s="12" t="inlineStr">
        <is>
          <t>Instrumentation PLTC / TC-ER 300 V, #18 twisted shielded pairs, overall shield</t>
        </is>
      </c>
      <c r="K5061" s="12" t="inlineStr">
        <is>
          <t>PLTC|1 pr|16</t>
        </is>
      </c>
      <c r="L5061" s="12" t="inlineStr">
        <is>
          <t>1 pr</t>
        </is>
      </c>
      <c r="M5061" s="12" t="inlineStr">
        <is>
          <t>16</t>
        </is>
      </c>
      <c r="N5061" s="12" t="n">
        <v>16</v>
      </c>
      <c r="O5061" s="12" t="n">
        <v>1</v>
      </c>
      <c r="P5061" s="12" t="n"/>
      <c r="Q5061" s="12" t="n"/>
      <c r="R5061" s="12" t="n"/>
      <c r="S5061" s="12" t="inlineStr">
        <is>
          <t>Tray / conduit</t>
        </is>
      </c>
      <c r="T5061" s="15" t="n">
        <v>74</v>
      </c>
      <c r="U5061" s="15" t="n">
        <v>10</v>
      </c>
      <c r="V5061" s="15">
        <f>ROUNDUP((T5061+U5061+2*'Read Me'!$B$13)*(1+'Read Me'!$B$12),-1)</f>
        <v/>
      </c>
      <c r="W5061" s="15">
        <f>V5061*N5061*O5061</f>
        <v/>
      </c>
      <c r="X5061" s="12">
        <f>IF(LEFT(I5061,2)="MV",2*N5061*IF(L5061="1/C",O5061,1),0)</f>
        <v/>
      </c>
      <c r="Y5061" s="12">
        <f>IF(OR(LEFT(K5061,4)="LVAX",LEFT(K5061,6)="MV15AX",LEFT(K5061,4)="CTAX",LEFT(K5061,2)="W|"),2*N5061*O5061,0)</f>
        <v/>
      </c>
      <c r="Z5061" s="12" t="inlineStr">
        <is>
          <t>device-to-JB field wiring, one cable per device</t>
        </is>
      </c>
      <c r="AA5061" s="12">
        <f>N5061*O5061</f>
        <v/>
      </c>
    </row>
    <row r="5062">
      <c r="A5062" s="12" t="inlineStr">
        <is>
          <t>I-I-0459</t>
        </is>
      </c>
      <c r="B5062" s="12" t="inlineStr">
        <is>
          <t>I</t>
        </is>
      </c>
      <c r="C5062" s="12" t="inlineStr">
        <is>
          <t>Modular / portable power</t>
        </is>
      </c>
      <c r="D5062" s="12" t="inlineStr">
        <is>
          <t>Home run JB-SC-2 SCR / CO cata-AI01 to the control / marshalling room</t>
        </is>
      </c>
      <c r="E5062" s="12" t="inlineStr"/>
      <c r="F5062" s="12" t="inlineStr">
        <is>
          <t>SC-2 PCM + 15 kV GCB</t>
        </is>
      </c>
      <c r="G5062" s="12" t="inlineStr">
        <is>
          <t>JB-SC-2 SCR / CO cata-AI01</t>
        </is>
      </c>
      <c r="H5062" s="12" t="inlineStr">
        <is>
          <t>SC-2 SCR / CO catalyst</t>
        </is>
      </c>
      <c r="I5062" s="12" t="inlineStr">
        <is>
          <t>Instrumentation</t>
        </is>
      </c>
      <c r="J5062" s="12" t="inlineStr">
        <is>
          <t>Instrumentation PLTC / TC-ER 300 V, #18 twisted shielded pairs, overall shield</t>
        </is>
      </c>
      <c r="K5062" s="12" t="inlineStr">
        <is>
          <t>PLTC|24 pr|18</t>
        </is>
      </c>
      <c r="L5062" s="12" t="inlineStr">
        <is>
          <t>24 pr</t>
        </is>
      </c>
      <c r="M5062" s="12" t="inlineStr">
        <is>
          <t>18</t>
        </is>
      </c>
      <c r="N5062" s="12" t="n">
        <v>1</v>
      </c>
      <c r="O5062" s="12" t="n">
        <v>1</v>
      </c>
      <c r="P5062" s="12" t="n"/>
      <c r="Q5062" s="12" t="n"/>
      <c r="R5062" s="12" t="n"/>
      <c r="S5062" s="12" t="inlineStr">
        <is>
          <t>Duct bank</t>
        </is>
      </c>
      <c r="T5062" s="15" t="n">
        <v>48</v>
      </c>
      <c r="U5062" s="15" t="n">
        <v>64</v>
      </c>
      <c r="V5062" s="15">
        <f>ROUNDUP((T5062+U5062+2*'Read Me'!$B$13)*(1+'Read Me'!$B$12),-1)</f>
        <v/>
      </c>
      <c r="W5062" s="15">
        <f>V5062*N5062*O5062</f>
        <v/>
      </c>
      <c r="X5062" s="12">
        <f>IF(LEFT(I5062,2)="MV",2*N5062*IF(L5062="1/C",O5062,1),0)</f>
        <v/>
      </c>
      <c r="Y5062" s="12">
        <f>IF(OR(LEFT(K5062,4)="LVAX",LEFT(K5062,6)="MV15AX",LEFT(K5062,4)="CTAX",LEFT(K5062,2)="W|"),2*N5062*O5062,0)</f>
        <v/>
      </c>
      <c r="Z5062" s="12" t="inlineStr"/>
      <c r="AA5062" s="12">
        <f>N5062*O5062</f>
        <v/>
      </c>
    </row>
    <row r="5063">
      <c r="A5063" s="12" t="inlineStr">
        <is>
          <t>I-I-0460</t>
        </is>
      </c>
      <c r="B5063" s="12" t="inlineStr">
        <is>
          <t>I</t>
        </is>
      </c>
      <c r="C5063" s="12" t="inlineStr">
        <is>
          <t>Modular / portable power</t>
        </is>
      </c>
      <c r="D5063" s="12" t="inlineStr">
        <is>
          <t>Discrete device to JB JB-SC-2 SCR / CO cata-DI01: 8 x 1 pr (field cables)</t>
        </is>
      </c>
      <c r="E5063" s="12" t="inlineStr"/>
      <c r="F5063" s="12" t="inlineStr">
        <is>
          <t>SC-2 SCR / CO catalyst</t>
        </is>
      </c>
      <c r="G5063" s="12" t="inlineStr">
        <is>
          <t>JB-SC-2 SCR / CO cata-DI01</t>
        </is>
      </c>
      <c r="H5063" s="12" t="inlineStr">
        <is>
          <t>SC-2 SCR / CO catalyst</t>
        </is>
      </c>
      <c r="I5063" s="12" t="inlineStr">
        <is>
          <t>Instrumentation</t>
        </is>
      </c>
      <c r="J5063" s="12" t="inlineStr">
        <is>
          <t>Instrumentation PLTC / TC-ER 300 V, #18 twisted shielded pairs, overall shield</t>
        </is>
      </c>
      <c r="K5063" s="12" t="inlineStr">
        <is>
          <t>PLTC|1 pr|16</t>
        </is>
      </c>
      <c r="L5063" s="12" t="inlineStr">
        <is>
          <t>1 pr</t>
        </is>
      </c>
      <c r="M5063" s="12" t="inlineStr">
        <is>
          <t>16</t>
        </is>
      </c>
      <c r="N5063" s="12" t="n">
        <v>8</v>
      </c>
      <c r="O5063" s="12" t="n">
        <v>1</v>
      </c>
      <c r="P5063" s="12" t="n"/>
      <c r="Q5063" s="12" t="n"/>
      <c r="R5063" s="12" t="n"/>
      <c r="S5063" s="12" t="inlineStr">
        <is>
          <t>Tray / conduit</t>
        </is>
      </c>
      <c r="T5063" s="15" t="n">
        <v>74</v>
      </c>
      <c r="U5063" s="15" t="n">
        <v>10</v>
      </c>
      <c r="V5063" s="15">
        <f>ROUNDUP((T5063+U5063+2*'Read Me'!$B$13)*(1+'Read Me'!$B$12),-1)</f>
        <v/>
      </c>
      <c r="W5063" s="15">
        <f>V5063*N5063*O5063</f>
        <v/>
      </c>
      <c r="X5063" s="12">
        <f>IF(LEFT(I5063,2)="MV",2*N5063*IF(L5063="1/C",O5063,1),0)</f>
        <v/>
      </c>
      <c r="Y5063" s="12">
        <f>IF(OR(LEFT(K5063,4)="LVAX",LEFT(K5063,6)="MV15AX",LEFT(K5063,4)="CTAX",LEFT(K5063,2)="W|"),2*N5063*O5063,0)</f>
        <v/>
      </c>
      <c r="Z5063" s="12" t="inlineStr">
        <is>
          <t>device-to-JB field wiring, one cable per device</t>
        </is>
      </c>
      <c r="AA5063" s="12">
        <f>N5063*O5063</f>
        <v/>
      </c>
    </row>
    <row r="5064">
      <c r="A5064" s="12" t="inlineStr">
        <is>
          <t>I-I-0461</t>
        </is>
      </c>
      <c r="B5064" s="12" t="inlineStr">
        <is>
          <t>I</t>
        </is>
      </c>
      <c r="C5064" s="12" t="inlineStr">
        <is>
          <t>Modular / portable power</t>
        </is>
      </c>
      <c r="D5064" s="12" t="inlineStr">
        <is>
          <t>Home run JB-SC-2 SCR / CO cata-DI01 to the control / marshalling room</t>
        </is>
      </c>
      <c r="E5064" s="12" t="inlineStr"/>
      <c r="F5064" s="12" t="inlineStr">
        <is>
          <t>SC-2 PCM + 15 kV GCB</t>
        </is>
      </c>
      <c r="G5064" s="12" t="inlineStr">
        <is>
          <t>JB-SC-2 SCR / CO cata-DI01</t>
        </is>
      </c>
      <c r="H5064" s="12" t="inlineStr">
        <is>
          <t>SC-2 SCR / CO catalyst</t>
        </is>
      </c>
      <c r="I5064" s="12" t="inlineStr">
        <is>
          <t>Instrumentation</t>
        </is>
      </c>
      <c r="J5064" s="12" t="inlineStr">
        <is>
          <t>Instrumentation PLTC / TC-ER 300 V, #18 twisted shielded pairs, overall shield</t>
        </is>
      </c>
      <c r="K5064" s="12" t="inlineStr">
        <is>
          <t>PLTC|24 pr|18</t>
        </is>
      </c>
      <c r="L5064" s="12" t="inlineStr">
        <is>
          <t>24 pr</t>
        </is>
      </c>
      <c r="M5064" s="12" t="inlineStr">
        <is>
          <t>18</t>
        </is>
      </c>
      <c r="N5064" s="12" t="n">
        <v>1</v>
      </c>
      <c r="O5064" s="12" t="n">
        <v>1</v>
      </c>
      <c r="P5064" s="12" t="n"/>
      <c r="Q5064" s="12" t="n"/>
      <c r="R5064" s="12" t="n"/>
      <c r="S5064" s="12" t="inlineStr">
        <is>
          <t>Duct bank</t>
        </is>
      </c>
      <c r="T5064" s="15" t="n">
        <v>48</v>
      </c>
      <c r="U5064" s="15" t="n">
        <v>64</v>
      </c>
      <c r="V5064" s="15">
        <f>ROUNDUP((T5064+U5064+2*'Read Me'!$B$13)*(1+'Read Me'!$B$12),-1)</f>
        <v/>
      </c>
      <c r="W5064" s="15">
        <f>V5064*N5064*O5064</f>
        <v/>
      </c>
      <c r="X5064" s="12">
        <f>IF(LEFT(I5064,2)="MV",2*N5064*IF(L5064="1/C",O5064,1),0)</f>
        <v/>
      </c>
      <c r="Y5064" s="12">
        <f>IF(OR(LEFT(K5064,4)="LVAX",LEFT(K5064,6)="MV15AX",LEFT(K5064,4)="CTAX",LEFT(K5064,2)="W|"),2*N5064*O5064,0)</f>
        <v/>
      </c>
      <c r="Z5064" s="12" t="inlineStr"/>
      <c r="AA5064" s="12">
        <f>N5064*O5064</f>
        <v/>
      </c>
    </row>
    <row r="5065">
      <c r="A5065" s="12" t="inlineStr">
        <is>
          <t>I-I-0462</t>
        </is>
      </c>
      <c r="B5065" s="12" t="inlineStr">
        <is>
          <t>I</t>
        </is>
      </c>
      <c r="C5065" s="12" t="inlineStr">
        <is>
          <t>Modular / portable power</t>
        </is>
      </c>
      <c r="D5065" s="12" t="inlineStr">
        <is>
          <t>Analog instrument to JB JB-SC-2 ammonia flow--AI01: 8 x 1 pr (field cables)</t>
        </is>
      </c>
      <c r="E5065" s="12" t="inlineStr"/>
      <c r="F5065" s="12" t="inlineStr">
        <is>
          <t>SC-2 ammonia flow-control unit</t>
        </is>
      </c>
      <c r="G5065" s="12" t="inlineStr">
        <is>
          <t>JB-SC-2 ammonia flow--AI01</t>
        </is>
      </c>
      <c r="H5065" s="12" t="inlineStr">
        <is>
          <t>SC-2 ammonia flow-control unit</t>
        </is>
      </c>
      <c r="I5065" s="12" t="inlineStr">
        <is>
          <t>Instrumentation</t>
        </is>
      </c>
      <c r="J5065" s="12" t="inlineStr">
        <is>
          <t>Instrumentation PLTC / TC-ER 300 V, #18 twisted shielded pairs, overall shield</t>
        </is>
      </c>
      <c r="K5065" s="12" t="inlineStr">
        <is>
          <t>PLTC|1 pr|16</t>
        </is>
      </c>
      <c r="L5065" s="12" t="inlineStr">
        <is>
          <t>1 pr</t>
        </is>
      </c>
      <c r="M5065" s="12" t="inlineStr">
        <is>
          <t>16</t>
        </is>
      </c>
      <c r="N5065" s="12" t="n">
        <v>8</v>
      </c>
      <c r="O5065" s="12" t="n">
        <v>1</v>
      </c>
      <c r="P5065" s="12" t="n"/>
      <c r="Q5065" s="12" t="n"/>
      <c r="R5065" s="12" t="n"/>
      <c r="S5065" s="12" t="inlineStr">
        <is>
          <t>Tray / conduit</t>
        </is>
      </c>
      <c r="T5065" s="15" t="n">
        <v>40</v>
      </c>
      <c r="U5065" s="15" t="n">
        <v>10</v>
      </c>
      <c r="V5065" s="15">
        <f>ROUNDUP((T5065+U5065+2*'Read Me'!$B$13)*(1+'Read Me'!$B$12),-1)</f>
        <v/>
      </c>
      <c r="W5065" s="15">
        <f>V5065*N5065*O5065</f>
        <v/>
      </c>
      <c r="X5065" s="12">
        <f>IF(LEFT(I5065,2)="MV",2*N5065*IF(L5065="1/C",O5065,1),0)</f>
        <v/>
      </c>
      <c r="Y5065" s="12">
        <f>IF(OR(LEFT(K5065,4)="LVAX",LEFT(K5065,6)="MV15AX",LEFT(K5065,4)="CTAX",LEFT(K5065,2)="W|"),2*N5065*O5065,0)</f>
        <v/>
      </c>
      <c r="Z5065" s="12" t="inlineStr">
        <is>
          <t>device-to-JB field wiring, one cable per device</t>
        </is>
      </c>
      <c r="AA5065" s="12">
        <f>N5065*O5065</f>
        <v/>
      </c>
    </row>
    <row r="5066">
      <c r="A5066" s="12" t="inlineStr">
        <is>
          <t>I-I-0463</t>
        </is>
      </c>
      <c r="B5066" s="12" t="inlineStr">
        <is>
          <t>I</t>
        </is>
      </c>
      <c r="C5066" s="12" t="inlineStr">
        <is>
          <t>Modular / portable power</t>
        </is>
      </c>
      <c r="D5066" s="12" t="inlineStr">
        <is>
          <t>Home run JB-SC-2 ammonia flow--AI01 to the control / marshalling room</t>
        </is>
      </c>
      <c r="E5066" s="12" t="inlineStr"/>
      <c r="F5066" s="12" t="inlineStr">
        <is>
          <t>SC-2 PCM + 15 kV GCB</t>
        </is>
      </c>
      <c r="G5066" s="12" t="inlineStr">
        <is>
          <t>JB-SC-2 ammonia flow--AI01</t>
        </is>
      </c>
      <c r="H5066" s="12" t="inlineStr">
        <is>
          <t>SC-2 ammonia flow-control unit</t>
        </is>
      </c>
      <c r="I5066" s="12" t="inlineStr">
        <is>
          <t>Instrumentation</t>
        </is>
      </c>
      <c r="J5066" s="12" t="inlineStr">
        <is>
          <t>Instrumentation PLTC / TC-ER 300 V, #18 twisted shielded pairs, overall shield</t>
        </is>
      </c>
      <c r="K5066" s="12" t="inlineStr">
        <is>
          <t>PLTC|24 pr|18</t>
        </is>
      </c>
      <c r="L5066" s="12" t="inlineStr">
        <is>
          <t>24 pr</t>
        </is>
      </c>
      <c r="M5066" s="12" t="inlineStr">
        <is>
          <t>18</t>
        </is>
      </c>
      <c r="N5066" s="12" t="n">
        <v>1</v>
      </c>
      <c r="O5066" s="12" t="n">
        <v>1</v>
      </c>
      <c r="P5066" s="12" t="n"/>
      <c r="Q5066" s="12" t="n"/>
      <c r="R5066" s="12" t="n"/>
      <c r="S5066" s="12" t="inlineStr">
        <is>
          <t>Duct bank</t>
        </is>
      </c>
      <c r="T5066" s="15" t="n">
        <v>48</v>
      </c>
      <c r="U5066" s="15" t="n">
        <v>62</v>
      </c>
      <c r="V5066" s="15">
        <f>ROUNDUP((T5066+U5066+2*'Read Me'!$B$13)*(1+'Read Me'!$B$12),-1)</f>
        <v/>
      </c>
      <c r="W5066" s="15">
        <f>V5066*N5066*O5066</f>
        <v/>
      </c>
      <c r="X5066" s="12">
        <f>IF(LEFT(I5066,2)="MV",2*N5066*IF(L5066="1/C",O5066,1),0)</f>
        <v/>
      </c>
      <c r="Y5066" s="12">
        <f>IF(OR(LEFT(K5066,4)="LVAX",LEFT(K5066,6)="MV15AX",LEFT(K5066,4)="CTAX",LEFT(K5066,2)="W|"),2*N5066*O5066,0)</f>
        <v/>
      </c>
      <c r="Z5066" s="12" t="inlineStr"/>
      <c r="AA5066" s="12">
        <f>N5066*O5066</f>
        <v/>
      </c>
    </row>
    <row r="5067">
      <c r="A5067" s="12" t="inlineStr">
        <is>
          <t>I-I-0464</t>
        </is>
      </c>
      <c r="B5067" s="12" t="inlineStr">
        <is>
          <t>I</t>
        </is>
      </c>
      <c r="C5067" s="12" t="inlineStr">
        <is>
          <t>Modular / portable power</t>
        </is>
      </c>
      <c r="D5067" s="12" t="inlineStr">
        <is>
          <t>Discrete device to JB JB-SC-2 ammonia flow--DI01: 8 x 1 pr (field cables)</t>
        </is>
      </c>
      <c r="E5067" s="12" t="inlineStr"/>
      <c r="F5067" s="12" t="inlineStr">
        <is>
          <t>SC-2 ammonia flow-control unit</t>
        </is>
      </c>
      <c r="G5067" s="12" t="inlineStr">
        <is>
          <t>JB-SC-2 ammonia flow--DI01</t>
        </is>
      </c>
      <c r="H5067" s="12" t="inlineStr">
        <is>
          <t>SC-2 ammonia flow-control unit</t>
        </is>
      </c>
      <c r="I5067" s="12" t="inlineStr">
        <is>
          <t>Instrumentation</t>
        </is>
      </c>
      <c r="J5067" s="12" t="inlineStr">
        <is>
          <t>Instrumentation PLTC / TC-ER 300 V, #18 twisted shielded pairs, overall shield</t>
        </is>
      </c>
      <c r="K5067" s="12" t="inlineStr">
        <is>
          <t>PLTC|1 pr|16</t>
        </is>
      </c>
      <c r="L5067" s="12" t="inlineStr">
        <is>
          <t>1 pr</t>
        </is>
      </c>
      <c r="M5067" s="12" t="inlineStr">
        <is>
          <t>16</t>
        </is>
      </c>
      <c r="N5067" s="12" t="n">
        <v>8</v>
      </c>
      <c r="O5067" s="12" t="n">
        <v>1</v>
      </c>
      <c r="P5067" s="12" t="n"/>
      <c r="Q5067" s="12" t="n"/>
      <c r="R5067" s="12" t="n"/>
      <c r="S5067" s="12" t="inlineStr">
        <is>
          <t>Tray / conduit</t>
        </is>
      </c>
      <c r="T5067" s="15" t="n">
        <v>40</v>
      </c>
      <c r="U5067" s="15" t="n">
        <v>10</v>
      </c>
      <c r="V5067" s="15">
        <f>ROUNDUP((T5067+U5067+2*'Read Me'!$B$13)*(1+'Read Me'!$B$12),-1)</f>
        <v/>
      </c>
      <c r="W5067" s="15">
        <f>V5067*N5067*O5067</f>
        <v/>
      </c>
      <c r="X5067" s="12">
        <f>IF(LEFT(I5067,2)="MV",2*N5067*IF(L5067="1/C",O5067,1),0)</f>
        <v/>
      </c>
      <c r="Y5067" s="12">
        <f>IF(OR(LEFT(K5067,4)="LVAX",LEFT(K5067,6)="MV15AX",LEFT(K5067,4)="CTAX",LEFT(K5067,2)="W|"),2*N5067*O5067,0)</f>
        <v/>
      </c>
      <c r="Z5067" s="12" t="inlineStr">
        <is>
          <t>device-to-JB field wiring, one cable per device</t>
        </is>
      </c>
      <c r="AA5067" s="12">
        <f>N5067*O5067</f>
        <v/>
      </c>
    </row>
    <row r="5068">
      <c r="A5068" s="12" t="inlineStr">
        <is>
          <t>I-I-0465</t>
        </is>
      </c>
      <c r="B5068" s="12" t="inlineStr">
        <is>
          <t>I</t>
        </is>
      </c>
      <c r="C5068" s="12" t="inlineStr">
        <is>
          <t>Modular / portable power</t>
        </is>
      </c>
      <c r="D5068" s="12" t="inlineStr">
        <is>
          <t>Home run JB-SC-2 ammonia flow--DI01 to the control / marshalling room</t>
        </is>
      </c>
      <c r="E5068" s="12" t="inlineStr"/>
      <c r="F5068" s="12" t="inlineStr">
        <is>
          <t>SC-2 PCM + 15 kV GCB</t>
        </is>
      </c>
      <c r="G5068" s="12" t="inlineStr">
        <is>
          <t>JB-SC-2 ammonia flow--DI01</t>
        </is>
      </c>
      <c r="H5068" s="12" t="inlineStr">
        <is>
          <t>SC-2 ammonia flow-control unit</t>
        </is>
      </c>
      <c r="I5068" s="12" t="inlineStr">
        <is>
          <t>Instrumentation</t>
        </is>
      </c>
      <c r="J5068" s="12" t="inlineStr">
        <is>
          <t>Instrumentation PLTC / TC-ER 300 V, #18 twisted shielded pairs, overall shield</t>
        </is>
      </c>
      <c r="K5068" s="12" t="inlineStr">
        <is>
          <t>PLTC|24 pr|18</t>
        </is>
      </c>
      <c r="L5068" s="12" t="inlineStr">
        <is>
          <t>24 pr</t>
        </is>
      </c>
      <c r="M5068" s="12" t="inlineStr">
        <is>
          <t>18</t>
        </is>
      </c>
      <c r="N5068" s="12" t="n">
        <v>1</v>
      </c>
      <c r="O5068" s="12" t="n">
        <v>1</v>
      </c>
      <c r="P5068" s="12" t="n"/>
      <c r="Q5068" s="12" t="n"/>
      <c r="R5068" s="12" t="n"/>
      <c r="S5068" s="12" t="inlineStr">
        <is>
          <t>Duct bank</t>
        </is>
      </c>
      <c r="T5068" s="15" t="n">
        <v>48</v>
      </c>
      <c r="U5068" s="15" t="n">
        <v>62</v>
      </c>
      <c r="V5068" s="15">
        <f>ROUNDUP((T5068+U5068+2*'Read Me'!$B$13)*(1+'Read Me'!$B$12),-1)</f>
        <v/>
      </c>
      <c r="W5068" s="15">
        <f>V5068*N5068*O5068</f>
        <v/>
      </c>
      <c r="X5068" s="12">
        <f>IF(LEFT(I5068,2)="MV",2*N5068*IF(L5068="1/C",O5068,1),0)</f>
        <v/>
      </c>
      <c r="Y5068" s="12">
        <f>IF(OR(LEFT(K5068,4)="LVAX",LEFT(K5068,6)="MV15AX",LEFT(K5068,4)="CTAX",LEFT(K5068,2)="W|"),2*N5068*O5068,0)</f>
        <v/>
      </c>
      <c r="Z5068" s="12" t="inlineStr"/>
      <c r="AA5068" s="12">
        <f>N5068*O5068</f>
        <v/>
      </c>
    </row>
    <row r="5069">
      <c r="A5069" s="12" t="inlineStr">
        <is>
          <t>I-I-0466</t>
        </is>
      </c>
      <c r="B5069" s="12" t="inlineStr">
        <is>
          <t>I</t>
        </is>
      </c>
      <c r="C5069" s="12" t="inlineStr">
        <is>
          <t>Modular / portable power</t>
        </is>
      </c>
      <c r="D5069" s="12" t="inlineStr">
        <is>
          <t>Analog instrument to JB JB-SC-2 auxiliary ski-AI01: 14 x 1 pr (field cables)</t>
        </is>
      </c>
      <c r="E5069" s="12" t="inlineStr"/>
      <c r="F5069" s="12" t="inlineStr">
        <is>
          <t>SC-2 auxiliary skids: fuel-gas module, water-wash skid</t>
        </is>
      </c>
      <c r="G5069" s="12" t="inlineStr">
        <is>
          <t>JB-SC-2 auxiliary ski-AI01</t>
        </is>
      </c>
      <c r="H5069" s="12" t="inlineStr">
        <is>
          <t>SC-2 auxiliary skids: fuel-gas module, water-wash skid</t>
        </is>
      </c>
      <c r="I5069" s="12" t="inlineStr">
        <is>
          <t>Instrumentation</t>
        </is>
      </c>
      <c r="J5069" s="12" t="inlineStr">
        <is>
          <t>Instrumentation ITC / PLTC, IS, #18 shielded pairs, blue jacket</t>
        </is>
      </c>
      <c r="K5069" s="12" t="inlineStr">
        <is>
          <t>ITC|1 pr|16</t>
        </is>
      </c>
      <c r="L5069" s="12" t="inlineStr">
        <is>
          <t>1 pr</t>
        </is>
      </c>
      <c r="M5069" s="12" t="inlineStr">
        <is>
          <t>16</t>
        </is>
      </c>
      <c r="N5069" s="12" t="n">
        <v>14</v>
      </c>
      <c r="O5069" s="12" t="n">
        <v>1</v>
      </c>
      <c r="P5069" s="12" t="n"/>
      <c r="Q5069" s="12" t="n"/>
      <c r="R5069" s="12" t="n"/>
      <c r="S5069" s="12" t="inlineStr">
        <is>
          <t>Tray / conduit</t>
        </is>
      </c>
      <c r="T5069" s="15" t="n">
        <v>63</v>
      </c>
      <c r="U5069" s="15" t="n">
        <v>10</v>
      </c>
      <c r="V5069" s="15">
        <f>ROUNDUP((T5069+U5069+2*'Read Me'!$B$13)*(1+'Read Me'!$B$12),-1)</f>
        <v/>
      </c>
      <c r="W5069" s="15">
        <f>V5069*N5069*O5069</f>
        <v/>
      </c>
      <c r="X5069" s="12">
        <f>IF(LEFT(I5069,2)="MV",2*N5069*IF(L5069="1/C",O5069,1),0)</f>
        <v/>
      </c>
      <c r="Y5069" s="12">
        <f>IF(OR(LEFT(K5069,4)="LVAX",LEFT(K5069,6)="MV15AX",LEFT(K5069,4)="CTAX",LEFT(K5069,2)="W|"),2*N5069*O5069,0)</f>
        <v/>
      </c>
      <c r="Z5069" s="12" t="inlineStr">
        <is>
          <t>device-to-JB field wiring, one cable per device</t>
        </is>
      </c>
      <c r="AA5069" s="12">
        <f>N5069*O5069</f>
        <v/>
      </c>
    </row>
    <row r="5070">
      <c r="A5070" s="12" t="inlineStr">
        <is>
          <t>I-I-0467</t>
        </is>
      </c>
      <c r="B5070" s="12" t="inlineStr">
        <is>
          <t>I</t>
        </is>
      </c>
      <c r="C5070" s="12" t="inlineStr">
        <is>
          <t>Modular / portable power</t>
        </is>
      </c>
      <c r="D5070" s="12" t="inlineStr">
        <is>
          <t>Home run JB-SC-2 auxiliary ski-AI01 to the control / marshalling room</t>
        </is>
      </c>
      <c r="E5070" s="12" t="inlineStr"/>
      <c r="F5070" s="12" t="inlineStr">
        <is>
          <t>SC-2 PCM + 15 kV GCB</t>
        </is>
      </c>
      <c r="G5070" s="12" t="inlineStr">
        <is>
          <t>JB-SC-2 auxiliary ski-AI01</t>
        </is>
      </c>
      <c r="H5070" s="12" t="inlineStr">
        <is>
          <t>SC-2 auxiliary skids: fuel-gas module, water-wash skid</t>
        </is>
      </c>
      <c r="I5070" s="12" t="inlineStr">
        <is>
          <t>Instrumentation</t>
        </is>
      </c>
      <c r="J5070" s="12" t="inlineStr">
        <is>
          <t>Instrumentation ITC / PLTC, IS, #18 shielded pairs, blue jacket</t>
        </is>
      </c>
      <c r="K5070" s="12" t="inlineStr">
        <is>
          <t>ITC|24 pr|18</t>
        </is>
      </c>
      <c r="L5070" s="12" t="inlineStr">
        <is>
          <t>24 pr</t>
        </is>
      </c>
      <c r="M5070" s="12" t="inlineStr">
        <is>
          <t>18</t>
        </is>
      </c>
      <c r="N5070" s="12" t="n">
        <v>1</v>
      </c>
      <c r="O5070" s="12" t="n">
        <v>1</v>
      </c>
      <c r="P5070" s="12" t="n"/>
      <c r="Q5070" s="12" t="n"/>
      <c r="R5070" s="12" t="n"/>
      <c r="S5070" s="12" t="inlineStr">
        <is>
          <t>Duct bank</t>
        </is>
      </c>
      <c r="T5070" s="15" t="n">
        <v>10</v>
      </c>
      <c r="U5070" s="15" t="n">
        <v>43</v>
      </c>
      <c r="V5070" s="15">
        <f>ROUNDUP((T5070+U5070+2*'Read Me'!$B$13)*(1+'Read Me'!$B$12),-1)</f>
        <v/>
      </c>
      <c r="W5070" s="15">
        <f>V5070*N5070*O5070</f>
        <v/>
      </c>
      <c r="X5070" s="12">
        <f>IF(LEFT(I5070,2)="MV",2*N5070*IF(L5070="1/C",O5070,1),0)</f>
        <v/>
      </c>
      <c r="Y5070" s="12">
        <f>IF(OR(LEFT(K5070,4)="LVAX",LEFT(K5070,6)="MV15AX",LEFT(K5070,4)="CTAX",LEFT(K5070,2)="W|"),2*N5070*O5070,0)</f>
        <v/>
      </c>
      <c r="Z5070" s="12" t="inlineStr"/>
      <c r="AA5070" s="12">
        <f>N5070*O5070</f>
        <v/>
      </c>
    </row>
    <row r="5071">
      <c r="A5071" s="12" t="inlineStr">
        <is>
          <t>I-I-0468</t>
        </is>
      </c>
      <c r="B5071" s="12" t="inlineStr">
        <is>
          <t>I</t>
        </is>
      </c>
      <c r="C5071" s="12" t="inlineStr">
        <is>
          <t>Modular / portable power</t>
        </is>
      </c>
      <c r="D5071" s="12" t="inlineStr">
        <is>
          <t>Discrete device to JB JB-SC-2 auxiliary ski-DI01: 12 x 1 pr (field cables)</t>
        </is>
      </c>
      <c r="E5071" s="12" t="inlineStr"/>
      <c r="F5071" s="12" t="inlineStr">
        <is>
          <t>SC-2 auxiliary skids: fuel-gas module, water-wash skid</t>
        </is>
      </c>
      <c r="G5071" s="12" t="inlineStr">
        <is>
          <t>JB-SC-2 auxiliary ski-DI01</t>
        </is>
      </c>
      <c r="H5071" s="12" t="inlineStr">
        <is>
          <t>SC-2 auxiliary skids: fuel-gas module, water-wash skid</t>
        </is>
      </c>
      <c r="I5071" s="12" t="inlineStr">
        <is>
          <t>Instrumentation</t>
        </is>
      </c>
      <c r="J5071" s="12" t="inlineStr">
        <is>
          <t>Instrumentation ITC / PLTC, IS, #18 shielded pairs, blue jacket</t>
        </is>
      </c>
      <c r="K5071" s="12" t="inlineStr">
        <is>
          <t>ITC|1 pr|16</t>
        </is>
      </c>
      <c r="L5071" s="12" t="inlineStr">
        <is>
          <t>1 pr</t>
        </is>
      </c>
      <c r="M5071" s="12" t="inlineStr">
        <is>
          <t>16</t>
        </is>
      </c>
      <c r="N5071" s="12" t="n">
        <v>12</v>
      </c>
      <c r="O5071" s="12" t="n">
        <v>1</v>
      </c>
      <c r="P5071" s="12" t="n"/>
      <c r="Q5071" s="12" t="n"/>
      <c r="R5071" s="12" t="n"/>
      <c r="S5071" s="12" t="inlineStr">
        <is>
          <t>Tray / conduit</t>
        </is>
      </c>
      <c r="T5071" s="15" t="n">
        <v>63</v>
      </c>
      <c r="U5071" s="15" t="n">
        <v>10</v>
      </c>
      <c r="V5071" s="15">
        <f>ROUNDUP((T5071+U5071+2*'Read Me'!$B$13)*(1+'Read Me'!$B$12),-1)</f>
        <v/>
      </c>
      <c r="W5071" s="15">
        <f>V5071*N5071*O5071</f>
        <v/>
      </c>
      <c r="X5071" s="12">
        <f>IF(LEFT(I5071,2)="MV",2*N5071*IF(L5071="1/C",O5071,1),0)</f>
        <v/>
      </c>
      <c r="Y5071" s="12">
        <f>IF(OR(LEFT(K5071,4)="LVAX",LEFT(K5071,6)="MV15AX",LEFT(K5071,4)="CTAX",LEFT(K5071,2)="W|"),2*N5071*O5071,0)</f>
        <v/>
      </c>
      <c r="Z5071" s="12" t="inlineStr">
        <is>
          <t>device-to-JB field wiring, one cable per device</t>
        </is>
      </c>
      <c r="AA5071" s="12">
        <f>N5071*O5071</f>
        <v/>
      </c>
    </row>
    <row r="5072">
      <c r="A5072" s="12" t="inlineStr">
        <is>
          <t>I-I-0469</t>
        </is>
      </c>
      <c r="B5072" s="12" t="inlineStr">
        <is>
          <t>I</t>
        </is>
      </c>
      <c r="C5072" s="12" t="inlineStr">
        <is>
          <t>Modular / portable power</t>
        </is>
      </c>
      <c r="D5072" s="12" t="inlineStr">
        <is>
          <t>Home run JB-SC-2 auxiliary ski-DI01 to the control / marshalling room</t>
        </is>
      </c>
      <c r="E5072" s="12" t="inlineStr"/>
      <c r="F5072" s="12" t="inlineStr">
        <is>
          <t>SC-2 PCM + 15 kV GCB</t>
        </is>
      </c>
      <c r="G5072" s="12" t="inlineStr">
        <is>
          <t>JB-SC-2 auxiliary ski-DI01</t>
        </is>
      </c>
      <c r="H5072" s="12" t="inlineStr">
        <is>
          <t>SC-2 auxiliary skids: fuel-gas module, water-wash skid</t>
        </is>
      </c>
      <c r="I5072" s="12" t="inlineStr">
        <is>
          <t>Instrumentation</t>
        </is>
      </c>
      <c r="J5072" s="12" t="inlineStr">
        <is>
          <t>Instrumentation ITC / PLTC, IS, #18 shielded pairs, blue jacket</t>
        </is>
      </c>
      <c r="K5072" s="12" t="inlineStr">
        <is>
          <t>ITC|24 pr|18</t>
        </is>
      </c>
      <c r="L5072" s="12" t="inlineStr">
        <is>
          <t>24 pr</t>
        </is>
      </c>
      <c r="M5072" s="12" t="inlineStr">
        <is>
          <t>18</t>
        </is>
      </c>
      <c r="N5072" s="12" t="n">
        <v>1</v>
      </c>
      <c r="O5072" s="12" t="n">
        <v>1</v>
      </c>
      <c r="P5072" s="12" t="n"/>
      <c r="Q5072" s="12" t="n"/>
      <c r="R5072" s="12" t="n"/>
      <c r="S5072" s="12" t="inlineStr">
        <is>
          <t>Duct bank</t>
        </is>
      </c>
      <c r="T5072" s="15" t="n">
        <v>10</v>
      </c>
      <c r="U5072" s="15" t="n">
        <v>43</v>
      </c>
      <c r="V5072" s="15">
        <f>ROUNDUP((T5072+U5072+2*'Read Me'!$B$13)*(1+'Read Me'!$B$12),-1)</f>
        <v/>
      </c>
      <c r="W5072" s="15">
        <f>V5072*N5072*O5072</f>
        <v/>
      </c>
      <c r="X5072" s="12">
        <f>IF(LEFT(I5072,2)="MV",2*N5072*IF(L5072="1/C",O5072,1),0)</f>
        <v/>
      </c>
      <c r="Y5072" s="12">
        <f>IF(OR(LEFT(K5072,4)="LVAX",LEFT(K5072,6)="MV15AX",LEFT(K5072,4)="CTAX",LEFT(K5072,2)="W|"),2*N5072*O5072,0)</f>
        <v/>
      </c>
      <c r="Z5072" s="12" t="inlineStr"/>
      <c r="AA5072" s="12">
        <f>N5072*O5072</f>
        <v/>
      </c>
    </row>
    <row r="5073">
      <c r="A5073" s="12" t="inlineStr">
        <is>
          <t>I-I-0470</t>
        </is>
      </c>
      <c r="B5073" s="12" t="inlineStr">
        <is>
          <t>I</t>
        </is>
      </c>
      <c r="C5073" s="12" t="inlineStr">
        <is>
          <t>Modular / portable power</t>
        </is>
      </c>
      <c r="D5073" s="12" t="inlineStr">
        <is>
          <t>Analog instrument to JB JB-SC-2 lube-oil fin--AI01: 4 x 1 pr (field cables)</t>
        </is>
      </c>
      <c r="E5073" s="12" t="inlineStr"/>
      <c r="F5073" s="12" t="inlineStr">
        <is>
          <t>SC-2 lube-oil fin-fan cooler</t>
        </is>
      </c>
      <c r="G5073" s="12" t="inlineStr">
        <is>
          <t>JB-SC-2 lube-oil fin--AI01</t>
        </is>
      </c>
      <c r="H5073" s="12" t="inlineStr">
        <is>
          <t>SC-2 lube-oil fin-fan cooler</t>
        </is>
      </c>
      <c r="I5073" s="12" t="inlineStr">
        <is>
          <t>Instrumentation</t>
        </is>
      </c>
      <c r="J5073" s="12" t="inlineStr">
        <is>
          <t>Instrumentation PLTC / TC-ER 300 V, #18 twisted shielded pairs, overall shield</t>
        </is>
      </c>
      <c r="K5073" s="12" t="inlineStr">
        <is>
          <t>PLTC|1 pr|16</t>
        </is>
      </c>
      <c r="L5073" s="12" t="inlineStr">
        <is>
          <t>1 pr</t>
        </is>
      </c>
      <c r="M5073" s="12" t="inlineStr">
        <is>
          <t>16</t>
        </is>
      </c>
      <c r="N5073" s="12" t="n">
        <v>4</v>
      </c>
      <c r="O5073" s="12" t="n">
        <v>1</v>
      </c>
      <c r="P5073" s="12" t="n"/>
      <c r="Q5073" s="12" t="n"/>
      <c r="R5073" s="12" t="n"/>
      <c r="S5073" s="12" t="inlineStr">
        <is>
          <t>Tray / conduit</t>
        </is>
      </c>
      <c r="T5073" s="15" t="n">
        <v>46</v>
      </c>
      <c r="U5073" s="15" t="n">
        <v>10</v>
      </c>
      <c r="V5073" s="15">
        <f>ROUNDUP((T5073+U5073+2*'Read Me'!$B$13)*(1+'Read Me'!$B$12),-1)</f>
        <v/>
      </c>
      <c r="W5073" s="15">
        <f>V5073*N5073*O5073</f>
        <v/>
      </c>
      <c r="X5073" s="12">
        <f>IF(LEFT(I5073,2)="MV",2*N5073*IF(L5073="1/C",O5073,1),0)</f>
        <v/>
      </c>
      <c r="Y5073" s="12">
        <f>IF(OR(LEFT(K5073,4)="LVAX",LEFT(K5073,6)="MV15AX",LEFT(K5073,4)="CTAX",LEFT(K5073,2)="W|"),2*N5073*O5073,0)</f>
        <v/>
      </c>
      <c r="Z5073" s="12" t="inlineStr">
        <is>
          <t>device-to-JB field wiring, one cable per device</t>
        </is>
      </c>
      <c r="AA5073" s="12">
        <f>N5073*O5073</f>
        <v/>
      </c>
    </row>
    <row r="5074">
      <c r="A5074" s="12" t="inlineStr">
        <is>
          <t>I-I-0471</t>
        </is>
      </c>
      <c r="B5074" s="12" t="inlineStr">
        <is>
          <t>I</t>
        </is>
      </c>
      <c r="C5074" s="12" t="inlineStr">
        <is>
          <t>Modular / portable power</t>
        </is>
      </c>
      <c r="D5074" s="12" t="inlineStr">
        <is>
          <t>Home run JB-SC-2 lube-oil fin--AI01 to the control / marshalling room</t>
        </is>
      </c>
      <c r="E5074" s="12" t="inlineStr"/>
      <c r="F5074" s="12" t="inlineStr">
        <is>
          <t>SC-2 PCM + 15 kV GCB</t>
        </is>
      </c>
      <c r="G5074" s="12" t="inlineStr">
        <is>
          <t>JB-SC-2 lube-oil fin--AI01</t>
        </is>
      </c>
      <c r="H5074" s="12" t="inlineStr">
        <is>
          <t>SC-2 lube-oil fin-fan cooler</t>
        </is>
      </c>
      <c r="I5074" s="12" t="inlineStr">
        <is>
          <t>Instrumentation</t>
        </is>
      </c>
      <c r="J5074" s="12" t="inlineStr">
        <is>
          <t>Instrumentation PLTC / TC-ER 300 V, #18 twisted shielded pairs, overall shield</t>
        </is>
      </c>
      <c r="K5074" s="12" t="inlineStr">
        <is>
          <t>PLTC|24 pr|18</t>
        </is>
      </c>
      <c r="L5074" s="12" t="inlineStr">
        <is>
          <t>24 pr</t>
        </is>
      </c>
      <c r="M5074" s="12" t="inlineStr">
        <is>
          <t>18</t>
        </is>
      </c>
      <c r="N5074" s="12" t="n">
        <v>1</v>
      </c>
      <c r="O5074" s="12" t="n">
        <v>1</v>
      </c>
      <c r="P5074" s="12" t="n"/>
      <c r="Q5074" s="12" t="n"/>
      <c r="R5074" s="12" t="n"/>
      <c r="S5074" s="12" t="inlineStr">
        <is>
          <t>Duct bank</t>
        </is>
      </c>
      <c r="T5074" s="15" t="n">
        <v>4</v>
      </c>
      <c r="U5074" s="15" t="n">
        <v>38</v>
      </c>
      <c r="V5074" s="15">
        <f>ROUNDUP((T5074+U5074+2*'Read Me'!$B$13)*(1+'Read Me'!$B$12),-1)</f>
        <v/>
      </c>
      <c r="W5074" s="15">
        <f>V5074*N5074*O5074</f>
        <v/>
      </c>
      <c r="X5074" s="12">
        <f>IF(LEFT(I5074,2)="MV",2*N5074*IF(L5074="1/C",O5074,1),0)</f>
        <v/>
      </c>
      <c r="Y5074" s="12">
        <f>IF(OR(LEFT(K5074,4)="LVAX",LEFT(K5074,6)="MV15AX",LEFT(K5074,4)="CTAX",LEFT(K5074,2)="W|"),2*N5074*O5074,0)</f>
        <v/>
      </c>
      <c r="Z5074" s="12" t="inlineStr"/>
      <c r="AA5074" s="12">
        <f>N5074*O5074</f>
        <v/>
      </c>
    </row>
    <row r="5075">
      <c r="A5075" s="12" t="inlineStr">
        <is>
          <t>I-I-0472</t>
        </is>
      </c>
      <c r="B5075" s="12" t="inlineStr">
        <is>
          <t>I</t>
        </is>
      </c>
      <c r="C5075" s="12" t="inlineStr">
        <is>
          <t>Modular / portable power</t>
        </is>
      </c>
      <c r="D5075" s="12" t="inlineStr">
        <is>
          <t>Discrete device to JB JB-SC-2 lube-oil fin--DI01: 8 x 1 pr (field cables)</t>
        </is>
      </c>
      <c r="E5075" s="12" t="inlineStr"/>
      <c r="F5075" s="12" t="inlineStr">
        <is>
          <t>SC-2 lube-oil fin-fan cooler</t>
        </is>
      </c>
      <c r="G5075" s="12" t="inlineStr">
        <is>
          <t>JB-SC-2 lube-oil fin--DI01</t>
        </is>
      </c>
      <c r="H5075" s="12" t="inlineStr">
        <is>
          <t>SC-2 lube-oil fin-fan cooler</t>
        </is>
      </c>
      <c r="I5075" s="12" t="inlineStr">
        <is>
          <t>Instrumentation</t>
        </is>
      </c>
      <c r="J5075" s="12" t="inlineStr">
        <is>
          <t>Instrumentation PLTC / TC-ER 300 V, #18 twisted shielded pairs, overall shield</t>
        </is>
      </c>
      <c r="K5075" s="12" t="inlineStr">
        <is>
          <t>PLTC|1 pr|16</t>
        </is>
      </c>
      <c r="L5075" s="12" t="inlineStr">
        <is>
          <t>1 pr</t>
        </is>
      </c>
      <c r="M5075" s="12" t="inlineStr">
        <is>
          <t>16</t>
        </is>
      </c>
      <c r="N5075" s="12" t="n">
        <v>8</v>
      </c>
      <c r="O5075" s="12" t="n">
        <v>1</v>
      </c>
      <c r="P5075" s="12" t="n"/>
      <c r="Q5075" s="12" t="n"/>
      <c r="R5075" s="12" t="n"/>
      <c r="S5075" s="12" t="inlineStr">
        <is>
          <t>Tray / conduit</t>
        </is>
      </c>
      <c r="T5075" s="15" t="n">
        <v>46</v>
      </c>
      <c r="U5075" s="15" t="n">
        <v>10</v>
      </c>
      <c r="V5075" s="15">
        <f>ROUNDUP((T5075+U5075+2*'Read Me'!$B$13)*(1+'Read Me'!$B$12),-1)</f>
        <v/>
      </c>
      <c r="W5075" s="15">
        <f>V5075*N5075*O5075</f>
        <v/>
      </c>
      <c r="X5075" s="12">
        <f>IF(LEFT(I5075,2)="MV",2*N5075*IF(L5075="1/C",O5075,1),0)</f>
        <v/>
      </c>
      <c r="Y5075" s="12">
        <f>IF(OR(LEFT(K5075,4)="LVAX",LEFT(K5075,6)="MV15AX",LEFT(K5075,4)="CTAX",LEFT(K5075,2)="W|"),2*N5075*O5075,0)</f>
        <v/>
      </c>
      <c r="Z5075" s="12" t="inlineStr">
        <is>
          <t>device-to-JB field wiring, one cable per device</t>
        </is>
      </c>
      <c r="AA5075" s="12">
        <f>N5075*O5075</f>
        <v/>
      </c>
    </row>
    <row r="5076">
      <c r="A5076" s="12" t="inlineStr">
        <is>
          <t>I-I-0473</t>
        </is>
      </c>
      <c r="B5076" s="12" t="inlineStr">
        <is>
          <t>I</t>
        </is>
      </c>
      <c r="C5076" s="12" t="inlineStr">
        <is>
          <t>Modular / portable power</t>
        </is>
      </c>
      <c r="D5076" s="12" t="inlineStr">
        <is>
          <t>Home run JB-SC-2 lube-oil fin--DI01 to the control / marshalling room</t>
        </is>
      </c>
      <c r="E5076" s="12" t="inlineStr"/>
      <c r="F5076" s="12" t="inlineStr">
        <is>
          <t>SC-2 PCM + 15 kV GCB</t>
        </is>
      </c>
      <c r="G5076" s="12" t="inlineStr">
        <is>
          <t>JB-SC-2 lube-oil fin--DI01</t>
        </is>
      </c>
      <c r="H5076" s="12" t="inlineStr">
        <is>
          <t>SC-2 lube-oil fin-fan cooler</t>
        </is>
      </c>
      <c r="I5076" s="12" t="inlineStr">
        <is>
          <t>Instrumentation</t>
        </is>
      </c>
      <c r="J5076" s="12" t="inlineStr">
        <is>
          <t>Instrumentation PLTC / TC-ER 300 V, #18 twisted shielded pairs, overall shield</t>
        </is>
      </c>
      <c r="K5076" s="12" t="inlineStr">
        <is>
          <t>PLTC|24 pr|18</t>
        </is>
      </c>
      <c r="L5076" s="12" t="inlineStr">
        <is>
          <t>24 pr</t>
        </is>
      </c>
      <c r="M5076" s="12" t="inlineStr">
        <is>
          <t>18</t>
        </is>
      </c>
      <c r="N5076" s="12" t="n">
        <v>1</v>
      </c>
      <c r="O5076" s="12" t="n">
        <v>1</v>
      </c>
      <c r="P5076" s="12" t="n"/>
      <c r="Q5076" s="12" t="n"/>
      <c r="R5076" s="12" t="n"/>
      <c r="S5076" s="12" t="inlineStr">
        <is>
          <t>Duct bank</t>
        </is>
      </c>
      <c r="T5076" s="15" t="n">
        <v>4</v>
      </c>
      <c r="U5076" s="15" t="n">
        <v>38</v>
      </c>
      <c r="V5076" s="15">
        <f>ROUNDUP((T5076+U5076+2*'Read Me'!$B$13)*(1+'Read Me'!$B$12),-1)</f>
        <v/>
      </c>
      <c r="W5076" s="15">
        <f>V5076*N5076*O5076</f>
        <v/>
      </c>
      <c r="X5076" s="12">
        <f>IF(LEFT(I5076,2)="MV",2*N5076*IF(L5076="1/C",O5076,1),0)</f>
        <v/>
      </c>
      <c r="Y5076" s="12">
        <f>IF(OR(LEFT(K5076,4)="LVAX",LEFT(K5076,6)="MV15AX",LEFT(K5076,4)="CTAX",LEFT(K5076,2)="W|"),2*N5076*O5076,0)</f>
        <v/>
      </c>
      <c r="Z5076" s="12" t="inlineStr"/>
      <c r="AA5076" s="12">
        <f>N5076*O5076</f>
        <v/>
      </c>
    </row>
    <row r="5077">
      <c r="A5077" s="12" t="inlineStr">
        <is>
          <t>I-I-0474</t>
        </is>
      </c>
      <c r="B5077" s="12" t="inlineStr">
        <is>
          <t>I</t>
        </is>
      </c>
      <c r="C5077" s="12" t="inlineStr">
        <is>
          <t>Modular / portable power</t>
        </is>
      </c>
      <c r="D5077" s="12" t="inlineStr">
        <is>
          <t>Analog instrument to JB JB-SC-2 tempering-air-AI01: 8 x 1 pr (field cables)</t>
        </is>
      </c>
      <c r="E5077" s="12" t="inlineStr"/>
      <c r="F5077" s="12" t="inlineStr">
        <is>
          <t>SC-2 tempering-air fans (2 x 100 %)</t>
        </is>
      </c>
      <c r="G5077" s="12" t="inlineStr">
        <is>
          <t>JB-SC-2 tempering-air-AI01</t>
        </is>
      </c>
      <c r="H5077" s="12" t="inlineStr">
        <is>
          <t>SC-2 tempering-air fans (2 x 100 %)</t>
        </is>
      </c>
      <c r="I5077" s="12" t="inlineStr">
        <is>
          <t>Instrumentation</t>
        </is>
      </c>
      <c r="J5077" s="12" t="inlineStr">
        <is>
          <t>Instrumentation PLTC / TC-ER 300 V, #18 twisted shielded pairs, overall shield</t>
        </is>
      </c>
      <c r="K5077" s="12" t="inlineStr">
        <is>
          <t>PLTC|1 pr|16</t>
        </is>
      </c>
      <c r="L5077" s="12" t="inlineStr">
        <is>
          <t>1 pr</t>
        </is>
      </c>
      <c r="M5077" s="12" t="inlineStr">
        <is>
          <t>16</t>
        </is>
      </c>
      <c r="N5077" s="12" t="n">
        <v>8</v>
      </c>
      <c r="O5077" s="12" t="n">
        <v>1</v>
      </c>
      <c r="P5077" s="12" t="n"/>
      <c r="Q5077" s="12" t="n"/>
      <c r="R5077" s="12" t="n"/>
      <c r="S5077" s="12" t="inlineStr">
        <is>
          <t>Tray / conduit</t>
        </is>
      </c>
      <c r="T5077" s="15" t="n">
        <v>53</v>
      </c>
      <c r="U5077" s="15" t="n">
        <v>10</v>
      </c>
      <c r="V5077" s="15">
        <f>ROUNDUP((T5077+U5077+2*'Read Me'!$B$13)*(1+'Read Me'!$B$12),-1)</f>
        <v/>
      </c>
      <c r="W5077" s="15">
        <f>V5077*N5077*O5077</f>
        <v/>
      </c>
      <c r="X5077" s="12">
        <f>IF(LEFT(I5077,2)="MV",2*N5077*IF(L5077="1/C",O5077,1),0)</f>
        <v/>
      </c>
      <c r="Y5077" s="12">
        <f>IF(OR(LEFT(K5077,4)="LVAX",LEFT(K5077,6)="MV15AX",LEFT(K5077,4)="CTAX",LEFT(K5077,2)="W|"),2*N5077*O5077,0)</f>
        <v/>
      </c>
      <c r="Z5077" s="12" t="inlineStr">
        <is>
          <t>device-to-JB field wiring, one cable per device</t>
        </is>
      </c>
      <c r="AA5077" s="12">
        <f>N5077*O5077</f>
        <v/>
      </c>
    </row>
    <row r="5078">
      <c r="A5078" s="12" t="inlineStr">
        <is>
          <t>I-I-0475</t>
        </is>
      </c>
      <c r="B5078" s="12" t="inlineStr">
        <is>
          <t>I</t>
        </is>
      </c>
      <c r="C5078" s="12" t="inlineStr">
        <is>
          <t>Modular / portable power</t>
        </is>
      </c>
      <c r="D5078" s="12" t="inlineStr">
        <is>
          <t>Home run JB-SC-2 tempering-air-AI01 to the control / marshalling room</t>
        </is>
      </c>
      <c r="E5078" s="12" t="inlineStr"/>
      <c r="F5078" s="12" t="inlineStr">
        <is>
          <t>SC-2 PCM + 15 kV GCB</t>
        </is>
      </c>
      <c r="G5078" s="12" t="inlineStr">
        <is>
          <t>JB-SC-2 tempering-air-AI01</t>
        </is>
      </c>
      <c r="H5078" s="12" t="inlineStr">
        <is>
          <t>SC-2 tempering-air fans (2 x 100 %)</t>
        </is>
      </c>
      <c r="I5078" s="12" t="inlineStr">
        <is>
          <t>Instrumentation</t>
        </is>
      </c>
      <c r="J5078" s="12" t="inlineStr">
        <is>
          <t>Instrumentation PLTC / TC-ER 300 V, #18 twisted shielded pairs, overall shield</t>
        </is>
      </c>
      <c r="K5078" s="12" t="inlineStr">
        <is>
          <t>PLTC|24 pr|18</t>
        </is>
      </c>
      <c r="L5078" s="12" t="inlineStr">
        <is>
          <t>24 pr</t>
        </is>
      </c>
      <c r="M5078" s="12" t="inlineStr">
        <is>
          <t>18</t>
        </is>
      </c>
      <c r="N5078" s="12" t="n">
        <v>1</v>
      </c>
      <c r="O5078" s="12" t="n">
        <v>1</v>
      </c>
      <c r="P5078" s="12" t="n"/>
      <c r="Q5078" s="12" t="n"/>
      <c r="R5078" s="12" t="n"/>
      <c r="S5078" s="12" t="inlineStr">
        <is>
          <t>Duct bank</t>
        </is>
      </c>
      <c r="T5078" s="15" t="n">
        <v>35</v>
      </c>
      <c r="U5078" s="15" t="n">
        <v>79</v>
      </c>
      <c r="V5078" s="15">
        <f>ROUNDUP((T5078+U5078+2*'Read Me'!$B$13)*(1+'Read Me'!$B$12),-1)</f>
        <v/>
      </c>
      <c r="W5078" s="15">
        <f>V5078*N5078*O5078</f>
        <v/>
      </c>
      <c r="X5078" s="12">
        <f>IF(LEFT(I5078,2)="MV",2*N5078*IF(L5078="1/C",O5078,1),0)</f>
        <v/>
      </c>
      <c r="Y5078" s="12">
        <f>IF(OR(LEFT(K5078,4)="LVAX",LEFT(K5078,6)="MV15AX",LEFT(K5078,4)="CTAX",LEFT(K5078,2)="W|"),2*N5078*O5078,0)</f>
        <v/>
      </c>
      <c r="Z5078" s="12" t="inlineStr"/>
      <c r="AA5078" s="12">
        <f>N5078*O5078</f>
        <v/>
      </c>
    </row>
    <row r="5079">
      <c r="A5079" s="12" t="inlineStr">
        <is>
          <t>I-I-0476</t>
        </is>
      </c>
      <c r="B5079" s="12" t="inlineStr">
        <is>
          <t>I</t>
        </is>
      </c>
      <c r="C5079" s="12" t="inlineStr">
        <is>
          <t>Modular / portable power</t>
        </is>
      </c>
      <c r="D5079" s="12" t="inlineStr">
        <is>
          <t>Discrete device to JB JB-SC-2 tempering-air-DI01: 8 x 1 pr (field cables)</t>
        </is>
      </c>
      <c r="E5079" s="12" t="inlineStr"/>
      <c r="F5079" s="12" t="inlineStr">
        <is>
          <t>SC-2 tempering-air fans (2 x 100 %)</t>
        </is>
      </c>
      <c r="G5079" s="12" t="inlineStr">
        <is>
          <t>JB-SC-2 tempering-air-DI01</t>
        </is>
      </c>
      <c r="H5079" s="12" t="inlineStr">
        <is>
          <t>SC-2 tempering-air fans (2 x 100 %)</t>
        </is>
      </c>
      <c r="I5079" s="12" t="inlineStr">
        <is>
          <t>Instrumentation</t>
        </is>
      </c>
      <c r="J5079" s="12" t="inlineStr">
        <is>
          <t>Instrumentation PLTC / TC-ER 300 V, #18 twisted shielded pairs, overall shield</t>
        </is>
      </c>
      <c r="K5079" s="12" t="inlineStr">
        <is>
          <t>PLTC|1 pr|16</t>
        </is>
      </c>
      <c r="L5079" s="12" t="inlineStr">
        <is>
          <t>1 pr</t>
        </is>
      </c>
      <c r="M5079" s="12" t="inlineStr">
        <is>
          <t>16</t>
        </is>
      </c>
      <c r="N5079" s="12" t="n">
        <v>8</v>
      </c>
      <c r="O5079" s="12" t="n">
        <v>1</v>
      </c>
      <c r="P5079" s="12" t="n"/>
      <c r="Q5079" s="12" t="n"/>
      <c r="R5079" s="12" t="n"/>
      <c r="S5079" s="12" t="inlineStr">
        <is>
          <t>Tray / conduit</t>
        </is>
      </c>
      <c r="T5079" s="15" t="n">
        <v>53</v>
      </c>
      <c r="U5079" s="15" t="n">
        <v>10</v>
      </c>
      <c r="V5079" s="15">
        <f>ROUNDUP((T5079+U5079+2*'Read Me'!$B$13)*(1+'Read Me'!$B$12),-1)</f>
        <v/>
      </c>
      <c r="W5079" s="15">
        <f>V5079*N5079*O5079</f>
        <v/>
      </c>
      <c r="X5079" s="12">
        <f>IF(LEFT(I5079,2)="MV",2*N5079*IF(L5079="1/C",O5079,1),0)</f>
        <v/>
      </c>
      <c r="Y5079" s="12">
        <f>IF(OR(LEFT(K5079,4)="LVAX",LEFT(K5079,6)="MV15AX",LEFT(K5079,4)="CTAX",LEFT(K5079,2)="W|"),2*N5079*O5079,0)</f>
        <v/>
      </c>
      <c r="Z5079" s="12" t="inlineStr">
        <is>
          <t>device-to-JB field wiring, one cable per device</t>
        </is>
      </c>
      <c r="AA5079" s="12">
        <f>N5079*O5079</f>
        <v/>
      </c>
    </row>
    <row r="5080">
      <c r="A5080" s="12" t="inlineStr">
        <is>
          <t>I-I-0477</t>
        </is>
      </c>
      <c r="B5080" s="12" t="inlineStr">
        <is>
          <t>I</t>
        </is>
      </c>
      <c r="C5080" s="12" t="inlineStr">
        <is>
          <t>Modular / portable power</t>
        </is>
      </c>
      <c r="D5080" s="12" t="inlineStr">
        <is>
          <t>Home run JB-SC-2 tempering-air-DI01 to the control / marshalling room</t>
        </is>
      </c>
      <c r="E5080" s="12" t="inlineStr"/>
      <c r="F5080" s="12" t="inlineStr">
        <is>
          <t>SC-2 PCM + 15 kV GCB</t>
        </is>
      </c>
      <c r="G5080" s="12" t="inlineStr">
        <is>
          <t>JB-SC-2 tempering-air-DI01</t>
        </is>
      </c>
      <c r="H5080" s="12" t="inlineStr">
        <is>
          <t>SC-2 tempering-air fans (2 x 100 %)</t>
        </is>
      </c>
      <c r="I5080" s="12" t="inlineStr">
        <is>
          <t>Instrumentation</t>
        </is>
      </c>
      <c r="J5080" s="12" t="inlineStr">
        <is>
          <t>Instrumentation PLTC / TC-ER 300 V, #18 twisted shielded pairs, overall shield</t>
        </is>
      </c>
      <c r="K5080" s="12" t="inlineStr">
        <is>
          <t>PLTC|24 pr|18</t>
        </is>
      </c>
      <c r="L5080" s="12" t="inlineStr">
        <is>
          <t>24 pr</t>
        </is>
      </c>
      <c r="M5080" s="12" t="inlineStr">
        <is>
          <t>18</t>
        </is>
      </c>
      <c r="N5080" s="12" t="n">
        <v>1</v>
      </c>
      <c r="O5080" s="12" t="n">
        <v>1</v>
      </c>
      <c r="P5080" s="12" t="n"/>
      <c r="Q5080" s="12" t="n"/>
      <c r="R5080" s="12" t="n"/>
      <c r="S5080" s="12" t="inlineStr">
        <is>
          <t>Duct bank</t>
        </is>
      </c>
      <c r="T5080" s="15" t="n">
        <v>35</v>
      </c>
      <c r="U5080" s="15" t="n">
        <v>79</v>
      </c>
      <c r="V5080" s="15">
        <f>ROUNDUP((T5080+U5080+2*'Read Me'!$B$13)*(1+'Read Me'!$B$12),-1)</f>
        <v/>
      </c>
      <c r="W5080" s="15">
        <f>V5080*N5080*O5080</f>
        <v/>
      </c>
      <c r="X5080" s="12">
        <f>IF(LEFT(I5080,2)="MV",2*N5080*IF(L5080="1/C",O5080,1),0)</f>
        <v/>
      </c>
      <c r="Y5080" s="12">
        <f>IF(OR(LEFT(K5080,4)="LVAX",LEFT(K5080,6)="MV15AX",LEFT(K5080,4)="CTAX",LEFT(K5080,2)="W|"),2*N5080*O5080,0)</f>
        <v/>
      </c>
      <c r="Z5080" s="12" t="inlineStr"/>
      <c r="AA5080" s="12">
        <f>N5080*O5080</f>
        <v/>
      </c>
    </row>
    <row r="5081">
      <c r="A5081" s="12" t="inlineStr">
        <is>
          <t>I-I-0478</t>
        </is>
      </c>
      <c r="B5081" s="12" t="inlineStr">
        <is>
          <t>I</t>
        </is>
      </c>
      <c r="C5081" s="12" t="inlineStr">
        <is>
          <t>Modular / portable power</t>
        </is>
      </c>
      <c r="D5081" s="12" t="inlineStr">
        <is>
          <t>Analog instrument to JB JB-SC-2-AI01: 20 x 1 pr (field cables)</t>
        </is>
      </c>
      <c r="E5081" s="12" t="inlineStr">
        <is>
          <t>SC-2</t>
        </is>
      </c>
      <c r="F5081" s="12" t="inlineStr">
        <is>
          <t>SC-2: aeroderivative simple-cycle unit (LM6000 class)</t>
        </is>
      </c>
      <c r="G5081" s="12" t="inlineStr">
        <is>
          <t>JB-SC-2-AI01</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PLTC|1 pr|16</t>
        </is>
      </c>
      <c r="L5081" s="12" t="inlineStr">
        <is>
          <t>1 pr</t>
        </is>
      </c>
      <c r="M5081" s="12" t="inlineStr">
        <is>
          <t>16</t>
        </is>
      </c>
      <c r="N5081" s="12" t="n">
        <v>20</v>
      </c>
      <c r="O5081" s="12" t="n">
        <v>1</v>
      </c>
      <c r="P5081" s="12" t="n"/>
      <c r="Q5081" s="12" t="n"/>
      <c r="R5081" s="12" t="n"/>
      <c r="S5081" s="12" t="inlineStr">
        <is>
          <t>Tray / conduit</t>
        </is>
      </c>
      <c r="T5081" s="15" t="n">
        <v>99</v>
      </c>
      <c r="U5081" s="15" t="n">
        <v>10</v>
      </c>
      <c r="V5081" s="15">
        <f>ROUNDUP((T5081+U5081+2*'Read Me'!$B$13)*(1+'Read Me'!$B$12),-1)</f>
        <v/>
      </c>
      <c r="W5081" s="15">
        <f>V5081*N5081*O5081</f>
        <v/>
      </c>
      <c r="X5081" s="12">
        <f>IF(LEFT(I5081,2)="MV",2*N5081*IF(L5081="1/C",O5081,1),0)</f>
        <v/>
      </c>
      <c r="Y5081" s="12">
        <f>IF(OR(LEFT(K5081,4)="LVAX",LEFT(K5081,6)="MV15AX",LEFT(K5081,4)="CTAX",LEFT(K5081,2)="W|"),2*N5081*O5081,0)</f>
        <v/>
      </c>
      <c r="Z5081" s="12" t="inlineStr">
        <is>
          <t>device-to-JB field wiring, one cable per device</t>
        </is>
      </c>
      <c r="AA5081" s="12">
        <f>N5081*O5081</f>
        <v/>
      </c>
    </row>
    <row r="5082">
      <c r="A5082" s="12" t="inlineStr">
        <is>
          <t>I-I-0479</t>
        </is>
      </c>
      <c r="B5082" s="12" t="inlineStr">
        <is>
          <t>I</t>
        </is>
      </c>
      <c r="C5082" s="12" t="inlineStr">
        <is>
          <t>Modular / portable power</t>
        </is>
      </c>
      <c r="D5082" s="12" t="inlineStr">
        <is>
          <t>Home run JB-SC-2-AI01 to the control / marshalling room</t>
        </is>
      </c>
      <c r="E5082" s="12" t="inlineStr"/>
      <c r="F5082" s="12" t="inlineStr">
        <is>
          <t>SC-2 PCM + 15 kV GCB</t>
        </is>
      </c>
      <c r="G5082" s="12" t="inlineStr">
        <is>
          <t>JB-SC-2-AI01</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PLTC|24 pr|18</t>
        </is>
      </c>
      <c r="L5082" s="12" t="inlineStr">
        <is>
          <t>24 pr</t>
        </is>
      </c>
      <c r="M5082" s="12" t="inlineStr">
        <is>
          <t>18</t>
        </is>
      </c>
      <c r="N5082" s="12" t="n">
        <v>1</v>
      </c>
      <c r="O5082" s="12" t="n">
        <v>1</v>
      </c>
      <c r="P5082" s="12" t="n"/>
      <c r="Q5082" s="12" t="n"/>
      <c r="R5082" s="12" t="n"/>
      <c r="S5082" s="12" t="inlineStr">
        <is>
          <t>Duct bank</t>
        </is>
      </c>
      <c r="T5082" s="15" t="n">
        <v>35</v>
      </c>
      <c r="U5082" s="15" t="n">
        <v>32</v>
      </c>
      <c r="V5082" s="15">
        <f>ROUNDUP((T5082+U5082+2*'Read Me'!$B$13)*(1+'Read Me'!$B$12),-1)</f>
        <v/>
      </c>
      <c r="W5082" s="15">
        <f>V5082*N5082*O5082</f>
        <v/>
      </c>
      <c r="X5082" s="12">
        <f>IF(LEFT(I5082,2)="MV",2*N5082*IF(L5082="1/C",O5082,1),0)</f>
        <v/>
      </c>
      <c r="Y5082" s="12">
        <f>IF(OR(LEFT(K5082,4)="LVAX",LEFT(K5082,6)="MV15AX",LEFT(K5082,4)="CTAX",LEFT(K5082,2)="W|"),2*N5082*O5082,0)</f>
        <v/>
      </c>
      <c r="Z5082" s="12" t="inlineStr"/>
      <c r="AA5082" s="12">
        <f>N5082*O5082</f>
        <v/>
      </c>
    </row>
    <row r="5083">
      <c r="A5083" s="12" t="inlineStr">
        <is>
          <t>I-I-0480</t>
        </is>
      </c>
      <c r="B5083" s="12" t="inlineStr">
        <is>
          <t>I</t>
        </is>
      </c>
      <c r="C5083" s="12" t="inlineStr">
        <is>
          <t>Modular / portable power</t>
        </is>
      </c>
      <c r="D5083" s="12" t="inlineStr">
        <is>
          <t>Analog instrument to JB JB-SC-2-AI02: 20 x 1 pr (field cables)</t>
        </is>
      </c>
      <c r="E5083" s="12" t="inlineStr">
        <is>
          <t>SC-2</t>
        </is>
      </c>
      <c r="F5083" s="12" t="inlineStr">
        <is>
          <t>SC-2: aeroderivative simple-cycle unit (LM6000 class)</t>
        </is>
      </c>
      <c r="G5083" s="12" t="inlineStr">
        <is>
          <t>JB-SC-2-AI02</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PLTC|1 pr|16</t>
        </is>
      </c>
      <c r="L5083" s="12" t="inlineStr">
        <is>
          <t>1 pr</t>
        </is>
      </c>
      <c r="M5083" s="12" t="inlineStr">
        <is>
          <t>16</t>
        </is>
      </c>
      <c r="N5083" s="12" t="n">
        <v>20</v>
      </c>
      <c r="O5083" s="12" t="n">
        <v>1</v>
      </c>
      <c r="P5083" s="12" t="n"/>
      <c r="Q5083" s="12" t="n"/>
      <c r="R5083" s="12" t="n"/>
      <c r="S5083" s="12" t="inlineStr">
        <is>
          <t>Tray / conduit</t>
        </is>
      </c>
      <c r="T5083" s="15" t="n">
        <v>99</v>
      </c>
      <c r="U5083" s="15" t="n">
        <v>10</v>
      </c>
      <c r="V5083" s="15">
        <f>ROUNDUP((T5083+U5083+2*'Read Me'!$B$13)*(1+'Read Me'!$B$12),-1)</f>
        <v/>
      </c>
      <c r="W5083" s="15">
        <f>V5083*N5083*O5083</f>
        <v/>
      </c>
      <c r="X5083" s="12">
        <f>IF(LEFT(I5083,2)="MV",2*N5083*IF(L5083="1/C",O5083,1),0)</f>
        <v/>
      </c>
      <c r="Y5083" s="12">
        <f>IF(OR(LEFT(K5083,4)="LVAX",LEFT(K5083,6)="MV15AX",LEFT(K5083,4)="CTAX",LEFT(K5083,2)="W|"),2*N5083*O5083,0)</f>
        <v/>
      </c>
      <c r="Z5083" s="12" t="inlineStr">
        <is>
          <t>device-to-JB field wiring, one cable per device</t>
        </is>
      </c>
      <c r="AA5083" s="12">
        <f>N5083*O5083</f>
        <v/>
      </c>
    </row>
    <row r="5084">
      <c r="A5084" s="12" t="inlineStr">
        <is>
          <t>I-I-0481</t>
        </is>
      </c>
      <c r="B5084" s="12" t="inlineStr">
        <is>
          <t>I</t>
        </is>
      </c>
      <c r="C5084" s="12" t="inlineStr">
        <is>
          <t>Modular / portable power</t>
        </is>
      </c>
      <c r="D5084" s="12" t="inlineStr">
        <is>
          <t>Home run JB-SC-2-AI02 to the control / marshalling room</t>
        </is>
      </c>
      <c r="E5084" s="12" t="inlineStr"/>
      <c r="F5084" s="12" t="inlineStr">
        <is>
          <t>SC-2 PCM + 15 kV GCB</t>
        </is>
      </c>
      <c r="G5084" s="12" t="inlineStr">
        <is>
          <t>JB-SC-2-AI02</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PLTC|24 pr|18</t>
        </is>
      </c>
      <c r="L5084" s="12" t="inlineStr">
        <is>
          <t>24 pr</t>
        </is>
      </c>
      <c r="M5084" s="12" t="inlineStr">
        <is>
          <t>18</t>
        </is>
      </c>
      <c r="N5084" s="12" t="n">
        <v>1</v>
      </c>
      <c r="O5084" s="12" t="n">
        <v>1</v>
      </c>
      <c r="P5084" s="12" t="n"/>
      <c r="Q5084" s="12" t="n"/>
      <c r="R5084" s="12" t="n"/>
      <c r="S5084" s="12" t="inlineStr">
        <is>
          <t>Duct bank</t>
        </is>
      </c>
      <c r="T5084" s="15" t="n">
        <v>35</v>
      </c>
      <c r="U5084" s="15" t="n">
        <v>32</v>
      </c>
      <c r="V5084" s="15">
        <f>ROUNDUP((T5084+U5084+2*'Read Me'!$B$13)*(1+'Read Me'!$B$12),-1)</f>
        <v/>
      </c>
      <c r="W5084" s="15">
        <f>V5084*N5084*O5084</f>
        <v/>
      </c>
      <c r="X5084" s="12">
        <f>IF(LEFT(I5084,2)="MV",2*N5084*IF(L5084="1/C",O5084,1),0)</f>
        <v/>
      </c>
      <c r="Y5084" s="12">
        <f>IF(OR(LEFT(K5084,4)="LVAX",LEFT(K5084,6)="MV15AX",LEFT(K5084,4)="CTAX",LEFT(K5084,2)="W|"),2*N5084*O5084,0)</f>
        <v/>
      </c>
      <c r="Z5084" s="12" t="inlineStr"/>
      <c r="AA5084" s="12">
        <f>N5084*O5084</f>
        <v/>
      </c>
    </row>
    <row r="5085">
      <c r="A5085" s="12" t="inlineStr">
        <is>
          <t>I-I-0482</t>
        </is>
      </c>
      <c r="B5085" s="12" t="inlineStr">
        <is>
          <t>I</t>
        </is>
      </c>
      <c r="C5085" s="12" t="inlineStr">
        <is>
          <t>Modular / portable power</t>
        </is>
      </c>
      <c r="D5085" s="12" t="inlineStr">
        <is>
          <t>Analog instrument to JB JB-SC-2-AI03: 20 x 1 pr (field cables)</t>
        </is>
      </c>
      <c r="E5085" s="12" t="inlineStr">
        <is>
          <t>SC-2</t>
        </is>
      </c>
      <c r="F5085" s="12" t="inlineStr">
        <is>
          <t>SC-2: aeroderivative simple-cycle unit (LM6000 class)</t>
        </is>
      </c>
      <c r="G5085" s="12" t="inlineStr">
        <is>
          <t>JB-SC-2-AI03</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PLTC|1 pr|16</t>
        </is>
      </c>
      <c r="L5085" s="12" t="inlineStr">
        <is>
          <t>1 pr</t>
        </is>
      </c>
      <c r="M5085" s="12" t="inlineStr">
        <is>
          <t>16</t>
        </is>
      </c>
      <c r="N5085" s="12" t="n">
        <v>20</v>
      </c>
      <c r="O5085" s="12" t="n">
        <v>1</v>
      </c>
      <c r="P5085" s="12" t="n"/>
      <c r="Q5085" s="12" t="n"/>
      <c r="R5085" s="12" t="n"/>
      <c r="S5085" s="12" t="inlineStr">
        <is>
          <t>Tray / conduit</t>
        </is>
      </c>
      <c r="T5085" s="15" t="n">
        <v>99</v>
      </c>
      <c r="U5085" s="15" t="n">
        <v>10</v>
      </c>
      <c r="V5085" s="15">
        <f>ROUNDUP((T5085+U5085+2*'Read Me'!$B$13)*(1+'Read Me'!$B$12),-1)</f>
        <v/>
      </c>
      <c r="W5085" s="15">
        <f>V5085*N5085*O5085</f>
        <v/>
      </c>
      <c r="X5085" s="12">
        <f>IF(LEFT(I5085,2)="MV",2*N5085*IF(L5085="1/C",O5085,1),0)</f>
        <v/>
      </c>
      <c r="Y5085" s="12">
        <f>IF(OR(LEFT(K5085,4)="LVAX",LEFT(K5085,6)="MV15AX",LEFT(K5085,4)="CTAX",LEFT(K5085,2)="W|"),2*N5085*O5085,0)</f>
        <v/>
      </c>
      <c r="Z5085" s="12" t="inlineStr">
        <is>
          <t>device-to-JB field wiring, one cable per device</t>
        </is>
      </c>
      <c r="AA5085" s="12">
        <f>N5085*O5085</f>
        <v/>
      </c>
    </row>
    <row r="5086">
      <c r="A5086" s="12" t="inlineStr">
        <is>
          <t>I-I-0483</t>
        </is>
      </c>
      <c r="B5086" s="12" t="inlineStr">
        <is>
          <t>I</t>
        </is>
      </c>
      <c r="C5086" s="12" t="inlineStr">
        <is>
          <t>Modular / portable power</t>
        </is>
      </c>
      <c r="D5086" s="12" t="inlineStr">
        <is>
          <t>Home run JB-SC-2-AI03 to the control / marshalling room</t>
        </is>
      </c>
      <c r="E5086" s="12" t="inlineStr"/>
      <c r="F5086" s="12" t="inlineStr">
        <is>
          <t>SC-2 PCM + 15 kV GCB</t>
        </is>
      </c>
      <c r="G5086" s="12" t="inlineStr">
        <is>
          <t>JB-SC-2-AI03</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PLTC|24 pr|18</t>
        </is>
      </c>
      <c r="L5086" s="12" t="inlineStr">
        <is>
          <t>24 pr</t>
        </is>
      </c>
      <c r="M5086" s="12" t="inlineStr">
        <is>
          <t>18</t>
        </is>
      </c>
      <c r="N5086" s="12" t="n">
        <v>1</v>
      </c>
      <c r="O5086" s="12" t="n">
        <v>1</v>
      </c>
      <c r="P5086" s="12" t="n"/>
      <c r="Q5086" s="12" t="n"/>
      <c r="R5086" s="12" t="n"/>
      <c r="S5086" s="12" t="inlineStr">
        <is>
          <t>Duct bank</t>
        </is>
      </c>
      <c r="T5086" s="15" t="n">
        <v>35</v>
      </c>
      <c r="U5086" s="15" t="n">
        <v>32</v>
      </c>
      <c r="V5086" s="15">
        <f>ROUNDUP((T5086+U5086+2*'Read Me'!$B$13)*(1+'Read Me'!$B$12),-1)</f>
        <v/>
      </c>
      <c r="W5086" s="15">
        <f>V5086*N5086*O5086</f>
        <v/>
      </c>
      <c r="X5086" s="12">
        <f>IF(LEFT(I5086,2)="MV",2*N5086*IF(L5086="1/C",O5086,1),0)</f>
        <v/>
      </c>
      <c r="Y5086" s="12">
        <f>IF(OR(LEFT(K5086,4)="LVAX",LEFT(K5086,6)="MV15AX",LEFT(K5086,4)="CTAX",LEFT(K5086,2)="W|"),2*N5086*O5086,0)</f>
        <v/>
      </c>
      <c r="Z5086" s="12" t="inlineStr"/>
      <c r="AA5086" s="12">
        <f>N5086*O5086</f>
        <v/>
      </c>
    </row>
    <row r="5087">
      <c r="A5087" s="12" t="inlineStr">
        <is>
          <t>I-I-0484</t>
        </is>
      </c>
      <c r="B5087" s="12" t="inlineStr">
        <is>
          <t>I</t>
        </is>
      </c>
      <c r="C5087" s="12" t="inlineStr">
        <is>
          <t>Modular / portable power</t>
        </is>
      </c>
      <c r="D5087" s="12" t="inlineStr">
        <is>
          <t>Analog instrument to JB JB-SC-2-AI04: 20 x 1 pr (field cables)</t>
        </is>
      </c>
      <c r="E5087" s="12" t="inlineStr">
        <is>
          <t>SC-2</t>
        </is>
      </c>
      <c r="F5087" s="12" t="inlineStr">
        <is>
          <t>SC-2: aeroderivative simple-cycle unit (LM6000 class)</t>
        </is>
      </c>
      <c r="G5087" s="12" t="inlineStr">
        <is>
          <t>JB-SC-2-AI04</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PLTC|1 pr|16</t>
        </is>
      </c>
      <c r="L5087" s="12" t="inlineStr">
        <is>
          <t>1 pr</t>
        </is>
      </c>
      <c r="M5087" s="12" t="inlineStr">
        <is>
          <t>16</t>
        </is>
      </c>
      <c r="N5087" s="12" t="n">
        <v>20</v>
      </c>
      <c r="O5087" s="12" t="n">
        <v>1</v>
      </c>
      <c r="P5087" s="12" t="n"/>
      <c r="Q5087" s="12" t="n"/>
      <c r="R5087" s="12" t="n"/>
      <c r="S5087" s="12" t="inlineStr">
        <is>
          <t>Tray / conduit</t>
        </is>
      </c>
      <c r="T5087" s="15" t="n">
        <v>99</v>
      </c>
      <c r="U5087" s="15" t="n">
        <v>10</v>
      </c>
      <c r="V5087" s="15">
        <f>ROUNDUP((T5087+U5087+2*'Read Me'!$B$13)*(1+'Read Me'!$B$12),-1)</f>
        <v/>
      </c>
      <c r="W5087" s="15">
        <f>V5087*N5087*O5087</f>
        <v/>
      </c>
      <c r="X5087" s="12">
        <f>IF(LEFT(I5087,2)="MV",2*N5087*IF(L5087="1/C",O5087,1),0)</f>
        <v/>
      </c>
      <c r="Y5087" s="12">
        <f>IF(OR(LEFT(K5087,4)="LVAX",LEFT(K5087,6)="MV15AX",LEFT(K5087,4)="CTAX",LEFT(K5087,2)="W|"),2*N5087*O5087,0)</f>
        <v/>
      </c>
      <c r="Z5087" s="12" t="inlineStr">
        <is>
          <t>device-to-JB field wiring, one cable per device</t>
        </is>
      </c>
      <c r="AA5087" s="12">
        <f>N5087*O5087</f>
        <v/>
      </c>
    </row>
    <row r="5088">
      <c r="A5088" s="12" t="inlineStr">
        <is>
          <t>I-I-0485</t>
        </is>
      </c>
      <c r="B5088" s="12" t="inlineStr">
        <is>
          <t>I</t>
        </is>
      </c>
      <c r="C5088" s="12" t="inlineStr">
        <is>
          <t>Modular / portable power</t>
        </is>
      </c>
      <c r="D5088" s="12" t="inlineStr">
        <is>
          <t>Home run JB-SC-2-AI04 to the control / marshalling room</t>
        </is>
      </c>
      <c r="E5088" s="12" t="inlineStr"/>
      <c r="F5088" s="12" t="inlineStr">
        <is>
          <t>SC-2 PCM + 15 kV GCB</t>
        </is>
      </c>
      <c r="G5088" s="12" t="inlineStr">
        <is>
          <t>JB-SC-2-AI04</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PLTC|24 pr|18</t>
        </is>
      </c>
      <c r="L5088" s="12" t="inlineStr">
        <is>
          <t>24 pr</t>
        </is>
      </c>
      <c r="M5088" s="12" t="inlineStr">
        <is>
          <t>18</t>
        </is>
      </c>
      <c r="N5088" s="12" t="n">
        <v>1</v>
      </c>
      <c r="O5088" s="12" t="n">
        <v>1</v>
      </c>
      <c r="P5088" s="12" t="n"/>
      <c r="Q5088" s="12" t="n"/>
      <c r="R5088" s="12" t="n"/>
      <c r="S5088" s="12" t="inlineStr">
        <is>
          <t>Duct bank</t>
        </is>
      </c>
      <c r="T5088" s="15" t="n">
        <v>35</v>
      </c>
      <c r="U5088" s="15" t="n">
        <v>32</v>
      </c>
      <c r="V5088" s="15">
        <f>ROUNDUP((T5088+U5088+2*'Read Me'!$B$13)*(1+'Read Me'!$B$12),-1)</f>
        <v/>
      </c>
      <c r="W5088" s="15">
        <f>V5088*N5088*O5088</f>
        <v/>
      </c>
      <c r="X5088" s="12">
        <f>IF(LEFT(I5088,2)="MV",2*N5088*IF(L5088="1/C",O5088,1),0)</f>
        <v/>
      </c>
      <c r="Y5088" s="12">
        <f>IF(OR(LEFT(K5088,4)="LVAX",LEFT(K5088,6)="MV15AX",LEFT(K5088,4)="CTAX",LEFT(K5088,2)="W|"),2*N5088*O5088,0)</f>
        <v/>
      </c>
      <c r="Z5088" s="12" t="inlineStr"/>
      <c r="AA5088" s="12">
        <f>N5088*O5088</f>
        <v/>
      </c>
    </row>
    <row r="5089">
      <c r="A5089" s="12" t="inlineStr">
        <is>
          <t>I-I-0486</t>
        </is>
      </c>
      <c r="B5089" s="12" t="inlineStr">
        <is>
          <t>I</t>
        </is>
      </c>
      <c r="C5089" s="12" t="inlineStr">
        <is>
          <t>Modular / portable power</t>
        </is>
      </c>
      <c r="D5089" s="12" t="inlineStr">
        <is>
          <t>Analog instrument to JB JB-SC-2-AI05: 20 x 1 pr (field cables)</t>
        </is>
      </c>
      <c r="E5089" s="12" t="inlineStr">
        <is>
          <t>SC-2</t>
        </is>
      </c>
      <c r="F5089" s="12" t="inlineStr">
        <is>
          <t>SC-2: aeroderivative simple-cycle unit (LM6000 class)</t>
        </is>
      </c>
      <c r="G5089" s="12" t="inlineStr">
        <is>
          <t>JB-SC-2-AI05</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PLTC|1 pr|16</t>
        </is>
      </c>
      <c r="L5089" s="12" t="inlineStr">
        <is>
          <t>1 pr</t>
        </is>
      </c>
      <c r="M5089" s="12" t="inlineStr">
        <is>
          <t>16</t>
        </is>
      </c>
      <c r="N5089" s="12" t="n">
        <v>20</v>
      </c>
      <c r="O5089" s="12" t="n">
        <v>1</v>
      </c>
      <c r="P5089" s="12" t="n"/>
      <c r="Q5089" s="12" t="n"/>
      <c r="R5089" s="12" t="n"/>
      <c r="S5089" s="12" t="inlineStr">
        <is>
          <t>Tray / conduit</t>
        </is>
      </c>
      <c r="T5089" s="15" t="n">
        <v>99</v>
      </c>
      <c r="U5089" s="15" t="n">
        <v>10</v>
      </c>
      <c r="V5089" s="15">
        <f>ROUNDUP((T5089+U5089+2*'Read Me'!$B$13)*(1+'Read Me'!$B$12),-1)</f>
        <v/>
      </c>
      <c r="W5089" s="15">
        <f>V5089*N5089*O5089</f>
        <v/>
      </c>
      <c r="X5089" s="12">
        <f>IF(LEFT(I5089,2)="MV",2*N5089*IF(L5089="1/C",O5089,1),0)</f>
        <v/>
      </c>
      <c r="Y5089" s="12">
        <f>IF(OR(LEFT(K5089,4)="LVAX",LEFT(K5089,6)="MV15AX",LEFT(K5089,4)="CTAX",LEFT(K5089,2)="W|"),2*N5089*O5089,0)</f>
        <v/>
      </c>
      <c r="Z5089" s="12" t="inlineStr">
        <is>
          <t>device-to-JB field wiring, one cable per device</t>
        </is>
      </c>
      <c r="AA5089" s="12">
        <f>N5089*O5089</f>
        <v/>
      </c>
    </row>
    <row r="5090">
      <c r="A5090" s="12" t="inlineStr">
        <is>
          <t>I-I-0487</t>
        </is>
      </c>
      <c r="B5090" s="12" t="inlineStr">
        <is>
          <t>I</t>
        </is>
      </c>
      <c r="C5090" s="12" t="inlineStr">
        <is>
          <t>Modular / portable power</t>
        </is>
      </c>
      <c r="D5090" s="12" t="inlineStr">
        <is>
          <t>Home run JB-SC-2-AI05 to the control / marshalling room</t>
        </is>
      </c>
      <c r="E5090" s="12" t="inlineStr"/>
      <c r="F5090" s="12" t="inlineStr">
        <is>
          <t>SC-2 PCM + 15 kV GCB</t>
        </is>
      </c>
      <c r="G5090" s="12" t="inlineStr">
        <is>
          <t>JB-SC-2-AI05</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PLTC|24 pr|18</t>
        </is>
      </c>
      <c r="L5090" s="12" t="inlineStr">
        <is>
          <t>24 pr</t>
        </is>
      </c>
      <c r="M5090" s="12" t="inlineStr">
        <is>
          <t>18</t>
        </is>
      </c>
      <c r="N5090" s="12" t="n">
        <v>1</v>
      </c>
      <c r="O5090" s="12" t="n">
        <v>1</v>
      </c>
      <c r="P5090" s="12" t="n"/>
      <c r="Q5090" s="12" t="n"/>
      <c r="R5090" s="12" t="n"/>
      <c r="S5090" s="12" t="inlineStr">
        <is>
          <t>Duct bank</t>
        </is>
      </c>
      <c r="T5090" s="15" t="n">
        <v>35</v>
      </c>
      <c r="U5090" s="15" t="n">
        <v>32</v>
      </c>
      <c r="V5090" s="15">
        <f>ROUNDUP((T5090+U5090+2*'Read Me'!$B$13)*(1+'Read Me'!$B$12),-1)</f>
        <v/>
      </c>
      <c r="W5090" s="15">
        <f>V5090*N5090*O5090</f>
        <v/>
      </c>
      <c r="X5090" s="12">
        <f>IF(LEFT(I5090,2)="MV",2*N5090*IF(L5090="1/C",O5090,1),0)</f>
        <v/>
      </c>
      <c r="Y5090" s="12">
        <f>IF(OR(LEFT(K5090,4)="LVAX",LEFT(K5090,6)="MV15AX",LEFT(K5090,4)="CTAX",LEFT(K5090,2)="W|"),2*N5090*O5090,0)</f>
        <v/>
      </c>
      <c r="Z5090" s="12" t="inlineStr"/>
      <c r="AA5090" s="12">
        <f>N5090*O5090</f>
        <v/>
      </c>
    </row>
    <row r="5091">
      <c r="A5091" s="12" t="inlineStr">
        <is>
          <t>I-I-0488</t>
        </is>
      </c>
      <c r="B5091" s="12" t="inlineStr">
        <is>
          <t>I</t>
        </is>
      </c>
      <c r="C5091" s="12" t="inlineStr">
        <is>
          <t>Modular / portable power</t>
        </is>
      </c>
      <c r="D5091" s="12" t="inlineStr">
        <is>
          <t>Analog instrument to JB JB-SC-2-AI06: 20 x 1 pr (field cables)</t>
        </is>
      </c>
      <c r="E5091" s="12" t="inlineStr">
        <is>
          <t>SC-2</t>
        </is>
      </c>
      <c r="F5091" s="12" t="inlineStr">
        <is>
          <t>SC-2: aeroderivative simple-cycle unit (LM6000 class)</t>
        </is>
      </c>
      <c r="G5091" s="12" t="inlineStr">
        <is>
          <t>JB-SC-2-AI06</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PLTC|1 pr|16</t>
        </is>
      </c>
      <c r="L5091" s="12" t="inlineStr">
        <is>
          <t>1 pr</t>
        </is>
      </c>
      <c r="M5091" s="12" t="inlineStr">
        <is>
          <t>16</t>
        </is>
      </c>
      <c r="N5091" s="12" t="n">
        <v>20</v>
      </c>
      <c r="O5091" s="12" t="n">
        <v>1</v>
      </c>
      <c r="P5091" s="12" t="n"/>
      <c r="Q5091" s="12" t="n"/>
      <c r="R5091" s="12" t="n"/>
      <c r="S5091" s="12" t="inlineStr">
        <is>
          <t>Tray / conduit</t>
        </is>
      </c>
      <c r="T5091" s="15" t="n">
        <v>99</v>
      </c>
      <c r="U5091" s="15" t="n">
        <v>10</v>
      </c>
      <c r="V5091" s="15">
        <f>ROUNDUP((T5091+U5091+2*'Read Me'!$B$13)*(1+'Read Me'!$B$12),-1)</f>
        <v/>
      </c>
      <c r="W5091" s="15">
        <f>V5091*N5091*O5091</f>
        <v/>
      </c>
      <c r="X5091" s="12">
        <f>IF(LEFT(I5091,2)="MV",2*N5091*IF(L5091="1/C",O5091,1),0)</f>
        <v/>
      </c>
      <c r="Y5091" s="12">
        <f>IF(OR(LEFT(K5091,4)="LVAX",LEFT(K5091,6)="MV15AX",LEFT(K5091,4)="CTAX",LEFT(K5091,2)="W|"),2*N5091*O5091,0)</f>
        <v/>
      </c>
      <c r="Z5091" s="12" t="inlineStr">
        <is>
          <t>device-to-JB field wiring, one cable per device</t>
        </is>
      </c>
      <c r="AA5091" s="12">
        <f>N5091*O5091</f>
        <v/>
      </c>
    </row>
    <row r="5092">
      <c r="A5092" s="12" t="inlineStr">
        <is>
          <t>I-I-0489</t>
        </is>
      </c>
      <c r="B5092" s="12" t="inlineStr">
        <is>
          <t>I</t>
        </is>
      </c>
      <c r="C5092" s="12" t="inlineStr">
        <is>
          <t>Modular / portable power</t>
        </is>
      </c>
      <c r="D5092" s="12" t="inlineStr">
        <is>
          <t>Home run JB-SC-2-AI06 to the control / marshalling room</t>
        </is>
      </c>
      <c r="E5092" s="12" t="inlineStr"/>
      <c r="F5092" s="12" t="inlineStr">
        <is>
          <t>SC-2 PCM + 15 kV GCB</t>
        </is>
      </c>
      <c r="G5092" s="12" t="inlineStr">
        <is>
          <t>JB-SC-2-AI06</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PLTC|24 pr|18</t>
        </is>
      </c>
      <c r="L5092" s="12" t="inlineStr">
        <is>
          <t>24 pr</t>
        </is>
      </c>
      <c r="M5092" s="12" t="inlineStr">
        <is>
          <t>18</t>
        </is>
      </c>
      <c r="N5092" s="12" t="n">
        <v>1</v>
      </c>
      <c r="O5092" s="12" t="n">
        <v>1</v>
      </c>
      <c r="P5092" s="12" t="n"/>
      <c r="Q5092" s="12" t="n"/>
      <c r="R5092" s="12" t="n"/>
      <c r="S5092" s="12" t="inlineStr">
        <is>
          <t>Duct bank</t>
        </is>
      </c>
      <c r="T5092" s="15" t="n">
        <v>35</v>
      </c>
      <c r="U5092" s="15" t="n">
        <v>32</v>
      </c>
      <c r="V5092" s="15">
        <f>ROUNDUP((T5092+U5092+2*'Read Me'!$B$13)*(1+'Read Me'!$B$12),-1)</f>
        <v/>
      </c>
      <c r="W5092" s="15">
        <f>V5092*N5092*O5092</f>
        <v/>
      </c>
      <c r="X5092" s="12">
        <f>IF(LEFT(I5092,2)="MV",2*N5092*IF(L5092="1/C",O5092,1),0)</f>
        <v/>
      </c>
      <c r="Y5092" s="12">
        <f>IF(OR(LEFT(K5092,4)="LVAX",LEFT(K5092,6)="MV15AX",LEFT(K5092,4)="CTAX",LEFT(K5092,2)="W|"),2*N5092*O5092,0)</f>
        <v/>
      </c>
      <c r="Z5092" s="12" t="inlineStr"/>
      <c r="AA5092" s="12">
        <f>N5092*O5092</f>
        <v/>
      </c>
    </row>
    <row r="5093">
      <c r="A5093" s="12" t="inlineStr">
        <is>
          <t>I-I-0490</t>
        </is>
      </c>
      <c r="B5093" s="12" t="inlineStr">
        <is>
          <t>I</t>
        </is>
      </c>
      <c r="C5093" s="12" t="inlineStr">
        <is>
          <t>Modular / portable power</t>
        </is>
      </c>
      <c r="D5093" s="12" t="inlineStr">
        <is>
          <t>Analog instrument to JB JB-SC-2-AI07: 20 x 1 pr (field cables)</t>
        </is>
      </c>
      <c r="E5093" s="12" t="inlineStr">
        <is>
          <t>SC-2</t>
        </is>
      </c>
      <c r="F5093" s="12" t="inlineStr">
        <is>
          <t>SC-2: aeroderivative simple-cycle unit (LM6000 class)</t>
        </is>
      </c>
      <c r="G5093" s="12" t="inlineStr">
        <is>
          <t>JB-SC-2-AI07</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PLTC|1 pr|16</t>
        </is>
      </c>
      <c r="L5093" s="12" t="inlineStr">
        <is>
          <t>1 pr</t>
        </is>
      </c>
      <c r="M5093" s="12" t="inlineStr">
        <is>
          <t>16</t>
        </is>
      </c>
      <c r="N5093" s="12" t="n">
        <v>20</v>
      </c>
      <c r="O5093" s="12" t="n">
        <v>1</v>
      </c>
      <c r="P5093" s="12" t="n"/>
      <c r="Q5093" s="12" t="n"/>
      <c r="R5093" s="12" t="n"/>
      <c r="S5093" s="12" t="inlineStr">
        <is>
          <t>Tray / conduit</t>
        </is>
      </c>
      <c r="T5093" s="15" t="n">
        <v>99</v>
      </c>
      <c r="U5093" s="15" t="n">
        <v>10</v>
      </c>
      <c r="V5093" s="15">
        <f>ROUNDUP((T5093+U5093+2*'Read Me'!$B$13)*(1+'Read Me'!$B$12),-1)</f>
        <v/>
      </c>
      <c r="W5093" s="15">
        <f>V5093*N5093*O5093</f>
        <v/>
      </c>
      <c r="X5093" s="12">
        <f>IF(LEFT(I5093,2)="MV",2*N5093*IF(L5093="1/C",O5093,1),0)</f>
        <v/>
      </c>
      <c r="Y5093" s="12">
        <f>IF(OR(LEFT(K5093,4)="LVAX",LEFT(K5093,6)="MV15AX",LEFT(K5093,4)="CTAX",LEFT(K5093,2)="W|"),2*N5093*O5093,0)</f>
        <v/>
      </c>
      <c r="Z5093" s="12" t="inlineStr">
        <is>
          <t>device-to-JB field wiring, one cable per device</t>
        </is>
      </c>
      <c r="AA5093" s="12">
        <f>N5093*O5093</f>
        <v/>
      </c>
    </row>
    <row r="5094">
      <c r="A5094" s="12" t="inlineStr">
        <is>
          <t>I-I-0491</t>
        </is>
      </c>
      <c r="B5094" s="12" t="inlineStr">
        <is>
          <t>I</t>
        </is>
      </c>
      <c r="C5094" s="12" t="inlineStr">
        <is>
          <t>Modular / portable power</t>
        </is>
      </c>
      <c r="D5094" s="12" t="inlineStr">
        <is>
          <t>Home run JB-SC-2-AI07 to the control / marshalling room</t>
        </is>
      </c>
      <c r="E5094" s="12" t="inlineStr"/>
      <c r="F5094" s="12" t="inlineStr">
        <is>
          <t>SC-2 PCM + 15 kV GCB</t>
        </is>
      </c>
      <c r="G5094" s="12" t="inlineStr">
        <is>
          <t>JB-SC-2-AI07</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PLTC|24 pr|18</t>
        </is>
      </c>
      <c r="L5094" s="12" t="inlineStr">
        <is>
          <t>24 pr</t>
        </is>
      </c>
      <c r="M5094" s="12" t="inlineStr">
        <is>
          <t>18</t>
        </is>
      </c>
      <c r="N5094" s="12" t="n">
        <v>1</v>
      </c>
      <c r="O5094" s="12" t="n">
        <v>1</v>
      </c>
      <c r="P5094" s="12" t="n"/>
      <c r="Q5094" s="12" t="n"/>
      <c r="R5094" s="12" t="n"/>
      <c r="S5094" s="12" t="inlineStr">
        <is>
          <t>Duct bank</t>
        </is>
      </c>
      <c r="T5094" s="15" t="n">
        <v>35</v>
      </c>
      <c r="U5094" s="15" t="n">
        <v>32</v>
      </c>
      <c r="V5094" s="15">
        <f>ROUNDUP((T5094+U5094+2*'Read Me'!$B$13)*(1+'Read Me'!$B$12),-1)</f>
        <v/>
      </c>
      <c r="W5094" s="15">
        <f>V5094*N5094*O5094</f>
        <v/>
      </c>
      <c r="X5094" s="12">
        <f>IF(LEFT(I5094,2)="MV",2*N5094*IF(L5094="1/C",O5094,1),0)</f>
        <v/>
      </c>
      <c r="Y5094" s="12">
        <f>IF(OR(LEFT(K5094,4)="LVAX",LEFT(K5094,6)="MV15AX",LEFT(K5094,4)="CTAX",LEFT(K5094,2)="W|"),2*N5094*O5094,0)</f>
        <v/>
      </c>
      <c r="Z5094" s="12" t="inlineStr"/>
      <c r="AA5094" s="12">
        <f>N5094*O5094</f>
        <v/>
      </c>
    </row>
    <row r="5095">
      <c r="A5095" s="12" t="inlineStr">
        <is>
          <t>I-I-0492</t>
        </is>
      </c>
      <c r="B5095" s="12" t="inlineStr">
        <is>
          <t>I</t>
        </is>
      </c>
      <c r="C5095" s="12" t="inlineStr">
        <is>
          <t>Modular / portable power</t>
        </is>
      </c>
      <c r="D5095" s="12" t="inlineStr">
        <is>
          <t>Analog instrument to JB JB-SC-2-AI08: 10 x 1 pr (field cables)</t>
        </is>
      </c>
      <c r="E5095" s="12" t="inlineStr">
        <is>
          <t>SC-2</t>
        </is>
      </c>
      <c r="F5095" s="12" t="inlineStr">
        <is>
          <t>SC-2: aeroderivative simple-cycle unit (LM6000 class)</t>
        </is>
      </c>
      <c r="G5095" s="12" t="inlineStr">
        <is>
          <t>JB-SC-2-AI08</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PLTC|1 pr|16</t>
        </is>
      </c>
      <c r="L5095" s="12" t="inlineStr">
        <is>
          <t>1 pr</t>
        </is>
      </c>
      <c r="M5095" s="12" t="inlineStr">
        <is>
          <t>16</t>
        </is>
      </c>
      <c r="N5095" s="12" t="n">
        <v>10</v>
      </c>
      <c r="O5095" s="12" t="n">
        <v>1</v>
      </c>
      <c r="P5095" s="12" t="n"/>
      <c r="Q5095" s="12" t="n"/>
      <c r="R5095" s="12" t="n"/>
      <c r="S5095" s="12" t="inlineStr">
        <is>
          <t>Tray / conduit</t>
        </is>
      </c>
      <c r="T5095" s="15" t="n">
        <v>99</v>
      </c>
      <c r="U5095" s="15" t="n">
        <v>10</v>
      </c>
      <c r="V5095" s="15">
        <f>ROUNDUP((T5095+U5095+2*'Read Me'!$B$13)*(1+'Read Me'!$B$12),-1)</f>
        <v/>
      </c>
      <c r="W5095" s="15">
        <f>V5095*N5095*O5095</f>
        <v/>
      </c>
      <c r="X5095" s="12">
        <f>IF(LEFT(I5095,2)="MV",2*N5095*IF(L5095="1/C",O5095,1),0)</f>
        <v/>
      </c>
      <c r="Y5095" s="12">
        <f>IF(OR(LEFT(K5095,4)="LVAX",LEFT(K5095,6)="MV15AX",LEFT(K5095,4)="CTAX",LEFT(K5095,2)="W|"),2*N5095*O5095,0)</f>
        <v/>
      </c>
      <c r="Z5095" s="12" t="inlineStr">
        <is>
          <t>device-to-JB field wiring, one cable per device</t>
        </is>
      </c>
      <c r="AA5095" s="12">
        <f>N5095*O5095</f>
        <v/>
      </c>
    </row>
    <row r="5096">
      <c r="A5096" s="12" t="inlineStr">
        <is>
          <t>I-I-0493</t>
        </is>
      </c>
      <c r="B5096" s="12" t="inlineStr">
        <is>
          <t>I</t>
        </is>
      </c>
      <c r="C5096" s="12" t="inlineStr">
        <is>
          <t>Modular / portable power</t>
        </is>
      </c>
      <c r="D5096" s="12" t="inlineStr">
        <is>
          <t>Home run JB-SC-2-AI08 to the control / marshalling room</t>
        </is>
      </c>
      <c r="E5096" s="12" t="inlineStr"/>
      <c r="F5096" s="12" t="inlineStr">
        <is>
          <t>SC-2 PCM + 15 kV GCB</t>
        </is>
      </c>
      <c r="G5096" s="12" t="inlineStr">
        <is>
          <t>JB-SC-2-AI08</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PLTC|24 pr|18</t>
        </is>
      </c>
      <c r="L5096" s="12" t="inlineStr">
        <is>
          <t>24 pr</t>
        </is>
      </c>
      <c r="M5096" s="12" t="inlineStr">
        <is>
          <t>18</t>
        </is>
      </c>
      <c r="N5096" s="12" t="n">
        <v>1</v>
      </c>
      <c r="O5096" s="12" t="n">
        <v>1</v>
      </c>
      <c r="P5096" s="12" t="n"/>
      <c r="Q5096" s="12" t="n"/>
      <c r="R5096" s="12" t="n"/>
      <c r="S5096" s="12" t="inlineStr">
        <is>
          <t>Duct bank</t>
        </is>
      </c>
      <c r="T5096" s="15" t="n">
        <v>35</v>
      </c>
      <c r="U5096" s="15" t="n">
        <v>32</v>
      </c>
      <c r="V5096" s="15">
        <f>ROUNDUP((T5096+U5096+2*'Read Me'!$B$13)*(1+'Read Me'!$B$12),-1)</f>
        <v/>
      </c>
      <c r="W5096" s="15">
        <f>V5096*N5096*O5096</f>
        <v/>
      </c>
      <c r="X5096" s="12">
        <f>IF(LEFT(I5096,2)="MV",2*N5096*IF(L5096="1/C",O5096,1),0)</f>
        <v/>
      </c>
      <c r="Y5096" s="12">
        <f>IF(OR(LEFT(K5096,4)="LVAX",LEFT(K5096,6)="MV15AX",LEFT(K5096,4)="CTAX",LEFT(K5096,2)="W|"),2*N5096*O5096,0)</f>
        <v/>
      </c>
      <c r="Z5096" s="12" t="inlineStr"/>
      <c r="AA5096" s="12">
        <f>N5096*O5096</f>
        <v/>
      </c>
    </row>
    <row r="5097">
      <c r="A5097" s="12" t="inlineStr">
        <is>
          <t>I-I-0494</t>
        </is>
      </c>
      <c r="B5097" s="12" t="inlineStr">
        <is>
          <t>I</t>
        </is>
      </c>
      <c r="C5097" s="12" t="inlineStr">
        <is>
          <t>Modular / portable power</t>
        </is>
      </c>
      <c r="D5097" s="12" t="inlineStr">
        <is>
          <t>Discrete device to JB JB-SC-2-DI01: 20 x 1 pr (field cables)</t>
        </is>
      </c>
      <c r="E5097" s="12" t="inlineStr">
        <is>
          <t>SC-2</t>
        </is>
      </c>
      <c r="F5097" s="12" t="inlineStr">
        <is>
          <t>SC-2: aeroderivative simple-cycle unit (LM6000 class)</t>
        </is>
      </c>
      <c r="G5097" s="12" t="inlineStr">
        <is>
          <t>JB-SC-2-DI01</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PLTC|1 pr|16</t>
        </is>
      </c>
      <c r="L5097" s="12" t="inlineStr">
        <is>
          <t>1 pr</t>
        </is>
      </c>
      <c r="M5097" s="12" t="inlineStr">
        <is>
          <t>16</t>
        </is>
      </c>
      <c r="N5097" s="12" t="n">
        <v>20</v>
      </c>
      <c r="O5097" s="12" t="n">
        <v>1</v>
      </c>
      <c r="P5097" s="12" t="n"/>
      <c r="Q5097" s="12" t="n"/>
      <c r="R5097" s="12" t="n"/>
      <c r="S5097" s="12" t="inlineStr">
        <is>
          <t>Tray / conduit</t>
        </is>
      </c>
      <c r="T5097" s="15" t="n">
        <v>99</v>
      </c>
      <c r="U5097" s="15" t="n">
        <v>10</v>
      </c>
      <c r="V5097" s="15">
        <f>ROUNDUP((T5097+U5097+2*'Read Me'!$B$13)*(1+'Read Me'!$B$12),-1)</f>
        <v/>
      </c>
      <c r="W5097" s="15">
        <f>V5097*N5097*O5097</f>
        <v/>
      </c>
      <c r="X5097" s="12">
        <f>IF(LEFT(I5097,2)="MV",2*N5097*IF(L5097="1/C",O5097,1),0)</f>
        <v/>
      </c>
      <c r="Y5097" s="12">
        <f>IF(OR(LEFT(K5097,4)="LVAX",LEFT(K5097,6)="MV15AX",LEFT(K5097,4)="CTAX",LEFT(K5097,2)="W|"),2*N5097*O5097,0)</f>
        <v/>
      </c>
      <c r="Z5097" s="12" t="inlineStr">
        <is>
          <t>device-to-JB field wiring, one cable per device</t>
        </is>
      </c>
      <c r="AA5097" s="12">
        <f>N5097*O5097</f>
        <v/>
      </c>
    </row>
    <row r="5098">
      <c r="A5098" s="12" t="inlineStr">
        <is>
          <t>I-I-0495</t>
        </is>
      </c>
      <c r="B5098" s="12" t="inlineStr">
        <is>
          <t>I</t>
        </is>
      </c>
      <c r="C5098" s="12" t="inlineStr">
        <is>
          <t>Modular / portable power</t>
        </is>
      </c>
      <c r="D5098" s="12" t="inlineStr">
        <is>
          <t>Home run JB-SC-2-DI01 to the control / marshalling room</t>
        </is>
      </c>
      <c r="E5098" s="12" t="inlineStr"/>
      <c r="F5098" s="12" t="inlineStr">
        <is>
          <t>SC-2 PCM + 15 kV GCB</t>
        </is>
      </c>
      <c r="G5098" s="12" t="inlineStr">
        <is>
          <t>JB-SC-2-DI01</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PLTC|24 pr|18</t>
        </is>
      </c>
      <c r="L5098" s="12" t="inlineStr">
        <is>
          <t>24 pr</t>
        </is>
      </c>
      <c r="M5098" s="12" t="inlineStr">
        <is>
          <t>18</t>
        </is>
      </c>
      <c r="N5098" s="12" t="n">
        <v>1</v>
      </c>
      <c r="O5098" s="12" t="n">
        <v>1</v>
      </c>
      <c r="P5098" s="12" t="n"/>
      <c r="Q5098" s="12" t="n"/>
      <c r="R5098" s="12" t="n"/>
      <c r="S5098" s="12" t="inlineStr">
        <is>
          <t>Duct bank</t>
        </is>
      </c>
      <c r="T5098" s="15" t="n">
        <v>35</v>
      </c>
      <c r="U5098" s="15" t="n">
        <v>32</v>
      </c>
      <c r="V5098" s="15">
        <f>ROUNDUP((T5098+U5098+2*'Read Me'!$B$13)*(1+'Read Me'!$B$12),-1)</f>
        <v/>
      </c>
      <c r="W5098" s="15">
        <f>V5098*N5098*O5098</f>
        <v/>
      </c>
      <c r="X5098" s="12">
        <f>IF(LEFT(I5098,2)="MV",2*N5098*IF(L5098="1/C",O5098,1),0)</f>
        <v/>
      </c>
      <c r="Y5098" s="12">
        <f>IF(OR(LEFT(K5098,4)="LVAX",LEFT(K5098,6)="MV15AX",LEFT(K5098,4)="CTAX",LEFT(K5098,2)="W|"),2*N5098*O5098,0)</f>
        <v/>
      </c>
      <c r="Z5098" s="12" t="inlineStr"/>
      <c r="AA5098" s="12">
        <f>N5098*O5098</f>
        <v/>
      </c>
    </row>
    <row r="5099">
      <c r="A5099" s="12" t="inlineStr">
        <is>
          <t>I-I-0496</t>
        </is>
      </c>
      <c r="B5099" s="12" t="inlineStr">
        <is>
          <t>I</t>
        </is>
      </c>
      <c r="C5099" s="12" t="inlineStr">
        <is>
          <t>Modular / portable power</t>
        </is>
      </c>
      <c r="D5099" s="12" t="inlineStr">
        <is>
          <t>Discrete device to JB JB-SC-2-DI02: 20 x 1 pr (field cables)</t>
        </is>
      </c>
      <c r="E5099" s="12" t="inlineStr">
        <is>
          <t>SC-2</t>
        </is>
      </c>
      <c r="F5099" s="12" t="inlineStr">
        <is>
          <t>SC-2: aeroderivative simple-cycle unit (LM6000 class)</t>
        </is>
      </c>
      <c r="G5099" s="12" t="inlineStr">
        <is>
          <t>JB-SC-2-DI02</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PLTC|1 pr|16</t>
        </is>
      </c>
      <c r="L5099" s="12" t="inlineStr">
        <is>
          <t>1 pr</t>
        </is>
      </c>
      <c r="M5099" s="12" t="inlineStr">
        <is>
          <t>16</t>
        </is>
      </c>
      <c r="N5099" s="12" t="n">
        <v>20</v>
      </c>
      <c r="O5099" s="12" t="n">
        <v>1</v>
      </c>
      <c r="P5099" s="12" t="n"/>
      <c r="Q5099" s="12" t="n"/>
      <c r="R5099" s="12" t="n"/>
      <c r="S5099" s="12" t="inlineStr">
        <is>
          <t>Tray / conduit</t>
        </is>
      </c>
      <c r="T5099" s="15" t="n">
        <v>99</v>
      </c>
      <c r="U5099" s="15" t="n">
        <v>10</v>
      </c>
      <c r="V5099" s="15">
        <f>ROUNDUP((T5099+U5099+2*'Read Me'!$B$13)*(1+'Read Me'!$B$12),-1)</f>
        <v/>
      </c>
      <c r="W5099" s="15">
        <f>V5099*N5099*O5099</f>
        <v/>
      </c>
      <c r="X5099" s="12">
        <f>IF(LEFT(I5099,2)="MV",2*N5099*IF(L5099="1/C",O5099,1),0)</f>
        <v/>
      </c>
      <c r="Y5099" s="12">
        <f>IF(OR(LEFT(K5099,4)="LVAX",LEFT(K5099,6)="MV15AX",LEFT(K5099,4)="CTAX",LEFT(K5099,2)="W|"),2*N5099*O5099,0)</f>
        <v/>
      </c>
      <c r="Z5099" s="12" t="inlineStr">
        <is>
          <t>device-to-JB field wiring, one cable per device</t>
        </is>
      </c>
      <c r="AA5099" s="12">
        <f>N5099*O5099</f>
        <v/>
      </c>
    </row>
    <row r="5100">
      <c r="A5100" s="12" t="inlineStr">
        <is>
          <t>I-I-0497</t>
        </is>
      </c>
      <c r="B5100" s="12" t="inlineStr">
        <is>
          <t>I</t>
        </is>
      </c>
      <c r="C5100" s="12" t="inlineStr">
        <is>
          <t>Modular / portable power</t>
        </is>
      </c>
      <c r="D5100" s="12" t="inlineStr">
        <is>
          <t>Home run JB-SC-2-DI02 to the control / marshalling room</t>
        </is>
      </c>
      <c r="E5100" s="12" t="inlineStr"/>
      <c r="F5100" s="12" t="inlineStr">
        <is>
          <t>SC-2 PCM + 15 kV GCB</t>
        </is>
      </c>
      <c r="G5100" s="12" t="inlineStr">
        <is>
          <t>JB-SC-2-DI02</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PLTC|24 pr|18</t>
        </is>
      </c>
      <c r="L5100" s="12" t="inlineStr">
        <is>
          <t>24 pr</t>
        </is>
      </c>
      <c r="M5100" s="12" t="inlineStr">
        <is>
          <t>18</t>
        </is>
      </c>
      <c r="N5100" s="12" t="n">
        <v>1</v>
      </c>
      <c r="O5100" s="12" t="n">
        <v>1</v>
      </c>
      <c r="P5100" s="12" t="n"/>
      <c r="Q5100" s="12" t="n"/>
      <c r="R5100" s="12" t="n"/>
      <c r="S5100" s="12" t="inlineStr">
        <is>
          <t>Duct bank</t>
        </is>
      </c>
      <c r="T5100" s="15" t="n">
        <v>35</v>
      </c>
      <c r="U5100" s="15" t="n">
        <v>32</v>
      </c>
      <c r="V5100" s="15">
        <f>ROUNDUP((T5100+U5100+2*'Read Me'!$B$13)*(1+'Read Me'!$B$12),-1)</f>
        <v/>
      </c>
      <c r="W5100" s="15">
        <f>V5100*N5100*O5100</f>
        <v/>
      </c>
      <c r="X5100" s="12">
        <f>IF(LEFT(I5100,2)="MV",2*N5100*IF(L5100="1/C",O5100,1),0)</f>
        <v/>
      </c>
      <c r="Y5100" s="12">
        <f>IF(OR(LEFT(K5100,4)="LVAX",LEFT(K5100,6)="MV15AX",LEFT(K5100,4)="CTAX",LEFT(K5100,2)="W|"),2*N5100*O5100,0)</f>
        <v/>
      </c>
      <c r="Z5100" s="12" t="inlineStr"/>
      <c r="AA5100" s="12">
        <f>N5100*O5100</f>
        <v/>
      </c>
    </row>
    <row r="5101">
      <c r="A5101" s="12" t="inlineStr">
        <is>
          <t>I-I-0498</t>
        </is>
      </c>
      <c r="B5101" s="12" t="inlineStr">
        <is>
          <t>I</t>
        </is>
      </c>
      <c r="C5101" s="12" t="inlineStr">
        <is>
          <t>Modular / portable power</t>
        </is>
      </c>
      <c r="D5101" s="12" t="inlineStr">
        <is>
          <t>Discrete device to JB JB-SC-2-DI03: 20 x 1 pr (field cables)</t>
        </is>
      </c>
      <c r="E5101" s="12" t="inlineStr">
        <is>
          <t>SC-2</t>
        </is>
      </c>
      <c r="F5101" s="12" t="inlineStr">
        <is>
          <t>SC-2: aeroderivative simple-cycle unit (LM6000 class)</t>
        </is>
      </c>
      <c r="G5101" s="12" t="inlineStr">
        <is>
          <t>JB-SC-2-DI03</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PLTC|1 pr|16</t>
        </is>
      </c>
      <c r="L5101" s="12" t="inlineStr">
        <is>
          <t>1 pr</t>
        </is>
      </c>
      <c r="M5101" s="12" t="inlineStr">
        <is>
          <t>16</t>
        </is>
      </c>
      <c r="N5101" s="12" t="n">
        <v>20</v>
      </c>
      <c r="O5101" s="12" t="n">
        <v>1</v>
      </c>
      <c r="P5101" s="12" t="n"/>
      <c r="Q5101" s="12" t="n"/>
      <c r="R5101" s="12" t="n"/>
      <c r="S5101" s="12" t="inlineStr">
        <is>
          <t>Tray / conduit</t>
        </is>
      </c>
      <c r="T5101" s="15" t="n">
        <v>99</v>
      </c>
      <c r="U5101" s="15" t="n">
        <v>10</v>
      </c>
      <c r="V5101" s="15">
        <f>ROUNDUP((T5101+U5101+2*'Read Me'!$B$13)*(1+'Read Me'!$B$12),-1)</f>
        <v/>
      </c>
      <c r="W5101" s="15">
        <f>V5101*N5101*O5101</f>
        <v/>
      </c>
      <c r="X5101" s="12">
        <f>IF(LEFT(I5101,2)="MV",2*N5101*IF(L5101="1/C",O5101,1),0)</f>
        <v/>
      </c>
      <c r="Y5101" s="12">
        <f>IF(OR(LEFT(K5101,4)="LVAX",LEFT(K5101,6)="MV15AX",LEFT(K5101,4)="CTAX",LEFT(K5101,2)="W|"),2*N5101*O5101,0)</f>
        <v/>
      </c>
      <c r="Z5101" s="12" t="inlineStr">
        <is>
          <t>device-to-JB field wiring, one cable per device</t>
        </is>
      </c>
      <c r="AA5101" s="12">
        <f>N5101*O5101</f>
        <v/>
      </c>
    </row>
    <row r="5102">
      <c r="A5102" s="12" t="inlineStr">
        <is>
          <t>I-I-0499</t>
        </is>
      </c>
      <c r="B5102" s="12" t="inlineStr">
        <is>
          <t>I</t>
        </is>
      </c>
      <c r="C5102" s="12" t="inlineStr">
        <is>
          <t>Modular / portable power</t>
        </is>
      </c>
      <c r="D5102" s="12" t="inlineStr">
        <is>
          <t>Home run JB-SC-2-DI03 to the control / marshalling room</t>
        </is>
      </c>
      <c r="E5102" s="12" t="inlineStr"/>
      <c r="F5102" s="12" t="inlineStr">
        <is>
          <t>SC-2 PCM + 15 kV GCB</t>
        </is>
      </c>
      <c r="G5102" s="12" t="inlineStr">
        <is>
          <t>JB-SC-2-DI03</t>
        </is>
      </c>
      <c r="H5102" s="12" t="inlineStr">
        <is>
          <t>SC-2: aeroderivative simple-cycle unit (LM6000 class)</t>
        </is>
      </c>
      <c r="I5102" s="12" t="inlineStr">
        <is>
          <t>Instrumentation</t>
        </is>
      </c>
      <c r="J5102" s="12" t="inlineStr">
        <is>
          <t>Instrumentation PLTC / TC-ER 300 V, #18 twisted shielded pairs, overall shield</t>
        </is>
      </c>
      <c r="K5102" s="12" t="inlineStr">
        <is>
          <t>PLTC|24 pr|18</t>
        </is>
      </c>
      <c r="L5102" s="12" t="inlineStr">
        <is>
          <t>24 pr</t>
        </is>
      </c>
      <c r="M5102" s="12" t="inlineStr">
        <is>
          <t>18</t>
        </is>
      </c>
      <c r="N5102" s="12" t="n">
        <v>1</v>
      </c>
      <c r="O5102" s="12" t="n">
        <v>1</v>
      </c>
      <c r="P5102" s="12" t="n"/>
      <c r="Q5102" s="12" t="n"/>
      <c r="R5102" s="12" t="n"/>
      <c r="S5102" s="12" t="inlineStr">
        <is>
          <t>Duct bank</t>
        </is>
      </c>
      <c r="T5102" s="15" t="n">
        <v>35</v>
      </c>
      <c r="U5102" s="15" t="n">
        <v>32</v>
      </c>
      <c r="V5102" s="15">
        <f>ROUNDUP((T5102+U5102+2*'Read Me'!$B$13)*(1+'Read Me'!$B$12),-1)</f>
        <v/>
      </c>
      <c r="W5102" s="15">
        <f>V5102*N5102*O5102</f>
        <v/>
      </c>
      <c r="X5102" s="12">
        <f>IF(LEFT(I5102,2)="MV",2*N5102*IF(L5102="1/C",O5102,1),0)</f>
        <v/>
      </c>
      <c r="Y5102" s="12">
        <f>IF(OR(LEFT(K5102,4)="LVAX",LEFT(K5102,6)="MV15AX",LEFT(K5102,4)="CTAX",LEFT(K5102,2)="W|"),2*N5102*O5102,0)</f>
        <v/>
      </c>
      <c r="Z5102" s="12" t="inlineStr"/>
      <c r="AA5102" s="12">
        <f>N5102*O5102</f>
        <v/>
      </c>
    </row>
    <row r="5103">
      <c r="A5103" s="12" t="inlineStr">
        <is>
          <t>I-I-0500</t>
        </is>
      </c>
      <c r="B5103" s="12" t="inlineStr">
        <is>
          <t>I</t>
        </is>
      </c>
      <c r="C5103" s="12" t="inlineStr">
        <is>
          <t>Modular / portable power</t>
        </is>
      </c>
      <c r="D5103" s="12" t="inlineStr">
        <is>
          <t>Discrete device to JB JB-SC-2-DI04: 20 x 1 pr (field cables)</t>
        </is>
      </c>
      <c r="E5103" s="12" t="inlineStr">
        <is>
          <t>SC-2</t>
        </is>
      </c>
      <c r="F5103" s="12" t="inlineStr">
        <is>
          <t>SC-2: aeroderivative simple-cycle unit (LM6000 class)</t>
        </is>
      </c>
      <c r="G5103" s="12" t="inlineStr">
        <is>
          <t>JB-SC-2-DI04</t>
        </is>
      </c>
      <c r="H5103" s="12" t="inlineStr">
        <is>
          <t>SC-2: aeroderivative simple-cycle unit (LM6000 class)</t>
        </is>
      </c>
      <c r="I5103" s="12" t="inlineStr">
        <is>
          <t>Instrumentation</t>
        </is>
      </c>
      <c r="J5103" s="12" t="inlineStr">
        <is>
          <t>Instrumentation PLTC / TC-ER 300 V, #18 twisted shielded pairs, overall shield</t>
        </is>
      </c>
      <c r="K5103" s="12" t="inlineStr">
        <is>
          <t>PLTC|1 pr|16</t>
        </is>
      </c>
      <c r="L5103" s="12" t="inlineStr">
        <is>
          <t>1 pr</t>
        </is>
      </c>
      <c r="M5103" s="12" t="inlineStr">
        <is>
          <t>16</t>
        </is>
      </c>
      <c r="N5103" s="12" t="n">
        <v>20</v>
      </c>
      <c r="O5103" s="12" t="n">
        <v>1</v>
      </c>
      <c r="P5103" s="12" t="n"/>
      <c r="Q5103" s="12" t="n"/>
      <c r="R5103" s="12" t="n"/>
      <c r="S5103" s="12" t="inlineStr">
        <is>
          <t>Tray / conduit</t>
        </is>
      </c>
      <c r="T5103" s="15" t="n">
        <v>99</v>
      </c>
      <c r="U5103" s="15" t="n">
        <v>10</v>
      </c>
      <c r="V5103" s="15">
        <f>ROUNDUP((T5103+U5103+2*'Read Me'!$B$13)*(1+'Read Me'!$B$12),-1)</f>
        <v/>
      </c>
      <c r="W5103" s="15">
        <f>V5103*N5103*O5103</f>
        <v/>
      </c>
      <c r="X5103" s="12">
        <f>IF(LEFT(I5103,2)="MV",2*N5103*IF(L5103="1/C",O5103,1),0)</f>
        <v/>
      </c>
      <c r="Y5103" s="12">
        <f>IF(OR(LEFT(K5103,4)="LVAX",LEFT(K5103,6)="MV15AX",LEFT(K5103,4)="CTAX",LEFT(K5103,2)="W|"),2*N5103*O5103,0)</f>
        <v/>
      </c>
      <c r="Z5103" s="12" t="inlineStr">
        <is>
          <t>device-to-JB field wiring, one cable per device</t>
        </is>
      </c>
      <c r="AA5103" s="12">
        <f>N5103*O5103</f>
        <v/>
      </c>
    </row>
    <row r="5104">
      <c r="A5104" s="12" t="inlineStr">
        <is>
          <t>I-I-0501</t>
        </is>
      </c>
      <c r="B5104" s="12" t="inlineStr">
        <is>
          <t>I</t>
        </is>
      </c>
      <c r="C5104" s="12" t="inlineStr">
        <is>
          <t>Modular / portable power</t>
        </is>
      </c>
      <c r="D5104" s="12" t="inlineStr">
        <is>
          <t>Home run JB-SC-2-DI04 to the control / marshalling room</t>
        </is>
      </c>
      <c r="E5104" s="12" t="inlineStr"/>
      <c r="F5104" s="12" t="inlineStr">
        <is>
          <t>SC-2 PCM + 15 kV GCB</t>
        </is>
      </c>
      <c r="G5104" s="12" t="inlineStr">
        <is>
          <t>JB-SC-2-DI04</t>
        </is>
      </c>
      <c r="H5104" s="12" t="inlineStr">
        <is>
          <t>SC-2: aeroderivative simple-cycle unit (LM6000 class)</t>
        </is>
      </c>
      <c r="I5104" s="12" t="inlineStr">
        <is>
          <t>Instrumentation</t>
        </is>
      </c>
      <c r="J5104" s="12" t="inlineStr">
        <is>
          <t>Instrumentation PLTC / TC-ER 300 V, #18 twisted shielded pairs, overall shield</t>
        </is>
      </c>
      <c r="K5104" s="12" t="inlineStr">
        <is>
          <t>PLTC|24 pr|18</t>
        </is>
      </c>
      <c r="L5104" s="12" t="inlineStr">
        <is>
          <t>24 pr</t>
        </is>
      </c>
      <c r="M5104" s="12" t="inlineStr">
        <is>
          <t>18</t>
        </is>
      </c>
      <c r="N5104" s="12" t="n">
        <v>1</v>
      </c>
      <c r="O5104" s="12" t="n">
        <v>1</v>
      </c>
      <c r="P5104" s="12" t="n"/>
      <c r="Q5104" s="12" t="n"/>
      <c r="R5104" s="12" t="n"/>
      <c r="S5104" s="12" t="inlineStr">
        <is>
          <t>Duct bank</t>
        </is>
      </c>
      <c r="T5104" s="15" t="n">
        <v>35</v>
      </c>
      <c r="U5104" s="15" t="n">
        <v>32</v>
      </c>
      <c r="V5104" s="15">
        <f>ROUNDUP((T5104+U5104+2*'Read Me'!$B$13)*(1+'Read Me'!$B$12),-1)</f>
        <v/>
      </c>
      <c r="W5104" s="15">
        <f>V5104*N5104*O5104</f>
        <v/>
      </c>
      <c r="X5104" s="12">
        <f>IF(LEFT(I5104,2)="MV",2*N5104*IF(L5104="1/C",O5104,1),0)</f>
        <v/>
      </c>
      <c r="Y5104" s="12">
        <f>IF(OR(LEFT(K5104,4)="LVAX",LEFT(K5104,6)="MV15AX",LEFT(K5104,4)="CTAX",LEFT(K5104,2)="W|"),2*N5104*O5104,0)</f>
        <v/>
      </c>
      <c r="Z5104" s="12" t="inlineStr"/>
      <c r="AA5104" s="12">
        <f>N5104*O5104</f>
        <v/>
      </c>
    </row>
    <row r="5105">
      <c r="A5105" s="12" t="inlineStr">
        <is>
          <t>I-I-0502</t>
        </is>
      </c>
      <c r="B5105" s="12" t="inlineStr">
        <is>
          <t>I</t>
        </is>
      </c>
      <c r="C5105" s="12" t="inlineStr">
        <is>
          <t>Modular / portable power</t>
        </is>
      </c>
      <c r="D5105" s="12" t="inlineStr">
        <is>
          <t>Discrete device to JB JB-SC-2-DI05: 20 x 1 pr (field cables)</t>
        </is>
      </c>
      <c r="E5105" s="12" t="inlineStr">
        <is>
          <t>SC-2</t>
        </is>
      </c>
      <c r="F5105" s="12" t="inlineStr">
        <is>
          <t>SC-2: aeroderivative simple-cycle unit (LM6000 class)</t>
        </is>
      </c>
      <c r="G5105" s="12" t="inlineStr">
        <is>
          <t>JB-SC-2-DI05</t>
        </is>
      </c>
      <c r="H5105" s="12" t="inlineStr">
        <is>
          <t>SC-2: aeroderivative simple-cycle unit (LM6000 class)</t>
        </is>
      </c>
      <c r="I5105" s="12" t="inlineStr">
        <is>
          <t>Instrumentation</t>
        </is>
      </c>
      <c r="J5105" s="12" t="inlineStr">
        <is>
          <t>Instrumentation PLTC / TC-ER 300 V, #18 twisted shielded pairs, overall shield</t>
        </is>
      </c>
      <c r="K5105" s="12" t="inlineStr">
        <is>
          <t>PLTC|1 pr|16</t>
        </is>
      </c>
      <c r="L5105" s="12" t="inlineStr">
        <is>
          <t>1 pr</t>
        </is>
      </c>
      <c r="M5105" s="12" t="inlineStr">
        <is>
          <t>16</t>
        </is>
      </c>
      <c r="N5105" s="12" t="n">
        <v>20</v>
      </c>
      <c r="O5105" s="12" t="n">
        <v>1</v>
      </c>
      <c r="P5105" s="12" t="n"/>
      <c r="Q5105" s="12" t="n"/>
      <c r="R5105" s="12" t="n"/>
      <c r="S5105" s="12" t="inlineStr">
        <is>
          <t>Tray / conduit</t>
        </is>
      </c>
      <c r="T5105" s="15" t="n">
        <v>99</v>
      </c>
      <c r="U5105" s="15" t="n">
        <v>10</v>
      </c>
      <c r="V5105" s="15">
        <f>ROUNDUP((T5105+U5105+2*'Read Me'!$B$13)*(1+'Read Me'!$B$12),-1)</f>
        <v/>
      </c>
      <c r="W5105" s="15">
        <f>V5105*N5105*O5105</f>
        <v/>
      </c>
      <c r="X5105" s="12">
        <f>IF(LEFT(I5105,2)="MV",2*N5105*IF(L5105="1/C",O5105,1),0)</f>
        <v/>
      </c>
      <c r="Y5105" s="12">
        <f>IF(OR(LEFT(K5105,4)="LVAX",LEFT(K5105,6)="MV15AX",LEFT(K5105,4)="CTAX",LEFT(K5105,2)="W|"),2*N5105*O5105,0)</f>
        <v/>
      </c>
      <c r="Z5105" s="12" t="inlineStr">
        <is>
          <t>device-to-JB field wiring, one cable per device</t>
        </is>
      </c>
      <c r="AA5105" s="12">
        <f>N5105*O5105</f>
        <v/>
      </c>
    </row>
    <row r="5106">
      <c r="A5106" s="12" t="inlineStr">
        <is>
          <t>I-I-0503</t>
        </is>
      </c>
      <c r="B5106" s="12" t="inlineStr">
        <is>
          <t>I</t>
        </is>
      </c>
      <c r="C5106" s="12" t="inlineStr">
        <is>
          <t>Modular / portable power</t>
        </is>
      </c>
      <c r="D5106" s="12" t="inlineStr">
        <is>
          <t>Home run JB-SC-2-DI05 to the control / marshalling room</t>
        </is>
      </c>
      <c r="E5106" s="12" t="inlineStr"/>
      <c r="F5106" s="12" t="inlineStr">
        <is>
          <t>SC-2 PCM + 15 kV GCB</t>
        </is>
      </c>
      <c r="G5106" s="12" t="inlineStr">
        <is>
          <t>JB-SC-2-DI05</t>
        </is>
      </c>
      <c r="H5106" s="12" t="inlineStr">
        <is>
          <t>SC-2: aeroderivative simple-cycle unit (LM6000 class)</t>
        </is>
      </c>
      <c r="I5106" s="12" t="inlineStr">
        <is>
          <t>Instrumentation</t>
        </is>
      </c>
      <c r="J5106" s="12" t="inlineStr">
        <is>
          <t>Instrumentation PLTC / TC-ER 300 V, #18 twisted shielded pairs, overall shield</t>
        </is>
      </c>
      <c r="K5106" s="12" t="inlineStr">
        <is>
          <t>PLTC|24 pr|18</t>
        </is>
      </c>
      <c r="L5106" s="12" t="inlineStr">
        <is>
          <t>24 pr</t>
        </is>
      </c>
      <c r="M5106" s="12" t="inlineStr">
        <is>
          <t>18</t>
        </is>
      </c>
      <c r="N5106" s="12" t="n">
        <v>1</v>
      </c>
      <c r="O5106" s="12" t="n">
        <v>1</v>
      </c>
      <c r="P5106" s="12" t="n"/>
      <c r="Q5106" s="12" t="n"/>
      <c r="R5106" s="12" t="n"/>
      <c r="S5106" s="12" t="inlineStr">
        <is>
          <t>Duct bank</t>
        </is>
      </c>
      <c r="T5106" s="15" t="n">
        <v>35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I-I-0504</t>
        </is>
      </c>
      <c r="B5107" s="12" t="inlineStr">
        <is>
          <t>I</t>
        </is>
      </c>
      <c r="C5107" s="12" t="inlineStr">
        <is>
          <t>Modular / portable power</t>
        </is>
      </c>
      <c r="D5107" s="12" t="inlineStr">
        <is>
          <t>Thermocouple to TC JB JB-SC-2-TC01: 20 x 1 pr (field cables)</t>
        </is>
      </c>
      <c r="E5107" s="12" t="inlineStr">
        <is>
          <t>SC-2</t>
        </is>
      </c>
      <c r="F5107" s="12" t="inlineStr">
        <is>
          <t>SC-2: aeroderivative simple-cycle unit (LM6000 class)</t>
        </is>
      </c>
      <c r="G5107" s="12" t="inlineStr">
        <is>
          <t>JB-SC-2-TC01</t>
        </is>
      </c>
      <c r="H5107" s="12" t="inlineStr">
        <is>
          <t>SC-2: aeroderivative simple-cycle unit (LM6000 class)</t>
        </is>
      </c>
      <c r="I5107" s="12" t="inlineStr">
        <is>
          <t>Instrumentation</t>
        </is>
      </c>
      <c r="J5107" s="12" t="inlineStr">
        <is>
          <t>Thermocouple extension KX, #16 shielded pairs, PLTC</t>
        </is>
      </c>
      <c r="K5107" s="12" t="inlineStr">
        <is>
          <t>TCX|1 pr|16</t>
        </is>
      </c>
      <c r="L5107" s="12" t="inlineStr">
        <is>
          <t>1 pr</t>
        </is>
      </c>
      <c r="M5107" s="12" t="inlineStr">
        <is>
          <t>16</t>
        </is>
      </c>
      <c r="N5107" s="12" t="n">
        <v>20</v>
      </c>
      <c r="O5107" s="12" t="n">
        <v>1</v>
      </c>
      <c r="P5107" s="12" t="n"/>
      <c r="Q5107" s="12" t="n"/>
      <c r="R5107" s="12" t="n"/>
      <c r="S5107" s="12" t="inlineStr">
        <is>
          <t>Tray / conduit</t>
        </is>
      </c>
      <c r="T5107" s="15" t="n">
        <v>99</v>
      </c>
      <c r="U5107" s="15" t="n">
        <v>10</v>
      </c>
      <c r="V5107" s="15">
        <f>ROUNDUP((T5107+U5107+2*'Read Me'!$B$13)*(1+'Read Me'!$B$12),-1)</f>
        <v/>
      </c>
      <c r="W5107" s="15">
        <f>V5107*N5107*O5107</f>
        <v/>
      </c>
      <c r="X5107" s="12">
        <f>IF(LEFT(I5107,2)="MV",2*N5107*IF(L5107="1/C",O5107,1),0)</f>
        <v/>
      </c>
      <c r="Y5107" s="12">
        <f>IF(OR(LEFT(K5107,4)="LVAX",LEFT(K5107,6)="MV15AX",LEFT(K5107,4)="CTAX",LEFT(K5107,2)="W|"),2*N5107*O5107,0)</f>
        <v/>
      </c>
      <c r="Z5107" s="12" t="inlineStr">
        <is>
          <t>device-to-JB field wiring, one cable per device</t>
        </is>
      </c>
      <c r="AA5107" s="12">
        <f>N5107*O5107</f>
        <v/>
      </c>
    </row>
    <row r="5108">
      <c r="A5108" s="12" t="inlineStr">
        <is>
          <t>I-I-0505</t>
        </is>
      </c>
      <c r="B5108" s="12" t="inlineStr">
        <is>
          <t>I</t>
        </is>
      </c>
      <c r="C5108" s="12" t="inlineStr">
        <is>
          <t>Modular / portable power</t>
        </is>
      </c>
      <c r="D5108" s="12" t="inlineStr">
        <is>
          <t>Home run JB-SC-2-TC01 to the control / marshalling room</t>
        </is>
      </c>
      <c r="E5108" s="12" t="inlineStr"/>
      <c r="F5108" s="12" t="inlineStr">
        <is>
          <t>SC-2 PCM + 15 kV GCB</t>
        </is>
      </c>
      <c r="G5108" s="12" t="inlineStr">
        <is>
          <t>JB-SC-2-TC01</t>
        </is>
      </c>
      <c r="H5108" s="12" t="inlineStr">
        <is>
          <t>SC-2: aeroderivative simple-cycle unit (LM6000 class)</t>
        </is>
      </c>
      <c r="I5108" s="12" t="inlineStr">
        <is>
          <t>Instrumentation</t>
        </is>
      </c>
      <c r="J5108" s="12" t="inlineStr">
        <is>
          <t>Thermocouple extension KX, #16 shielded pairs, PLTC</t>
        </is>
      </c>
      <c r="K5108" s="12" t="inlineStr">
        <is>
          <t>TCX|24 pr|16</t>
        </is>
      </c>
      <c r="L5108" s="12" t="inlineStr">
        <is>
          <t>24 pr</t>
        </is>
      </c>
      <c r="M5108" s="12" t="inlineStr">
        <is>
          <t>16</t>
        </is>
      </c>
      <c r="N5108" s="12" t="n">
        <v>1</v>
      </c>
      <c r="O5108" s="12" t="n">
        <v>1</v>
      </c>
      <c r="P5108" s="12" t="n"/>
      <c r="Q5108" s="12" t="n"/>
      <c r="R5108" s="12" t="n"/>
      <c r="S5108" s="12" t="inlineStr">
        <is>
          <t>Duct bank</t>
        </is>
      </c>
      <c r="T5108" s="15" t="n">
        <v>35</v>
      </c>
      <c r="U5108" s="15" t="n">
        <v>32</v>
      </c>
      <c r="V5108" s="15">
        <f>ROUNDUP((T5108+U5108+2*'Read Me'!$B$13)*(1+'Read Me'!$B$12),-1)</f>
        <v/>
      </c>
      <c r="W5108" s="15">
        <f>V5108*N5108*O5108</f>
        <v/>
      </c>
      <c r="X5108" s="12">
        <f>IF(LEFT(I5108,2)="MV",2*N5108*IF(L5108="1/C",O5108,1),0)</f>
        <v/>
      </c>
      <c r="Y5108" s="12">
        <f>IF(OR(LEFT(K5108,4)="LVAX",LEFT(K5108,6)="MV15AX",LEFT(K5108,4)="CTAX",LEFT(K5108,2)="W|"),2*N5108*O5108,0)</f>
        <v/>
      </c>
      <c r="Z5108" s="12" t="inlineStr"/>
      <c r="AA5108" s="12">
        <f>N5108*O5108</f>
        <v/>
      </c>
    </row>
    <row r="5109">
      <c r="A5109" s="12" t="inlineStr">
        <is>
          <t>I-I-0506</t>
        </is>
      </c>
      <c r="B5109" s="12" t="inlineStr">
        <is>
          <t>I</t>
        </is>
      </c>
      <c r="C5109" s="12" t="inlineStr">
        <is>
          <t>Modular / portable power</t>
        </is>
      </c>
      <c r="D5109" s="12" t="inlineStr">
        <is>
          <t>Thermocouple to TC JB JB-SC-2-TC02: 20 x 1 pr (field cables)</t>
        </is>
      </c>
      <c r="E5109" s="12" t="inlineStr">
        <is>
          <t>SC-2</t>
        </is>
      </c>
      <c r="F5109" s="12" t="inlineStr">
        <is>
          <t>SC-2: aeroderivative simple-cycle unit (LM6000 class)</t>
        </is>
      </c>
      <c r="G5109" s="12" t="inlineStr">
        <is>
          <t>JB-SC-2-TC02</t>
        </is>
      </c>
      <c r="H5109" s="12" t="inlineStr">
        <is>
          <t>SC-2: aeroderivative simple-cycle unit (LM6000 class)</t>
        </is>
      </c>
      <c r="I5109" s="12" t="inlineStr">
        <is>
          <t>Instrumentation</t>
        </is>
      </c>
      <c r="J5109" s="12" t="inlineStr">
        <is>
          <t>Thermocouple extension KX, #16 shielded pairs, PLTC</t>
        </is>
      </c>
      <c r="K5109" s="12" t="inlineStr">
        <is>
          <t>TCX|1 pr|16</t>
        </is>
      </c>
      <c r="L5109" s="12" t="inlineStr">
        <is>
          <t>1 pr</t>
        </is>
      </c>
      <c r="M5109" s="12" t="inlineStr">
        <is>
          <t>16</t>
        </is>
      </c>
      <c r="N5109" s="12" t="n">
        <v>20</v>
      </c>
      <c r="O5109" s="12" t="n">
        <v>1</v>
      </c>
      <c r="P5109" s="12" t="n"/>
      <c r="Q5109" s="12" t="n"/>
      <c r="R5109" s="12" t="n"/>
      <c r="S5109" s="12" t="inlineStr">
        <is>
          <t>Tray / conduit</t>
        </is>
      </c>
      <c r="T5109" s="15" t="n">
        <v>99</v>
      </c>
      <c r="U5109" s="15" t="n">
        <v>10</v>
      </c>
      <c r="V5109" s="15">
        <f>ROUNDUP((T5109+U5109+2*'Read Me'!$B$13)*(1+'Read Me'!$B$12),-1)</f>
        <v/>
      </c>
      <c r="W5109" s="15">
        <f>V5109*N5109*O5109</f>
        <v/>
      </c>
      <c r="X5109" s="12">
        <f>IF(LEFT(I5109,2)="MV",2*N5109*IF(L5109="1/C",O5109,1),0)</f>
        <v/>
      </c>
      <c r="Y5109" s="12">
        <f>IF(OR(LEFT(K5109,4)="LVAX",LEFT(K5109,6)="MV15AX",LEFT(K5109,4)="CTAX",LEFT(K5109,2)="W|"),2*N5109*O5109,0)</f>
        <v/>
      </c>
      <c r="Z5109" s="12" t="inlineStr">
        <is>
          <t>device-to-JB field wiring, one cable per device</t>
        </is>
      </c>
      <c r="AA5109" s="12">
        <f>N5109*O5109</f>
        <v/>
      </c>
    </row>
    <row r="5110">
      <c r="A5110" s="12" t="inlineStr">
        <is>
          <t>I-I-0507</t>
        </is>
      </c>
      <c r="B5110" s="12" t="inlineStr">
        <is>
          <t>I</t>
        </is>
      </c>
      <c r="C5110" s="12" t="inlineStr">
        <is>
          <t>Modular / portable power</t>
        </is>
      </c>
      <c r="D5110" s="12" t="inlineStr">
        <is>
          <t>Home run JB-SC-2-TC02 to the control / marshalling room</t>
        </is>
      </c>
      <c r="E5110" s="12" t="inlineStr"/>
      <c r="F5110" s="12" t="inlineStr">
        <is>
          <t>SC-2 PCM + 15 kV GCB</t>
        </is>
      </c>
      <c r="G5110" s="12" t="inlineStr">
        <is>
          <t>JB-SC-2-TC02</t>
        </is>
      </c>
      <c r="H5110" s="12" t="inlineStr">
        <is>
          <t>SC-2: aeroderivative simple-cycle unit (LM6000 class)</t>
        </is>
      </c>
      <c r="I5110" s="12" t="inlineStr">
        <is>
          <t>Instrumentation</t>
        </is>
      </c>
      <c r="J5110" s="12" t="inlineStr">
        <is>
          <t>Thermocouple extension KX, #16 shielded pairs, PLTC</t>
        </is>
      </c>
      <c r="K5110" s="12" t="inlineStr">
        <is>
          <t>TCX|24 pr|16</t>
        </is>
      </c>
      <c r="L5110" s="12" t="inlineStr">
        <is>
          <t>24 pr</t>
        </is>
      </c>
      <c r="M5110" s="12" t="inlineStr">
        <is>
          <t>16</t>
        </is>
      </c>
      <c r="N5110" s="12" t="n">
        <v>1</v>
      </c>
      <c r="O5110" s="12" t="n">
        <v>1</v>
      </c>
      <c r="P5110" s="12" t="n"/>
      <c r="Q5110" s="12" t="n"/>
      <c r="R5110" s="12" t="n"/>
      <c r="S5110" s="12" t="inlineStr">
        <is>
          <t>Duct bank</t>
        </is>
      </c>
      <c r="T5110" s="15" t="n">
        <v>35</v>
      </c>
      <c r="U5110" s="15" t="n">
        <v>32</v>
      </c>
      <c r="V5110" s="15">
        <f>ROUNDUP((T5110+U5110+2*'Read Me'!$B$13)*(1+'Read Me'!$B$12),-1)</f>
        <v/>
      </c>
      <c r="W5110" s="15">
        <f>V5110*N5110*O5110</f>
        <v/>
      </c>
      <c r="X5110" s="12">
        <f>IF(LEFT(I5110,2)="MV",2*N5110*IF(L5110="1/C",O5110,1),0)</f>
        <v/>
      </c>
      <c r="Y5110" s="12">
        <f>IF(OR(LEFT(K5110,4)="LVAX",LEFT(K5110,6)="MV15AX",LEFT(K5110,4)="CTAX",LEFT(K5110,2)="W|"),2*N5110*O5110,0)</f>
        <v/>
      </c>
      <c r="Z5110" s="12" t="inlineStr"/>
      <c r="AA5110" s="12">
        <f>N5110*O5110</f>
        <v/>
      </c>
    </row>
    <row r="5111">
      <c r="A5111" s="12" t="inlineStr">
        <is>
          <t>I-I-0508</t>
        </is>
      </c>
      <c r="B5111" s="12" t="inlineStr">
        <is>
          <t>I</t>
        </is>
      </c>
      <c r="C5111" s="12" t="inlineStr">
        <is>
          <t>Modular / portable power</t>
        </is>
      </c>
      <c r="D5111" s="12" t="inlineStr">
        <is>
          <t>SC-GSU-1 monitoring: temperatures, gas relay, oil level</t>
        </is>
      </c>
      <c r="E5111" s="12" t="inlineStr"/>
      <c r="F5111" s="12" t="inlineStr">
        <is>
          <t>SC-1 PCM + 15 kV GCB</t>
        </is>
      </c>
      <c r="G5111" s="12" t="inlineStr">
        <is>
          <t>SC-GSU-1</t>
        </is>
      </c>
      <c r="H5111" s="12" t="inlineStr">
        <is>
          <t>SC-GSU-1: 13.8 / 34.5 kV unit step-up, ~60 MVA (SC-1)</t>
        </is>
      </c>
      <c r="I5111" s="12" t="inlineStr">
        <is>
          <t>Instrumentation</t>
        </is>
      </c>
      <c r="J5111" s="12" t="inlineStr">
        <is>
          <t>Instrumentation ITC / PLTC, IS, #18 shielded pairs, blue jacket</t>
        </is>
      </c>
      <c r="K5111" s="12" t="inlineStr">
        <is>
          <t>ITC|4 pr|18</t>
        </is>
      </c>
      <c r="L5111" s="12" t="inlineStr">
        <is>
          <t>4 pr</t>
        </is>
      </c>
      <c r="M5111" s="12" t="inlineStr">
        <is>
          <t>18</t>
        </is>
      </c>
      <c r="N5111" s="12" t="n">
        <v>1</v>
      </c>
      <c r="O5111" s="12" t="n">
        <v>1</v>
      </c>
      <c r="P5111" s="12" t="n"/>
      <c r="Q5111" s="12" t="n"/>
      <c r="R5111" s="12" t="n"/>
      <c r="S5111" s="12" t="inlineStr">
        <is>
          <t>Duct bank</t>
        </is>
      </c>
      <c r="T5111" s="15" t="n">
        <v>55</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I-I-0509</t>
        </is>
      </c>
      <c r="B5112" s="12" t="inlineStr">
        <is>
          <t>I</t>
        </is>
      </c>
      <c r="C5112" s="12" t="inlineStr">
        <is>
          <t>Modular / portable power</t>
        </is>
      </c>
      <c r="D5112" s="12" t="inlineStr">
        <is>
          <t>SC-GSU-2 monitoring: temperatures, gas relay, oil level</t>
        </is>
      </c>
      <c r="E5112" s="12" t="inlineStr"/>
      <c r="F5112" s="12" t="inlineStr">
        <is>
          <t>SC-2 PCM + 15 kV GCB</t>
        </is>
      </c>
      <c r="G5112" s="12" t="inlineStr">
        <is>
          <t>SC-GSU-2</t>
        </is>
      </c>
      <c r="H5112" s="12" t="inlineStr">
        <is>
          <t>SC-GSU-2: 13.8 / 34.5 kV unit step-up, ~60 MVA (SC-2)</t>
        </is>
      </c>
      <c r="I5112" s="12" t="inlineStr">
        <is>
          <t>Instrumentation</t>
        </is>
      </c>
      <c r="J5112" s="12" t="inlineStr">
        <is>
          <t>Instrumentation ITC / PLTC, IS, #18 shielded pairs, blue jacket</t>
        </is>
      </c>
      <c r="K5112" s="12" t="inlineStr">
        <is>
          <t>ITC|4 pr|18</t>
        </is>
      </c>
      <c r="L5112" s="12" t="inlineStr">
        <is>
          <t>4 pr</t>
        </is>
      </c>
      <c r="M5112" s="12" t="inlineStr">
        <is>
          <t>18</t>
        </is>
      </c>
      <c r="N5112" s="12" t="n">
        <v>1</v>
      </c>
      <c r="O5112" s="12" t="n">
        <v>1</v>
      </c>
      <c r="P5112" s="12" t="n"/>
      <c r="Q5112" s="12" t="n"/>
      <c r="R5112" s="12" t="n"/>
      <c r="S5112" s="12" t="inlineStr">
        <is>
          <t>Duct bank</t>
        </is>
      </c>
      <c r="T5112" s="15" t="n">
        <v>48</v>
      </c>
      <c r="U5112" s="15" t="n">
        <v>32</v>
      </c>
      <c r="V5112" s="15">
        <f>ROUNDUP((T5112+U5112+2*'Read Me'!$B$13)*(1+'Read Me'!$B$12),-1)</f>
        <v/>
      </c>
      <c r="W5112" s="15">
        <f>V5112*N5112*O5112</f>
        <v/>
      </c>
      <c r="X5112" s="12">
        <f>IF(LEFT(I5112,2)="MV",2*N5112*IF(L5112="1/C",O5112,1),0)</f>
        <v/>
      </c>
      <c r="Y5112" s="12">
        <f>IF(OR(LEFT(K5112,4)="LVAX",LEFT(K5112,6)="MV15AX",LEFT(K5112,4)="CTAX",LEFT(K5112,2)="W|"),2*N5112*O5112,0)</f>
        <v/>
      </c>
      <c r="Z5112" s="12" t="inlineStr"/>
      <c r="AA5112" s="12">
        <f>N5112*O5112</f>
        <v/>
      </c>
    </row>
    <row r="5113">
      <c r="A5113" s="12" t="inlineStr">
        <is>
          <t>I-I-0510</t>
        </is>
      </c>
      <c r="B5113" s="12" t="inlineStr">
        <is>
          <t>I</t>
        </is>
      </c>
      <c r="C5113" s="12" t="inlineStr">
        <is>
          <t>Modular / portable power</t>
        </is>
      </c>
      <c r="D5113" s="12" t="inlineStr">
        <is>
          <t>Analog instrument to JB JB-T-MOD 230 kV take--AI01: 8 x 1 pr (field cables)</t>
        </is>
      </c>
      <c r="E5113" s="12" t="inlineStr"/>
      <c r="F5113" s="12" t="inlineStr">
        <is>
          <t>T-MOD 230 kV take-off gantry with arresters</t>
        </is>
      </c>
      <c r="G5113" s="12" t="inlineStr">
        <is>
          <t>JB-T-MOD 230 kV take--AI01</t>
        </is>
      </c>
      <c r="H5113" s="12" t="inlineStr">
        <is>
          <t>T-MOD 230 kV take-off gantry with arresters</t>
        </is>
      </c>
      <c r="I5113" s="12" t="inlineStr">
        <is>
          <t>Instrumentation</t>
        </is>
      </c>
      <c r="J5113" s="12" t="inlineStr">
        <is>
          <t>Instrumentation PLTC / TC-ER 300 V, #18 twisted shielded pairs, overall shield</t>
        </is>
      </c>
      <c r="K5113" s="12" t="inlineStr">
        <is>
          <t>PLTC|1 pr|16</t>
        </is>
      </c>
      <c r="L5113" s="12" t="inlineStr">
        <is>
          <t>1 pr</t>
        </is>
      </c>
      <c r="M5113" s="12" t="inlineStr">
        <is>
          <t>16</t>
        </is>
      </c>
      <c r="N5113" s="12" t="n">
        <v>8</v>
      </c>
      <c r="O5113" s="12" t="n">
        <v>1</v>
      </c>
      <c r="P5113" s="12" t="n"/>
      <c r="Q5113" s="12" t="n"/>
      <c r="R5113" s="12" t="n"/>
      <c r="S5113" s="12" t="inlineStr">
        <is>
          <t>Tray / conduit</t>
        </is>
      </c>
      <c r="T5113" s="15" t="n">
        <v>88</v>
      </c>
      <c r="U5113" s="15" t="n">
        <v>10</v>
      </c>
      <c r="V5113" s="15">
        <f>ROUNDUP((T5113+U5113+2*'Read Me'!$B$13)*(1+'Read Me'!$B$12),-1)</f>
        <v/>
      </c>
      <c r="W5113" s="15">
        <f>V5113*N5113*O5113</f>
        <v/>
      </c>
      <c r="X5113" s="12">
        <f>IF(LEFT(I5113,2)="MV",2*N5113*IF(L5113="1/C",O5113,1),0)</f>
        <v/>
      </c>
      <c r="Y5113" s="12">
        <f>IF(OR(LEFT(K5113,4)="LVAX",LEFT(K5113,6)="MV15AX",LEFT(K5113,4)="CTAX",LEFT(K5113,2)="W|"),2*N5113*O5113,0)</f>
        <v/>
      </c>
      <c r="Z5113" s="12" t="inlineStr">
        <is>
          <t>device-to-JB field wiring, one cable per device</t>
        </is>
      </c>
      <c r="AA5113" s="12">
        <f>N5113*O5113</f>
        <v/>
      </c>
    </row>
    <row r="5114">
      <c r="A5114" s="12" t="inlineStr">
        <is>
          <t>I-I-0511</t>
        </is>
      </c>
      <c r="B5114" s="12" t="inlineStr">
        <is>
          <t>I</t>
        </is>
      </c>
      <c r="C5114" s="12" t="inlineStr">
        <is>
          <t>Modular / portable power</t>
        </is>
      </c>
      <c r="D5114" s="12" t="inlineStr">
        <is>
          <t>Home run JB-T-MOD 230 kV take--AI01 to the control / marshalling room</t>
        </is>
      </c>
      <c r="E5114" s="12" t="inlineStr">
        <is>
          <t>PAD-EH</t>
        </is>
      </c>
      <c r="F5114" s="12" t="inlineStr">
        <is>
          <t>PAD-EH 13.8 kV switchgear e-house</t>
        </is>
      </c>
      <c r="G5114" s="12" t="inlineStr">
        <is>
          <t>JB-T-MOD 230 kV take--AI01</t>
        </is>
      </c>
      <c r="H5114" s="12" t="inlineStr">
        <is>
          <t>T-MOD 230 kV take-off gantry with arresters</t>
        </is>
      </c>
      <c r="I5114" s="12" t="inlineStr">
        <is>
          <t>Instrumentation</t>
        </is>
      </c>
      <c r="J5114" s="12" t="inlineStr">
        <is>
          <t>Instrumentation PLTC / TC-ER 300 V, #18 twisted shielded pairs, overall shield</t>
        </is>
      </c>
      <c r="K5114" s="12" t="inlineStr">
        <is>
          <t>PLTC|24 pr|18</t>
        </is>
      </c>
      <c r="L5114" s="12" t="inlineStr">
        <is>
          <t>24 pr</t>
        </is>
      </c>
      <c r="M5114" s="12" t="inlineStr">
        <is>
          <t>18</t>
        </is>
      </c>
      <c r="N5114" s="12" t="n">
        <v>1</v>
      </c>
      <c r="O5114" s="12" t="n">
        <v>1</v>
      </c>
      <c r="P5114" s="12" t="n"/>
      <c r="Q5114" s="12" t="n"/>
      <c r="R5114" s="12" t="n"/>
      <c r="S5114" s="12" t="inlineStr">
        <is>
          <t>Duct bank</t>
        </is>
      </c>
      <c r="T5114" s="15" t="n">
        <v>515</v>
      </c>
      <c r="U5114" s="15" t="n">
        <v>47</v>
      </c>
      <c r="V5114" s="15">
        <f>ROUNDUP((T5114+U5114+2*'Read Me'!$B$13)*(1+'Read Me'!$B$12),-1)</f>
        <v/>
      </c>
      <c r="W5114" s="15">
        <f>V5114*N5114*O5114</f>
        <v/>
      </c>
      <c r="X5114" s="12">
        <f>IF(LEFT(I5114,2)="MV",2*N5114*IF(L5114="1/C",O5114,1),0)</f>
        <v/>
      </c>
      <c r="Y5114" s="12">
        <f>IF(OR(LEFT(K5114,4)="LVAX",LEFT(K5114,6)="MV15AX",LEFT(K5114,4)="CTAX",LEFT(K5114,2)="W|"),2*N5114*O5114,0)</f>
        <v/>
      </c>
      <c r="Z5114" s="12" t="inlineStr"/>
      <c r="AA5114" s="12">
        <f>N5114*O5114</f>
        <v/>
      </c>
    </row>
    <row r="5115">
      <c r="A5115" s="12" t="inlineStr">
        <is>
          <t>I-I-0512</t>
        </is>
      </c>
      <c r="B5115" s="12" t="inlineStr">
        <is>
          <t>I</t>
        </is>
      </c>
      <c r="C5115" s="12" t="inlineStr">
        <is>
          <t>Modular / portable power</t>
        </is>
      </c>
      <c r="D5115" s="12" t="inlineStr">
        <is>
          <t>Discrete device to JB JB-T-MOD 230 kV take--DI01: 16 x 1 pr (field cables)</t>
        </is>
      </c>
      <c r="E5115" s="12" t="inlineStr"/>
      <c r="F5115" s="12" t="inlineStr">
        <is>
          <t>T-MOD 230 kV take-off gantry with arresters</t>
        </is>
      </c>
      <c r="G5115" s="12" t="inlineStr">
        <is>
          <t>JB-T-MOD 230 kV take--DI01</t>
        </is>
      </c>
      <c r="H5115" s="12" t="inlineStr">
        <is>
          <t>T-MOD 230 kV take-off gantry with arresters</t>
        </is>
      </c>
      <c r="I5115" s="12" t="inlineStr">
        <is>
          <t>Instrumentation</t>
        </is>
      </c>
      <c r="J5115" s="12" t="inlineStr">
        <is>
          <t>Instrumentation PLTC / TC-ER 300 V, #18 twisted shielded pairs, overall shield</t>
        </is>
      </c>
      <c r="K5115" s="12" t="inlineStr">
        <is>
          <t>PLTC|1 pr|16</t>
        </is>
      </c>
      <c r="L5115" s="12" t="inlineStr">
        <is>
          <t>1 pr</t>
        </is>
      </c>
      <c r="M5115" s="12" t="inlineStr">
        <is>
          <t>16</t>
        </is>
      </c>
      <c r="N5115" s="12" t="n">
        <v>16</v>
      </c>
      <c r="O5115" s="12" t="n">
        <v>1</v>
      </c>
      <c r="P5115" s="12" t="n"/>
      <c r="Q5115" s="12" t="n"/>
      <c r="R5115" s="12" t="n"/>
      <c r="S5115" s="12" t="inlineStr">
        <is>
          <t>Tray / conduit</t>
        </is>
      </c>
      <c r="T5115" s="15" t="n">
        <v>88</v>
      </c>
      <c r="U5115" s="15" t="n">
        <v>10</v>
      </c>
      <c r="V5115" s="15">
        <f>ROUNDUP((T5115+U5115+2*'Read Me'!$B$13)*(1+'Read Me'!$B$12),-1)</f>
        <v/>
      </c>
      <c r="W5115" s="15">
        <f>V5115*N5115*O5115</f>
        <v/>
      </c>
      <c r="X5115" s="12">
        <f>IF(LEFT(I5115,2)="MV",2*N5115*IF(L5115="1/C",O5115,1),0)</f>
        <v/>
      </c>
      <c r="Y5115" s="12">
        <f>IF(OR(LEFT(K5115,4)="LVAX",LEFT(K5115,6)="MV15AX",LEFT(K5115,4)="CTAX",LEFT(K5115,2)="W|"),2*N5115*O5115,0)</f>
        <v/>
      </c>
      <c r="Z5115" s="12" t="inlineStr">
        <is>
          <t>device-to-JB field wiring, one cable per device</t>
        </is>
      </c>
      <c r="AA5115" s="12">
        <f>N5115*O5115</f>
        <v/>
      </c>
    </row>
    <row r="5116">
      <c r="A5116" s="12" t="inlineStr">
        <is>
          <t>I-I-0513</t>
        </is>
      </c>
      <c r="B5116" s="12" t="inlineStr">
        <is>
          <t>I</t>
        </is>
      </c>
      <c r="C5116" s="12" t="inlineStr">
        <is>
          <t>Modular / portable power</t>
        </is>
      </c>
      <c r="D5116" s="12" t="inlineStr">
        <is>
          <t>Home run JB-T-MOD 230 kV take--DI01 to the control / marshalling room</t>
        </is>
      </c>
      <c r="E5116" s="12" t="inlineStr">
        <is>
          <t>PAD-EH</t>
        </is>
      </c>
      <c r="F5116" s="12" t="inlineStr">
        <is>
          <t>PAD-EH 13.8 kV switchgear e-house</t>
        </is>
      </c>
      <c r="G5116" s="12" t="inlineStr">
        <is>
          <t>JB-T-MOD 230 kV take--DI01</t>
        </is>
      </c>
      <c r="H5116" s="12" t="inlineStr">
        <is>
          <t>T-MOD 230 kV take-off gantry with arresters</t>
        </is>
      </c>
      <c r="I5116" s="12" t="inlineStr">
        <is>
          <t>Instrumentation</t>
        </is>
      </c>
      <c r="J5116" s="12" t="inlineStr">
        <is>
          <t>Instrumentation PLTC / TC-ER 300 V, #18 twisted shielded pairs, overall shield</t>
        </is>
      </c>
      <c r="K5116" s="12" t="inlineStr">
        <is>
          <t>PLTC|24 pr|18</t>
        </is>
      </c>
      <c r="L5116" s="12" t="inlineStr">
        <is>
          <t>24 pr</t>
        </is>
      </c>
      <c r="M5116" s="12" t="inlineStr">
        <is>
          <t>18</t>
        </is>
      </c>
      <c r="N5116" s="12" t="n">
        <v>1</v>
      </c>
      <c r="O5116" s="12" t="n">
        <v>1</v>
      </c>
      <c r="P5116" s="12" t="n"/>
      <c r="Q5116" s="12" t="n"/>
      <c r="R5116" s="12" t="n"/>
      <c r="S5116" s="12" t="inlineStr">
        <is>
          <t>Duct bank</t>
        </is>
      </c>
      <c r="T5116" s="15" t="n">
        <v>515</v>
      </c>
      <c r="U5116" s="15" t="n">
        <v>47</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I-I-0514</t>
        </is>
      </c>
      <c r="B5117" s="12" t="inlineStr">
        <is>
          <t>I</t>
        </is>
      </c>
      <c r="C5117" s="12" t="inlineStr">
        <is>
          <t>Modular / portable power</t>
        </is>
      </c>
      <c r="D5117" s="12" t="inlineStr">
        <is>
          <t>Analog instrument to JB JB-T-MOD-1 / T-MOD-2 -AI01: 8 x 1 pr (field cables)</t>
        </is>
      </c>
      <c r="E5117" s="12" t="inlineStr"/>
      <c r="F5117" s="12" t="inlineStr">
        <is>
          <t>T-MOD-1 / T-MOD-2 firewall</t>
        </is>
      </c>
      <c r="G5117" s="12" t="inlineStr">
        <is>
          <t>JB-T-MOD-1 / T-MOD-2 -AI01</t>
        </is>
      </c>
      <c r="H5117" s="12" t="inlineStr">
        <is>
          <t>T-MOD-1 / T-MOD-2 firewall</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64</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I-I-0515</t>
        </is>
      </c>
      <c r="B5118" s="12" t="inlineStr">
        <is>
          <t>I</t>
        </is>
      </c>
      <c r="C5118" s="12" t="inlineStr">
        <is>
          <t>Modular / portable power</t>
        </is>
      </c>
      <c r="D5118" s="12" t="inlineStr">
        <is>
          <t>Home run JB-T-MOD-1 / T-MOD-2 -AI01 to the control / marshalling room</t>
        </is>
      </c>
      <c r="E5118" s="12" t="inlineStr"/>
      <c r="F5118" s="12" t="inlineStr">
        <is>
          <t>PCM: power control module</t>
        </is>
      </c>
      <c r="G5118" s="12" t="inlineStr">
        <is>
          <t>JB-T-MOD-1 / T-MOD-2 -AI01</t>
        </is>
      </c>
      <c r="H5118" s="12" t="inlineStr">
        <is>
          <t>T-MOD-1 / T-MOD-2 firewall</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91</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I-I-0516</t>
        </is>
      </c>
      <c r="B5119" s="12" t="inlineStr">
        <is>
          <t>I</t>
        </is>
      </c>
      <c r="C5119" s="12" t="inlineStr">
        <is>
          <t>Modular / portable power</t>
        </is>
      </c>
      <c r="D5119" s="12" t="inlineStr">
        <is>
          <t>Discrete device to JB JB-T-MOD-1 / T-MOD-2 -DI01: 16 x 1 pr (field cables)</t>
        </is>
      </c>
      <c r="E5119" s="12" t="inlineStr"/>
      <c r="F5119" s="12" t="inlineStr">
        <is>
          <t>T-MOD-1 / T-MOD-2 firewall</t>
        </is>
      </c>
      <c r="G5119" s="12" t="inlineStr">
        <is>
          <t>JB-T-MOD-1 / T-MOD-2 -DI01</t>
        </is>
      </c>
      <c r="H5119" s="12" t="inlineStr">
        <is>
          <t>T-MOD-1 / T-MOD-2 firewall</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64</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I-I-0517</t>
        </is>
      </c>
      <c r="B5120" s="12" t="inlineStr">
        <is>
          <t>I</t>
        </is>
      </c>
      <c r="C5120" s="12" t="inlineStr">
        <is>
          <t>Modular / portable power</t>
        </is>
      </c>
      <c r="D5120" s="12" t="inlineStr">
        <is>
          <t>Home run JB-T-MOD-1 / T-MOD-2 -DI01 to the control / marshalling room</t>
        </is>
      </c>
      <c r="E5120" s="12" t="inlineStr"/>
      <c r="F5120" s="12" t="inlineStr">
        <is>
          <t>PCM: power control module</t>
        </is>
      </c>
      <c r="G5120" s="12" t="inlineStr">
        <is>
          <t>JB-T-MOD-1 / T-MOD-2 -DI01</t>
        </is>
      </c>
      <c r="H5120" s="12" t="inlineStr">
        <is>
          <t>T-MOD-1 / T-MOD-2 firewall</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91</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I-I-0518</t>
        </is>
      </c>
      <c r="B5121" s="12" t="inlineStr">
        <is>
          <t>I</t>
        </is>
      </c>
      <c r="C5121" s="12" t="inlineStr">
        <is>
          <t>Modular / portable power</t>
        </is>
      </c>
      <c r="D5121" s="12" t="inlineStr">
        <is>
          <t>T-MOD-1 monitoring: temperatures, gas relay, oil level</t>
        </is>
      </c>
      <c r="E5121" s="12" t="inlineStr">
        <is>
          <t>MOD-EH</t>
        </is>
      </c>
      <c r="F5121" s="12" t="inlineStr">
        <is>
          <t>MOD-EH: 34.5 kV modular collector e-house (2 bus sections + 13.8 kV st</t>
        </is>
      </c>
      <c r="G5121" s="12" t="inlineStr">
        <is>
          <t>T-MOD-1</t>
        </is>
      </c>
      <c r="H5121" s="12" t="inlineStr">
        <is>
          <t>T-MOD-1: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238</v>
      </c>
      <c r="U5121" s="15" t="n">
        <v>43</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I-I-0519</t>
        </is>
      </c>
      <c r="B5122" s="12" t="inlineStr">
        <is>
          <t>I</t>
        </is>
      </c>
      <c r="C5122" s="12" t="inlineStr">
        <is>
          <t>Modular / portable power</t>
        </is>
      </c>
      <c r="D5122" s="12" t="inlineStr">
        <is>
          <t>Analog instrument to JB JB-T-MOD-1-AI01: 8 x 1 pr (field cables)</t>
        </is>
      </c>
      <c r="E5122" s="12" t="inlineStr">
        <is>
          <t>T-MOD-1</t>
        </is>
      </c>
      <c r="F5122" s="12" t="inlineStr">
        <is>
          <t>T-MOD-1: 230 / 34.5 kV</t>
        </is>
      </c>
      <c r="G5122" s="12" t="inlineStr">
        <is>
          <t>JB-T-MOD-1-AI01</t>
        </is>
      </c>
      <c r="H5122" s="12" t="inlineStr">
        <is>
          <t>T-MOD-1: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I-I-0520</t>
        </is>
      </c>
      <c r="B5123" s="12" t="inlineStr">
        <is>
          <t>I</t>
        </is>
      </c>
      <c r="C5123" s="12" t="inlineStr">
        <is>
          <t>Modular / portable power</t>
        </is>
      </c>
      <c r="D5123" s="12" t="inlineStr">
        <is>
          <t>Home run JB-T-MOD-1-AI01 to the control / marshalling room</t>
        </is>
      </c>
      <c r="E5123" s="12" t="inlineStr"/>
      <c r="F5123" s="12" t="inlineStr">
        <is>
          <t>PCM: power control module</t>
        </is>
      </c>
      <c r="G5123" s="12" t="inlineStr">
        <is>
          <t>JB-T-MOD-1-AI01</t>
        </is>
      </c>
      <c r="H5123" s="12" t="inlineStr">
        <is>
          <t>T-MOD-1: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423</v>
      </c>
      <c r="U5123" s="15" t="n">
        <v>43</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I-I-0521</t>
        </is>
      </c>
      <c r="B5124" s="12" t="inlineStr">
        <is>
          <t>I</t>
        </is>
      </c>
      <c r="C5124" s="12" t="inlineStr">
        <is>
          <t>Modular / portable power</t>
        </is>
      </c>
      <c r="D5124" s="12" t="inlineStr">
        <is>
          <t>Discrete device to JB JB-T-MOD-1-DI01: 16 x 1 pr (field cables)</t>
        </is>
      </c>
      <c r="E5124" s="12" t="inlineStr">
        <is>
          <t>T-MOD-1</t>
        </is>
      </c>
      <c r="F5124" s="12" t="inlineStr">
        <is>
          <t>T-MOD-1: 230 / 34.5 kV</t>
        </is>
      </c>
      <c r="G5124" s="12" t="inlineStr">
        <is>
          <t>JB-T-MOD-1-DI01</t>
        </is>
      </c>
      <c r="H5124" s="12" t="inlineStr">
        <is>
          <t>T-MOD-1: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I-I-0522</t>
        </is>
      </c>
      <c r="B5125" s="12" t="inlineStr">
        <is>
          <t>I</t>
        </is>
      </c>
      <c r="C5125" s="12" t="inlineStr">
        <is>
          <t>Modular / portable power</t>
        </is>
      </c>
      <c r="D5125" s="12" t="inlineStr">
        <is>
          <t>Home run JB-T-MOD-1-DI01 to the control / marshalling room</t>
        </is>
      </c>
      <c r="E5125" s="12" t="inlineStr"/>
      <c r="F5125" s="12" t="inlineStr">
        <is>
          <t>PCM: power control module</t>
        </is>
      </c>
      <c r="G5125" s="12" t="inlineStr">
        <is>
          <t>JB-T-MOD-1-DI01</t>
        </is>
      </c>
      <c r="H5125" s="12" t="inlineStr">
        <is>
          <t>T-MOD-1: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423</v>
      </c>
      <c r="U5125" s="15" t="n">
        <v>43</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I-I-0523</t>
        </is>
      </c>
      <c r="B5126" s="12" t="inlineStr">
        <is>
          <t>I</t>
        </is>
      </c>
      <c r="C5126" s="12" t="inlineStr">
        <is>
          <t>Modular / portable power</t>
        </is>
      </c>
      <c r="D5126" s="12" t="inlineStr">
        <is>
          <t>T-MOD-2 monitoring: temperatures, gas relay, oil level</t>
        </is>
      </c>
      <c r="E5126" s="12" t="inlineStr">
        <is>
          <t>MOD-EH</t>
        </is>
      </c>
      <c r="F5126" s="12" t="inlineStr">
        <is>
          <t>MOD-EH: 34.5 kV modular collector e-house (2 bus sections + 13.8 kV st</t>
        </is>
      </c>
      <c r="G5126" s="12" t="inlineStr">
        <is>
          <t>T-MOD-2</t>
        </is>
      </c>
      <c r="H5126" s="12" t="inlineStr">
        <is>
          <t>T-MOD-2: 230 / 34.5 kV</t>
        </is>
      </c>
      <c r="I5126" s="12" t="inlineStr">
        <is>
          <t>Instrumentation</t>
        </is>
      </c>
      <c r="J5126" s="12" t="inlineStr">
        <is>
          <t>Instrumentation ITC / PLTC, IS, #18 shielded pairs, blue jacket</t>
        </is>
      </c>
      <c r="K5126" s="12" t="inlineStr">
        <is>
          <t>ITC|4 pr|18</t>
        </is>
      </c>
      <c r="L5126" s="12" t="inlineStr">
        <is>
          <t>4 pr</t>
        </is>
      </c>
      <c r="M5126" s="12" t="inlineStr">
        <is>
          <t>18</t>
        </is>
      </c>
      <c r="N5126" s="12" t="n">
        <v>1</v>
      </c>
      <c r="O5126" s="12" t="n">
        <v>1</v>
      </c>
      <c r="P5126" s="12" t="n"/>
      <c r="Q5126" s="12" t="n"/>
      <c r="R5126" s="12" t="n"/>
      <c r="S5126" s="12" t="inlineStr">
        <is>
          <t>Duct bank</t>
        </is>
      </c>
      <c r="T5126" s="15" t="n">
        <v>368</v>
      </c>
      <c r="U5126" s="15" t="n">
        <v>32</v>
      </c>
      <c r="V5126" s="15">
        <f>ROUNDUP((T5126+U5126+2*'Read Me'!$B$13)*(1+'Read Me'!$B$12),-1)</f>
        <v/>
      </c>
      <c r="W5126" s="15">
        <f>V5126*N5126*O5126</f>
        <v/>
      </c>
      <c r="X5126" s="12">
        <f>IF(LEFT(I5126,2)="MV",2*N5126*IF(L5126="1/C",O5126,1),0)</f>
        <v/>
      </c>
      <c r="Y5126" s="12">
        <f>IF(OR(LEFT(K5126,4)="LVAX",LEFT(K5126,6)="MV15AX",LEFT(K5126,4)="CTAX",LEFT(K5126,2)="W|"),2*N5126*O5126,0)</f>
        <v/>
      </c>
      <c r="Z5126" s="12" t="inlineStr"/>
      <c r="AA5126" s="12">
        <f>N5126*O5126</f>
        <v/>
      </c>
    </row>
    <row r="5127">
      <c r="A5127" s="12" t="inlineStr">
        <is>
          <t>I-I-0524</t>
        </is>
      </c>
      <c r="B5127" s="12" t="inlineStr">
        <is>
          <t>I</t>
        </is>
      </c>
      <c r="C5127" s="12" t="inlineStr">
        <is>
          <t>Modular / portable power</t>
        </is>
      </c>
      <c r="D5127" s="12" t="inlineStr">
        <is>
          <t>Analog instrument to JB JB-T-MOD-2-AI01: 8 x 1 pr (field cables)</t>
        </is>
      </c>
      <c r="E5127" s="12" t="inlineStr">
        <is>
          <t>T-MOD-2</t>
        </is>
      </c>
      <c r="F5127" s="12" t="inlineStr">
        <is>
          <t>T-MOD-2: 230 / 34.5 kV</t>
        </is>
      </c>
      <c r="G5127" s="12" t="inlineStr">
        <is>
          <t>JB-T-MOD-2-AI01</t>
        </is>
      </c>
      <c r="H5127" s="12" t="inlineStr">
        <is>
          <t>T-MOD-2: 230 / 34.5 kV</t>
        </is>
      </c>
      <c r="I5127" s="12" t="inlineStr">
        <is>
          <t>Instrumentation</t>
        </is>
      </c>
      <c r="J5127" s="12" t="inlineStr">
        <is>
          <t>Instrumentation PLTC / TC-ER 300 V, #18 twisted shielded pairs, overall shield</t>
        </is>
      </c>
      <c r="K5127" s="12" t="inlineStr">
        <is>
          <t>PLTC|1 pr|16</t>
        </is>
      </c>
      <c r="L5127" s="12" t="inlineStr">
        <is>
          <t>1 pr</t>
        </is>
      </c>
      <c r="M5127" s="12" t="inlineStr">
        <is>
          <t>16</t>
        </is>
      </c>
      <c r="N5127" s="12" t="n">
        <v>8</v>
      </c>
      <c r="O5127" s="12" t="n">
        <v>1</v>
      </c>
      <c r="P5127" s="12" t="n"/>
      <c r="Q5127" s="12" t="n"/>
      <c r="R5127" s="12" t="n"/>
      <c r="S5127" s="12" t="inlineStr">
        <is>
          <t>Tray / conduit</t>
        </is>
      </c>
      <c r="T5127" s="15" t="n">
        <v>77</v>
      </c>
      <c r="U5127" s="15" t="n">
        <v>10</v>
      </c>
      <c r="V5127" s="15">
        <f>ROUNDUP((T5127+U5127+2*'Read Me'!$B$13)*(1+'Read Me'!$B$12),-1)</f>
        <v/>
      </c>
      <c r="W5127" s="15">
        <f>V5127*N5127*O5127</f>
        <v/>
      </c>
      <c r="X5127" s="12">
        <f>IF(LEFT(I5127,2)="MV",2*N5127*IF(L5127="1/C",O5127,1),0)</f>
        <v/>
      </c>
      <c r="Y5127" s="12">
        <f>IF(OR(LEFT(K5127,4)="LVAX",LEFT(K5127,6)="MV15AX",LEFT(K5127,4)="CTAX",LEFT(K5127,2)="W|"),2*N5127*O5127,0)</f>
        <v/>
      </c>
      <c r="Z5127" s="12" t="inlineStr">
        <is>
          <t>device-to-JB field wiring, one cable per device</t>
        </is>
      </c>
      <c r="AA5127" s="12">
        <f>N5127*O5127</f>
        <v/>
      </c>
    </row>
    <row r="5128">
      <c r="A5128" s="12" t="inlineStr">
        <is>
          <t>I-I-0525</t>
        </is>
      </c>
      <c r="B5128" s="12" t="inlineStr">
        <is>
          <t>I</t>
        </is>
      </c>
      <c r="C5128" s="12" t="inlineStr">
        <is>
          <t>Modular / portable power</t>
        </is>
      </c>
      <c r="D5128" s="12" t="inlineStr">
        <is>
          <t>Home run JB-T-MOD-2-AI01 to the control / marshalling room</t>
        </is>
      </c>
      <c r="E5128" s="12" t="inlineStr"/>
      <c r="F5128" s="12" t="inlineStr">
        <is>
          <t>PCM: power control module</t>
        </is>
      </c>
      <c r="G5128" s="12" t="inlineStr">
        <is>
          <t>JB-T-MOD-2-AI01</t>
        </is>
      </c>
      <c r="H5128" s="12" t="inlineStr">
        <is>
          <t>T-MOD-2: 230 / 34.5 kV</t>
        </is>
      </c>
      <c r="I5128" s="12" t="inlineStr">
        <is>
          <t>Instrumentation</t>
        </is>
      </c>
      <c r="J5128" s="12" t="inlineStr">
        <is>
          <t>Instrumentation PLTC / TC-ER 300 V, #18 twisted shielded pairs, overall shield</t>
        </is>
      </c>
      <c r="K5128" s="12" t="inlineStr">
        <is>
          <t>PLTC|24 pr|18</t>
        </is>
      </c>
      <c r="L5128" s="12" t="inlineStr">
        <is>
          <t>24 pr</t>
        </is>
      </c>
      <c r="M5128" s="12" t="inlineStr">
        <is>
          <t>18</t>
        </is>
      </c>
      <c r="N5128" s="12" t="n">
        <v>1</v>
      </c>
      <c r="O5128" s="12" t="n">
        <v>1</v>
      </c>
      <c r="P5128" s="12" t="n"/>
      <c r="Q5128" s="12" t="n"/>
      <c r="R5128" s="12" t="n"/>
      <c r="S5128" s="12" t="inlineStr">
        <is>
          <t>Duct bank</t>
        </is>
      </c>
      <c r="T5128" s="15" t="n">
        <v>553</v>
      </c>
      <c r="U5128" s="15" t="n">
        <v>32</v>
      </c>
      <c r="V5128" s="15">
        <f>ROUNDUP((T5128+U5128+2*'Read Me'!$B$13)*(1+'Read Me'!$B$12),-1)</f>
        <v/>
      </c>
      <c r="W5128" s="15">
        <f>V5128*N5128*O5128</f>
        <v/>
      </c>
      <c r="X5128" s="12">
        <f>IF(LEFT(I5128,2)="MV",2*N5128*IF(L5128="1/C",O5128,1),0)</f>
        <v/>
      </c>
      <c r="Y5128" s="12">
        <f>IF(OR(LEFT(K5128,4)="LVAX",LEFT(K5128,6)="MV15AX",LEFT(K5128,4)="CTAX",LEFT(K5128,2)="W|"),2*N5128*O5128,0)</f>
        <v/>
      </c>
      <c r="Z5128" s="12" t="inlineStr"/>
      <c r="AA5128" s="12">
        <f>N5128*O5128</f>
        <v/>
      </c>
    </row>
    <row r="5129">
      <c r="A5129" s="12" t="inlineStr">
        <is>
          <t>I-I-0526</t>
        </is>
      </c>
      <c r="B5129" s="12" t="inlineStr">
        <is>
          <t>I</t>
        </is>
      </c>
      <c r="C5129" s="12" t="inlineStr">
        <is>
          <t>Modular / portable power</t>
        </is>
      </c>
      <c r="D5129" s="12" t="inlineStr">
        <is>
          <t>Discrete device to JB JB-T-MOD-2-DI01: 16 x 1 pr (field cables)</t>
        </is>
      </c>
      <c r="E5129" s="12" t="inlineStr">
        <is>
          <t>T-MOD-2</t>
        </is>
      </c>
      <c r="F5129" s="12" t="inlineStr">
        <is>
          <t>T-MOD-2: 230 / 34.5 kV</t>
        </is>
      </c>
      <c r="G5129" s="12" t="inlineStr">
        <is>
          <t>JB-T-MOD-2-DI01</t>
        </is>
      </c>
      <c r="H5129" s="12" t="inlineStr">
        <is>
          <t>T-MOD-2: 230 / 34.5 kV</t>
        </is>
      </c>
      <c r="I5129" s="12" t="inlineStr">
        <is>
          <t>Instrumentation</t>
        </is>
      </c>
      <c r="J5129" s="12" t="inlineStr">
        <is>
          <t>Instrumentation PLTC / TC-ER 300 V, #18 twisted shielded pairs, overall shield</t>
        </is>
      </c>
      <c r="K5129" s="12" t="inlineStr">
        <is>
          <t>PLTC|1 pr|16</t>
        </is>
      </c>
      <c r="L5129" s="12" t="inlineStr">
        <is>
          <t>1 pr</t>
        </is>
      </c>
      <c r="M5129" s="12" t="inlineStr">
        <is>
          <t>16</t>
        </is>
      </c>
      <c r="N5129" s="12" t="n">
        <v>16</v>
      </c>
      <c r="O5129" s="12" t="n">
        <v>1</v>
      </c>
      <c r="P5129" s="12" t="n"/>
      <c r="Q5129" s="12" t="n"/>
      <c r="R5129" s="12" t="n"/>
      <c r="S5129" s="12" t="inlineStr">
        <is>
          <t>Tray / conduit</t>
        </is>
      </c>
      <c r="T5129" s="15" t="n">
        <v>77</v>
      </c>
      <c r="U5129" s="15" t="n">
        <v>10</v>
      </c>
      <c r="V5129" s="15">
        <f>ROUNDUP((T5129+U5129+2*'Read Me'!$B$13)*(1+'Read Me'!$B$12),-1)</f>
        <v/>
      </c>
      <c r="W5129" s="15">
        <f>V5129*N5129*O5129</f>
        <v/>
      </c>
      <c r="X5129" s="12">
        <f>IF(LEFT(I5129,2)="MV",2*N5129*IF(L5129="1/C",O5129,1),0)</f>
        <v/>
      </c>
      <c r="Y5129" s="12">
        <f>IF(OR(LEFT(K5129,4)="LVAX",LEFT(K5129,6)="MV15AX",LEFT(K5129,4)="CTAX",LEFT(K5129,2)="W|"),2*N5129*O5129,0)</f>
        <v/>
      </c>
      <c r="Z5129" s="12" t="inlineStr">
        <is>
          <t>device-to-JB field wiring, one cable per device</t>
        </is>
      </c>
      <c r="AA5129" s="12">
        <f>N5129*O5129</f>
        <v/>
      </c>
    </row>
    <row r="5130">
      <c r="A5130" s="12" t="inlineStr">
        <is>
          <t>I-I-0527</t>
        </is>
      </c>
      <c r="B5130" s="12" t="inlineStr">
        <is>
          <t>I</t>
        </is>
      </c>
      <c r="C5130" s="12" t="inlineStr">
        <is>
          <t>Modular / portable power</t>
        </is>
      </c>
      <c r="D5130" s="12" t="inlineStr">
        <is>
          <t>Home run JB-T-MOD-2-DI01 to the control / marshalling room</t>
        </is>
      </c>
      <c r="E5130" s="12" t="inlineStr"/>
      <c r="F5130" s="12" t="inlineStr">
        <is>
          <t>PCM: power control module</t>
        </is>
      </c>
      <c r="G5130" s="12" t="inlineStr">
        <is>
          <t>JB-T-MOD-2-DI01</t>
        </is>
      </c>
      <c r="H5130" s="12" t="inlineStr">
        <is>
          <t>T-MOD-2: 230 / 34.5 kV</t>
        </is>
      </c>
      <c r="I5130" s="12" t="inlineStr">
        <is>
          <t>Instrumentation</t>
        </is>
      </c>
      <c r="J5130" s="12" t="inlineStr">
        <is>
          <t>Instrumentation PLTC / TC-ER 300 V, #18 twisted shielded pairs, overall shield</t>
        </is>
      </c>
      <c r="K5130" s="12" t="inlineStr">
        <is>
          <t>PLTC|24 pr|18</t>
        </is>
      </c>
      <c r="L5130" s="12" t="inlineStr">
        <is>
          <t>24 pr</t>
        </is>
      </c>
      <c r="M5130" s="12" t="inlineStr">
        <is>
          <t>18</t>
        </is>
      </c>
      <c r="N5130" s="12" t="n">
        <v>1</v>
      </c>
      <c r="O5130" s="12" t="n">
        <v>1</v>
      </c>
      <c r="P5130" s="12" t="n"/>
      <c r="Q5130" s="12" t="n"/>
      <c r="R5130" s="12" t="n"/>
      <c r="S5130" s="12" t="inlineStr">
        <is>
          <t>Duct bank</t>
        </is>
      </c>
      <c r="T5130" s="15" t="n">
        <v>553</v>
      </c>
      <c r="U5130" s="15" t="n">
        <v>32</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I-I-0528</t>
        </is>
      </c>
      <c r="B5131" s="12" t="inlineStr">
        <is>
          <t>I</t>
        </is>
      </c>
      <c r="C5131" s="12" t="inlineStr">
        <is>
          <t>Modular / portable power</t>
        </is>
      </c>
      <c r="D5131" s="12" t="inlineStr">
        <is>
          <t>Analog instrument to JB JB-T-MOD-3 230 kV gan-AI01: 8 x 1 pr (field cables)</t>
        </is>
      </c>
      <c r="E5131" s="12" t="inlineStr"/>
      <c r="F5131" s="12" t="inlineStr">
        <is>
          <t>T-MOD-3 230 kV gantry extension with arresters</t>
        </is>
      </c>
      <c r="G5131" s="12" t="inlineStr">
        <is>
          <t>JB-T-MOD-3 230 kV gan-AI01</t>
        </is>
      </c>
      <c r="H5131" s="12" t="inlineStr">
        <is>
          <t>T-MOD-3 230 kV gantry extension with arresters</t>
        </is>
      </c>
      <c r="I5131" s="12" t="inlineStr">
        <is>
          <t>Instrumentation</t>
        </is>
      </c>
      <c r="J5131" s="12" t="inlineStr">
        <is>
          <t>Instrumentation PLTC / TC-ER 300 V, #18 twisted shielded pairs, overall shield</t>
        </is>
      </c>
      <c r="K5131" s="12" t="inlineStr">
        <is>
          <t>PLTC|1 pr|16</t>
        </is>
      </c>
      <c r="L5131" s="12" t="inlineStr">
        <is>
          <t>1 pr</t>
        </is>
      </c>
      <c r="M5131" s="12" t="inlineStr">
        <is>
          <t>16</t>
        </is>
      </c>
      <c r="N5131" s="12" t="n">
        <v>8</v>
      </c>
      <c r="O5131" s="12" t="n">
        <v>1</v>
      </c>
      <c r="P5131" s="12" t="n"/>
      <c r="Q5131" s="12" t="n"/>
      <c r="R5131" s="12" t="n"/>
      <c r="S5131" s="12" t="inlineStr">
        <is>
          <t>Tray / conduit</t>
        </is>
      </c>
      <c r="T5131" s="15" t="n">
        <v>85</v>
      </c>
      <c r="U5131" s="15" t="n">
        <v>10</v>
      </c>
      <c r="V5131" s="15">
        <f>ROUNDUP((T5131+U5131+2*'Read Me'!$B$13)*(1+'Read Me'!$B$12),-1)</f>
        <v/>
      </c>
      <c r="W5131" s="15">
        <f>V5131*N5131*O5131</f>
        <v/>
      </c>
      <c r="X5131" s="12">
        <f>IF(LEFT(I5131,2)="MV",2*N5131*IF(L5131="1/C",O5131,1),0)</f>
        <v/>
      </c>
      <c r="Y5131" s="12">
        <f>IF(OR(LEFT(K5131,4)="LVAX",LEFT(K5131,6)="MV15AX",LEFT(K5131,4)="CTAX",LEFT(K5131,2)="W|"),2*N5131*O5131,0)</f>
        <v/>
      </c>
      <c r="Z5131" s="12" t="inlineStr">
        <is>
          <t>device-to-JB field wiring, one cable per device</t>
        </is>
      </c>
      <c r="AA5131" s="12">
        <f>N5131*O5131</f>
        <v/>
      </c>
    </row>
    <row r="5132">
      <c r="A5132" s="12" t="inlineStr">
        <is>
          <t>I-I-0529</t>
        </is>
      </c>
      <c r="B5132" s="12" t="inlineStr">
        <is>
          <t>I</t>
        </is>
      </c>
      <c r="C5132" s="12" t="inlineStr">
        <is>
          <t>Modular / portable power</t>
        </is>
      </c>
      <c r="D5132" s="12" t="inlineStr">
        <is>
          <t>Home run JB-T-MOD-3 230 kV gan-AI01 to the control / marshalling room</t>
        </is>
      </c>
      <c r="E5132" s="12" t="inlineStr">
        <is>
          <t>PAD-EH</t>
        </is>
      </c>
      <c r="F5132" s="12" t="inlineStr">
        <is>
          <t>PAD-EH 13.8 kV switchgear e-house</t>
        </is>
      </c>
      <c r="G5132" s="12" t="inlineStr">
        <is>
          <t>JB-T-MOD-3 230 kV gan-AI01</t>
        </is>
      </c>
      <c r="H5132" s="12" t="inlineStr">
        <is>
          <t>T-MOD-3 230 kV gantry extension with arresters</t>
        </is>
      </c>
      <c r="I5132" s="12" t="inlineStr">
        <is>
          <t>Instrumentation</t>
        </is>
      </c>
      <c r="J5132" s="12" t="inlineStr">
        <is>
          <t>Instrumentation PLTC / TC-ER 300 V, #18 twisted shielded pairs, overall shield</t>
        </is>
      </c>
      <c r="K5132" s="12" t="inlineStr">
        <is>
          <t>PLTC|24 pr|18</t>
        </is>
      </c>
      <c r="L5132" s="12" t="inlineStr">
        <is>
          <t>24 pr</t>
        </is>
      </c>
      <c r="M5132" s="12" t="inlineStr">
        <is>
          <t>18</t>
        </is>
      </c>
      <c r="N5132" s="12" t="n">
        <v>1</v>
      </c>
      <c r="O5132" s="12" t="n">
        <v>1</v>
      </c>
      <c r="P5132" s="12" t="n"/>
      <c r="Q5132" s="12" t="n"/>
      <c r="R5132" s="12" t="n"/>
      <c r="S5132" s="12" t="inlineStr">
        <is>
          <t>Duct bank</t>
        </is>
      </c>
      <c r="T5132" s="15" t="n">
        <v>504</v>
      </c>
      <c r="U5132" s="15" t="n">
        <v>38</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I-I-0530</t>
        </is>
      </c>
      <c r="B5133" s="12" t="inlineStr">
        <is>
          <t>I</t>
        </is>
      </c>
      <c r="C5133" s="12" t="inlineStr">
        <is>
          <t>Modular / portable power</t>
        </is>
      </c>
      <c r="D5133" s="12" t="inlineStr">
        <is>
          <t>Discrete device to JB JB-T-MOD-3 230 kV gan-DI01: 16 x 1 pr (field cables)</t>
        </is>
      </c>
      <c r="E5133" s="12" t="inlineStr"/>
      <c r="F5133" s="12" t="inlineStr">
        <is>
          <t>T-MOD-3 230 kV gantry extension with arresters</t>
        </is>
      </c>
      <c r="G5133" s="12" t="inlineStr">
        <is>
          <t>JB-T-MOD-3 230 kV gan-DI01</t>
        </is>
      </c>
      <c r="H5133" s="12" t="inlineStr">
        <is>
          <t>T-MOD-3 230 kV gantry extension with arresters</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16</v>
      </c>
      <c r="O5133" s="12" t="n">
        <v>1</v>
      </c>
      <c r="P5133" s="12" t="n"/>
      <c r="Q5133" s="12" t="n"/>
      <c r="R5133" s="12" t="n"/>
      <c r="S5133" s="12" t="inlineStr">
        <is>
          <t>Tray / conduit</t>
        </is>
      </c>
      <c r="T5133" s="15" t="n">
        <v>85</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I-I-0531</t>
        </is>
      </c>
      <c r="B5134" s="12" t="inlineStr">
        <is>
          <t>I</t>
        </is>
      </c>
      <c r="C5134" s="12" t="inlineStr">
        <is>
          <t>Modular / portable power</t>
        </is>
      </c>
      <c r="D5134" s="12" t="inlineStr">
        <is>
          <t>Home run JB-T-MOD-3 230 kV gan-DI01 to the control / marshalling room</t>
        </is>
      </c>
      <c r="E5134" s="12" t="inlineStr">
        <is>
          <t>PAD-EH</t>
        </is>
      </c>
      <c r="F5134" s="12" t="inlineStr">
        <is>
          <t>PAD-EH 13.8 kV switchgear e-house</t>
        </is>
      </c>
      <c r="G5134" s="12" t="inlineStr">
        <is>
          <t>JB-T-MOD-3 230 kV gan-DI01</t>
        </is>
      </c>
      <c r="H5134" s="12" t="inlineStr">
        <is>
          <t>T-MOD-3 230 kV gantry extension with arresters</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504</v>
      </c>
      <c r="U5134" s="15" t="n">
        <v>38</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I-I-0532</t>
        </is>
      </c>
      <c r="B5135" s="12" t="inlineStr">
        <is>
          <t>I</t>
        </is>
      </c>
      <c r="C5135" s="12" t="inlineStr">
        <is>
          <t>Modular / portable power</t>
        </is>
      </c>
      <c r="D5135" s="12" t="inlineStr">
        <is>
          <t>T-MOD-3 monitoring: temperatures, gas relay, oil level</t>
        </is>
      </c>
      <c r="E5135" s="12" t="inlineStr">
        <is>
          <t>SWG-PK</t>
        </is>
      </c>
      <c r="F5135" s="12" t="inlineStr">
        <is>
          <t>SWG-PK: 34.5 kV park collector switchgear (2 bus sections, tie; 8 feed</t>
        </is>
      </c>
      <c r="G5135" s="12" t="inlineStr">
        <is>
          <t>T-MOD-3</t>
        </is>
      </c>
      <c r="H5135" s="12" t="inlineStr">
        <is>
          <t>T-MOD-3: 230 / 34.5 / 34.5 kV, ~250 MVA three-winding (power park coll</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Duct bank</t>
        </is>
      </c>
      <c r="T5135" s="15" t="n">
        <v>22</v>
      </c>
      <c r="U5135" s="15" t="n">
        <v>58</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I-I-0533</t>
        </is>
      </c>
      <c r="B5136" s="12" t="inlineStr">
        <is>
          <t>I</t>
        </is>
      </c>
      <c r="C5136" s="12" t="inlineStr">
        <is>
          <t>Modular / portable power</t>
        </is>
      </c>
      <c r="D5136" s="12" t="inlineStr">
        <is>
          <t>TGF-1 instrumentation</t>
        </is>
      </c>
      <c r="E5136" s="12" t="inlineStr">
        <is>
          <t>TGF-SWG</t>
        </is>
      </c>
      <c r="F5136" s="12" t="inlineStr">
        <is>
          <t>TGF-SWG: mobile 13.8 kV switchgear trailer (fleet collector)</t>
        </is>
      </c>
      <c r="G5136" s="12" t="inlineStr">
        <is>
          <t>TGF-1</t>
        </is>
      </c>
      <c r="H5136" s="12" t="inlineStr">
        <is>
          <t xml:space="preserve">TGF-1: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82</v>
      </c>
      <c r="U5136" s="15" t="n">
        <v>37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I-I-0534</t>
        </is>
      </c>
      <c r="B5137" s="12" t="inlineStr">
        <is>
          <t>I</t>
        </is>
      </c>
      <c r="C5137" s="12" t="inlineStr">
        <is>
          <t>Modular / portable power</t>
        </is>
      </c>
      <c r="D5137" s="12" t="inlineStr">
        <is>
          <t>TGF-2 instrumentation</t>
        </is>
      </c>
      <c r="E5137" s="12" t="inlineStr">
        <is>
          <t>TGF-SWG</t>
        </is>
      </c>
      <c r="F5137" s="12" t="inlineStr">
        <is>
          <t>TGF-SWG: mobile 13.8 kV switchgear trailer (fleet collector)</t>
        </is>
      </c>
      <c r="G5137" s="12" t="inlineStr">
        <is>
          <t>TGF-2</t>
        </is>
      </c>
      <c r="H5137" s="12" t="inlineStr">
        <is>
          <t xml:space="preserve">TGF-2: trailer-mounted gas-engine generator ~2.5 MW, 13.8 kV (trailer </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68</v>
      </c>
      <c r="U5137" s="15" t="n">
        <v>37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I-I-0535</t>
        </is>
      </c>
      <c r="B5138" s="12" t="inlineStr">
        <is>
          <t>I</t>
        </is>
      </c>
      <c r="C5138" s="12" t="inlineStr">
        <is>
          <t>Modular / portable power</t>
        </is>
      </c>
      <c r="D5138" s="12" t="inlineStr">
        <is>
          <t>TGF-3 instrumentation</t>
        </is>
      </c>
      <c r="E5138" s="12" t="inlineStr">
        <is>
          <t>TGF-SWG</t>
        </is>
      </c>
      <c r="F5138" s="12" t="inlineStr">
        <is>
          <t>TGF-SWG: mobile 13.8 kV switchgear trailer (fleet collector)</t>
        </is>
      </c>
      <c r="G5138" s="12" t="inlineStr">
        <is>
          <t>TGF-3</t>
        </is>
      </c>
      <c r="H5138" s="12" t="inlineStr">
        <is>
          <t xml:space="preserve">TGF-3: trailer-mounted gas-engine generator ~2.5 MW, 13.8 kV (trailer </t>
        </is>
      </c>
      <c r="I5138" s="12" t="inlineStr">
        <is>
          <t>Instrumentation</t>
        </is>
      </c>
      <c r="J5138" s="12" t="inlineStr">
        <is>
          <t>Instrumentation ITC / PLTC, IS, #18 shielded pairs, blue jacket</t>
        </is>
      </c>
      <c r="K5138" s="12" t="inlineStr">
        <is>
          <t>ITC|4 pr|18</t>
        </is>
      </c>
      <c r="L5138" s="12" t="inlineStr">
        <is>
          <t>4 pr</t>
        </is>
      </c>
      <c r="M5138" s="12" t="inlineStr">
        <is>
          <t>18</t>
        </is>
      </c>
      <c r="N5138" s="12" t="n">
        <v>1</v>
      </c>
      <c r="O5138" s="12" t="n">
        <v>1</v>
      </c>
      <c r="P5138" s="12" t="n"/>
      <c r="Q5138" s="12" t="n"/>
      <c r="R5138" s="12" t="n"/>
      <c r="S5138" s="12" t="inlineStr">
        <is>
          <t>Surface</t>
        </is>
      </c>
      <c r="T5138" s="15" t="n">
        <v>54</v>
      </c>
      <c r="U5138" s="15" t="n">
        <v>37</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I-I-0536</t>
        </is>
      </c>
      <c r="B5139" s="12" t="inlineStr">
        <is>
          <t>I</t>
        </is>
      </c>
      <c r="C5139" s="12" t="inlineStr">
        <is>
          <t>Modular / portable power</t>
        </is>
      </c>
      <c r="D5139" s="12" t="inlineStr">
        <is>
          <t>TGF-4 instrumentation</t>
        </is>
      </c>
      <c r="E5139" s="12" t="inlineStr">
        <is>
          <t>TGF-SWG</t>
        </is>
      </c>
      <c r="F5139" s="12" t="inlineStr">
        <is>
          <t>TGF-SWG: mobile 13.8 kV switchgear trailer (fleet collector)</t>
        </is>
      </c>
      <c r="G5139" s="12" t="inlineStr">
        <is>
          <t>TGF-4</t>
        </is>
      </c>
      <c r="H5139" s="12" t="inlineStr">
        <is>
          <t xml:space="preserve">TGF-4: trailer-mounted gas-engine generator ~2.5 MW, 13.8 kV (trailer </t>
        </is>
      </c>
      <c r="I5139" s="12" t="inlineStr">
        <is>
          <t>Instrumentation</t>
        </is>
      </c>
      <c r="J5139" s="12" t="inlineStr">
        <is>
          <t>Instrumentation ITC / PLTC, IS, #18 shielded pairs, blue jacket</t>
        </is>
      </c>
      <c r="K5139" s="12" t="inlineStr">
        <is>
          <t>ITC|4 pr|18</t>
        </is>
      </c>
      <c r="L5139" s="12" t="inlineStr">
        <is>
          <t>4 pr</t>
        </is>
      </c>
      <c r="M5139" s="12" t="inlineStr">
        <is>
          <t>18</t>
        </is>
      </c>
      <c r="N5139" s="12" t="n">
        <v>1</v>
      </c>
      <c r="O5139" s="12" t="n">
        <v>1</v>
      </c>
      <c r="P5139" s="12" t="n"/>
      <c r="Q5139" s="12" t="n"/>
      <c r="R5139" s="12" t="n"/>
      <c r="S5139" s="12" t="inlineStr">
        <is>
          <t>Surface</t>
        </is>
      </c>
      <c r="T5139" s="15" t="n">
        <v>40</v>
      </c>
      <c r="U5139" s="15" t="n">
        <v>37</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I-I-0537</t>
        </is>
      </c>
      <c r="B5140" s="12" t="inlineStr">
        <is>
          <t>I</t>
        </is>
      </c>
      <c r="C5140" s="12" t="inlineStr">
        <is>
          <t>Modular / portable power</t>
        </is>
      </c>
      <c r="D5140" s="12" t="inlineStr">
        <is>
          <t>TGF-5 instrumentation</t>
        </is>
      </c>
      <c r="E5140" s="12" t="inlineStr">
        <is>
          <t>TGF-SWG</t>
        </is>
      </c>
      <c r="F5140" s="12" t="inlineStr">
        <is>
          <t>TGF-SWG: mobile 13.8 kV switchgear trailer (fleet collector)</t>
        </is>
      </c>
      <c r="G5140" s="12" t="inlineStr">
        <is>
          <t>TGF-5</t>
        </is>
      </c>
      <c r="H5140" s="12" t="inlineStr">
        <is>
          <t xml:space="preserve">TGF-5: trailer-mounted gas-engine generator ~2.5 MW, 13.8 kV (trailer </t>
        </is>
      </c>
      <c r="I5140" s="12" t="inlineStr">
        <is>
          <t>Instrumentation</t>
        </is>
      </c>
      <c r="J5140" s="12" t="inlineStr">
        <is>
          <t>Instrumentation ITC / PLTC, IS, #18 shielded pairs, blue jacket</t>
        </is>
      </c>
      <c r="K5140" s="12" t="inlineStr">
        <is>
          <t>ITC|4 pr|18</t>
        </is>
      </c>
      <c r="L5140" s="12" t="inlineStr">
        <is>
          <t>4 pr</t>
        </is>
      </c>
      <c r="M5140" s="12" t="inlineStr">
        <is>
          <t>18</t>
        </is>
      </c>
      <c r="N5140" s="12" t="n">
        <v>1</v>
      </c>
      <c r="O5140" s="12" t="n">
        <v>1</v>
      </c>
      <c r="P5140" s="12" t="n"/>
      <c r="Q5140" s="12" t="n"/>
      <c r="R5140" s="12" t="n"/>
      <c r="S5140" s="12" t="inlineStr">
        <is>
          <t>Surface</t>
        </is>
      </c>
      <c r="T5140" s="15" t="n">
        <v>34</v>
      </c>
      <c r="U5140" s="15" t="n">
        <v>31</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I-I-0538</t>
        </is>
      </c>
      <c r="B5141" s="12" t="inlineStr">
        <is>
          <t>I</t>
        </is>
      </c>
      <c r="C5141" s="12" t="inlineStr">
        <is>
          <t>Modular / portable power</t>
        </is>
      </c>
      <c r="D5141" s="12" t="inlineStr">
        <is>
          <t>TGF-6 instrumentation</t>
        </is>
      </c>
      <c r="E5141" s="12" t="inlineStr">
        <is>
          <t>TGF-SWG</t>
        </is>
      </c>
      <c r="F5141" s="12" t="inlineStr">
        <is>
          <t>TGF-SWG: mobile 13.8 kV switchgear trailer (fleet collector)</t>
        </is>
      </c>
      <c r="G5141" s="12" t="inlineStr">
        <is>
          <t>TGF-6</t>
        </is>
      </c>
      <c r="H5141" s="12" t="inlineStr">
        <is>
          <t xml:space="preserve">TGF-6: trailer-mounted gas-engine generator ~2.5 MW, 13.8 kV (trailer </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Surface</t>
        </is>
      </c>
      <c r="T5141" s="15" t="n">
        <v>26</v>
      </c>
      <c r="U5141" s="15" t="n">
        <v>27</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I-I-0539</t>
        </is>
      </c>
      <c r="B5142" s="12" t="inlineStr">
        <is>
          <t>I</t>
        </is>
      </c>
      <c r="C5142" s="12" t="inlineStr">
        <is>
          <t>Modular / portable power</t>
        </is>
      </c>
      <c r="D5142" s="12" t="inlineStr">
        <is>
          <t>TGF-GSU monitoring: temperatures, gas relay, oil level</t>
        </is>
      </c>
      <c r="E5142" s="12" t="inlineStr">
        <is>
          <t>TGF-SWG</t>
        </is>
      </c>
      <c r="F5142" s="12" t="inlineStr">
        <is>
          <t>TGF-SWG: mobile 13.8 kV switchgear trailer (fleet collector)</t>
        </is>
      </c>
      <c r="G5142" s="12" t="inlineStr">
        <is>
          <t>TGF-GSU</t>
        </is>
      </c>
      <c r="H5142" s="12" t="inlineStr">
        <is>
          <t>TGF-GSU: 13.8 / 34.5 kV step-up, ~20 MVA (trailer fleet)</t>
        </is>
      </c>
      <c r="I5142" s="12" t="inlineStr">
        <is>
          <t>Instrumentation</t>
        </is>
      </c>
      <c r="J5142" s="12" t="inlineStr">
        <is>
          <t>Instrumentation ITC / PLTC, IS, #18 shielded pairs, blue jacket</t>
        </is>
      </c>
      <c r="K5142" s="12" t="inlineStr">
        <is>
          <t>ITC|4 pr|18</t>
        </is>
      </c>
      <c r="L5142" s="12" t="inlineStr">
        <is>
          <t>4 pr</t>
        </is>
      </c>
      <c r="M5142" s="12" t="inlineStr">
        <is>
          <t>18</t>
        </is>
      </c>
      <c r="N5142" s="12" t="n">
        <v>1</v>
      </c>
      <c r="O5142" s="12" t="n">
        <v>1</v>
      </c>
      <c r="P5142" s="12" t="n"/>
      <c r="Q5142" s="12" t="n"/>
      <c r="R5142" s="12" t="n"/>
      <c r="S5142" s="12" t="inlineStr">
        <is>
          <t>Surface</t>
        </is>
      </c>
      <c r="T5142" s="15" t="n">
        <v>36</v>
      </c>
      <c r="U5142" s="15" t="n">
        <v>27</v>
      </c>
      <c r="V5142" s="15">
        <f>ROUNDUP((T5142+U5142+2*'Read Me'!$B$13)*(1+'Read Me'!$B$12),-1)</f>
        <v/>
      </c>
      <c r="W5142" s="15">
        <f>V5142*N5142*O5142</f>
        <v/>
      </c>
      <c r="X5142" s="12">
        <f>IF(LEFT(I5142,2)="MV",2*N5142*IF(L5142="1/C",O5142,1),0)</f>
        <v/>
      </c>
      <c r="Y5142" s="12">
        <f>IF(OR(LEFT(K5142,4)="LVAX",LEFT(K5142,6)="MV15AX",LEFT(K5142,4)="CTAX",LEFT(K5142,2)="W|"),2*N5142*O5142,0)</f>
        <v/>
      </c>
      <c r="Z5142" s="12" t="inlineStr"/>
      <c r="AA5142" s="12">
        <f>N5142*O5142</f>
        <v/>
      </c>
    </row>
    <row r="5143">
      <c r="A5143" s="12" t="inlineStr">
        <is>
          <t>I-I-0540</t>
        </is>
      </c>
      <c r="B5143" s="12" t="inlineStr">
        <is>
          <t>I</t>
        </is>
      </c>
      <c r="C5143" s="12" t="inlineStr">
        <is>
          <t>Modular / portable power</t>
        </is>
      </c>
      <c r="D5143" s="12" t="inlineStr">
        <is>
          <t>Analog instrument to JB JB-TM-1-AI01: 20 x 1 pr (field cables)</t>
        </is>
      </c>
      <c r="E5143" s="12" t="inlineStr">
        <is>
          <t>TM-1</t>
        </is>
      </c>
      <c r="F5143" s="12" t="inlineStr">
        <is>
          <t>TM-1: trailer-mounted aeroderivative GT (TM2500 class, ~35 MW)</t>
        </is>
      </c>
      <c r="G5143" s="12" t="inlineStr">
        <is>
          <t>JB-TM-1-AI01</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PLTC|1 pr|16</t>
        </is>
      </c>
      <c r="L5143" s="12" t="inlineStr">
        <is>
          <t>1 pr</t>
        </is>
      </c>
      <c r="M5143" s="12" t="inlineStr">
        <is>
          <t>16</t>
        </is>
      </c>
      <c r="N5143" s="12" t="n">
        <v>20</v>
      </c>
      <c r="O5143" s="12" t="n">
        <v>1</v>
      </c>
      <c r="P5143" s="12" t="n"/>
      <c r="Q5143" s="12" t="n"/>
      <c r="R5143" s="12" t="n"/>
      <c r="S5143" s="12" t="inlineStr">
        <is>
          <t>Tray / conduit</t>
        </is>
      </c>
      <c r="T5143" s="15" t="n">
        <v>108</v>
      </c>
      <c r="U5143" s="15" t="n">
        <v>10</v>
      </c>
      <c r="V5143" s="15">
        <f>ROUNDUP((T5143+U5143+2*'Read Me'!$B$13)*(1+'Read Me'!$B$12),-1)</f>
        <v/>
      </c>
      <c r="W5143" s="15">
        <f>V5143*N5143*O5143</f>
        <v/>
      </c>
      <c r="X5143" s="12">
        <f>IF(LEFT(I5143,2)="MV",2*N5143*IF(L5143="1/C",O5143,1),0)</f>
        <v/>
      </c>
      <c r="Y5143" s="12">
        <f>IF(OR(LEFT(K5143,4)="LVAX",LEFT(K5143,6)="MV15AX",LEFT(K5143,4)="CTAX",LEFT(K5143,2)="W|"),2*N5143*O5143,0)</f>
        <v/>
      </c>
      <c r="Z5143" s="12" t="inlineStr">
        <is>
          <t>device-to-JB field wiring, one cable per device</t>
        </is>
      </c>
      <c r="AA5143" s="12">
        <f>N5143*O5143</f>
        <v/>
      </c>
    </row>
    <row r="5144">
      <c r="A5144" s="12" t="inlineStr">
        <is>
          <t>I-I-0541</t>
        </is>
      </c>
      <c r="B5144" s="12" t="inlineStr">
        <is>
          <t>I</t>
        </is>
      </c>
      <c r="C5144" s="12" t="inlineStr">
        <is>
          <t>Modular / portable power</t>
        </is>
      </c>
      <c r="D5144" s="12" t="inlineStr">
        <is>
          <t>Home run JB-TM-1-AI01 to the control / marshalling room</t>
        </is>
      </c>
      <c r="E5144" s="12" t="inlineStr">
        <is>
          <t>PAD-EH</t>
        </is>
      </c>
      <c r="F5144" s="12" t="inlineStr">
        <is>
          <t>PAD-EH 13.8 kV switchgear e-house</t>
        </is>
      </c>
      <c r="G5144" s="12" t="inlineStr">
        <is>
          <t>JB-TM-1-AI01</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PLTC|24 pr|18</t>
        </is>
      </c>
      <c r="L5144" s="12" t="inlineStr">
        <is>
          <t>24 pr</t>
        </is>
      </c>
      <c r="M5144" s="12" t="inlineStr">
        <is>
          <t>18</t>
        </is>
      </c>
      <c r="N5144" s="12" t="n">
        <v>1</v>
      </c>
      <c r="O5144" s="12" t="n">
        <v>1</v>
      </c>
      <c r="P5144" s="12" t="n"/>
      <c r="Q5144" s="12" t="n"/>
      <c r="R5144" s="12" t="n"/>
      <c r="S5144" s="12" t="inlineStr">
        <is>
          <t>Duct bank</t>
        </is>
      </c>
      <c r="T5144" s="15" t="n">
        <v>437</v>
      </c>
      <c r="U5144" s="15" t="n">
        <v>39</v>
      </c>
      <c r="V5144" s="15">
        <f>ROUNDUP((T5144+U5144+2*'Read Me'!$B$13)*(1+'Read Me'!$B$12),-1)</f>
        <v/>
      </c>
      <c r="W5144" s="15">
        <f>V5144*N5144*O5144</f>
        <v/>
      </c>
      <c r="X5144" s="12">
        <f>IF(LEFT(I5144,2)="MV",2*N5144*IF(L5144="1/C",O5144,1),0)</f>
        <v/>
      </c>
      <c r="Y5144" s="12">
        <f>IF(OR(LEFT(K5144,4)="LVAX",LEFT(K5144,6)="MV15AX",LEFT(K5144,4)="CTAX",LEFT(K5144,2)="W|"),2*N5144*O5144,0)</f>
        <v/>
      </c>
      <c r="Z5144" s="12" t="inlineStr"/>
      <c r="AA5144" s="12">
        <f>N5144*O5144</f>
        <v/>
      </c>
    </row>
    <row r="5145">
      <c r="A5145" s="12" t="inlineStr">
        <is>
          <t>I-I-0542</t>
        </is>
      </c>
      <c r="B5145" s="12" t="inlineStr">
        <is>
          <t>I</t>
        </is>
      </c>
      <c r="C5145" s="12" t="inlineStr">
        <is>
          <t>Modular / portable power</t>
        </is>
      </c>
      <c r="D5145" s="12" t="inlineStr">
        <is>
          <t>Analog instrument to JB JB-TM-1-AI02: 20 x 1 pr (field cables)</t>
        </is>
      </c>
      <c r="E5145" s="12" t="inlineStr">
        <is>
          <t>TM-1</t>
        </is>
      </c>
      <c r="F5145" s="12" t="inlineStr">
        <is>
          <t>TM-1: trailer-mounted aeroderivative GT (TM2500 class, ~35 MW)</t>
        </is>
      </c>
      <c r="G5145" s="12" t="inlineStr">
        <is>
          <t>JB-TM-1-AI02</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PLTC|1 pr|16</t>
        </is>
      </c>
      <c r="L5145" s="12" t="inlineStr">
        <is>
          <t>1 pr</t>
        </is>
      </c>
      <c r="M5145" s="12" t="inlineStr">
        <is>
          <t>16</t>
        </is>
      </c>
      <c r="N5145" s="12" t="n">
        <v>20</v>
      </c>
      <c r="O5145" s="12" t="n">
        <v>1</v>
      </c>
      <c r="P5145" s="12" t="n"/>
      <c r="Q5145" s="12" t="n"/>
      <c r="R5145" s="12" t="n"/>
      <c r="S5145" s="12" t="inlineStr">
        <is>
          <t>Tray / conduit</t>
        </is>
      </c>
      <c r="T5145" s="15" t="n">
        <v>108</v>
      </c>
      <c r="U5145" s="15" t="n">
        <v>10</v>
      </c>
      <c r="V5145" s="15">
        <f>ROUNDUP((T5145+U5145+2*'Read Me'!$B$13)*(1+'Read Me'!$B$12),-1)</f>
        <v/>
      </c>
      <c r="W5145" s="15">
        <f>V5145*N5145*O5145</f>
        <v/>
      </c>
      <c r="X5145" s="12">
        <f>IF(LEFT(I5145,2)="MV",2*N5145*IF(L5145="1/C",O5145,1),0)</f>
        <v/>
      </c>
      <c r="Y5145" s="12">
        <f>IF(OR(LEFT(K5145,4)="LVAX",LEFT(K5145,6)="MV15AX",LEFT(K5145,4)="CTAX",LEFT(K5145,2)="W|"),2*N5145*O5145,0)</f>
        <v/>
      </c>
      <c r="Z5145" s="12" t="inlineStr">
        <is>
          <t>device-to-JB field wiring, one cable per device</t>
        </is>
      </c>
      <c r="AA5145" s="12">
        <f>N5145*O5145</f>
        <v/>
      </c>
    </row>
    <row r="5146">
      <c r="A5146" s="12" t="inlineStr">
        <is>
          <t>I-I-0543</t>
        </is>
      </c>
      <c r="B5146" s="12" t="inlineStr">
        <is>
          <t>I</t>
        </is>
      </c>
      <c r="C5146" s="12" t="inlineStr">
        <is>
          <t>Modular / portable power</t>
        </is>
      </c>
      <c r="D5146" s="12" t="inlineStr">
        <is>
          <t>Home run JB-TM-1-AI02 to the control / marshalling room</t>
        </is>
      </c>
      <c r="E5146" s="12" t="inlineStr">
        <is>
          <t>PAD-EH</t>
        </is>
      </c>
      <c r="F5146" s="12" t="inlineStr">
        <is>
          <t>PAD-EH 13.8 kV switchgear e-house</t>
        </is>
      </c>
      <c r="G5146" s="12" t="inlineStr">
        <is>
          <t>JB-TM-1-AI02</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PLTC|24 pr|18</t>
        </is>
      </c>
      <c r="L5146" s="12" t="inlineStr">
        <is>
          <t>24 pr</t>
        </is>
      </c>
      <c r="M5146" s="12" t="inlineStr">
        <is>
          <t>18</t>
        </is>
      </c>
      <c r="N5146" s="12" t="n">
        <v>1</v>
      </c>
      <c r="O5146" s="12" t="n">
        <v>1</v>
      </c>
      <c r="P5146" s="12" t="n"/>
      <c r="Q5146" s="12" t="n"/>
      <c r="R5146" s="12" t="n"/>
      <c r="S5146" s="12" t="inlineStr">
        <is>
          <t>Duct bank</t>
        </is>
      </c>
      <c r="T5146" s="15" t="n">
        <v>437</v>
      </c>
      <c r="U5146" s="15" t="n">
        <v>39</v>
      </c>
      <c r="V5146" s="15">
        <f>ROUNDUP((T5146+U5146+2*'Read Me'!$B$13)*(1+'Read Me'!$B$12),-1)</f>
        <v/>
      </c>
      <c r="W5146" s="15">
        <f>V5146*N5146*O5146</f>
        <v/>
      </c>
      <c r="X5146" s="12">
        <f>IF(LEFT(I5146,2)="MV",2*N5146*IF(L5146="1/C",O5146,1),0)</f>
        <v/>
      </c>
      <c r="Y5146" s="12">
        <f>IF(OR(LEFT(K5146,4)="LVAX",LEFT(K5146,6)="MV15AX",LEFT(K5146,4)="CTAX",LEFT(K5146,2)="W|"),2*N5146*O5146,0)</f>
        <v/>
      </c>
      <c r="Z5146" s="12" t="inlineStr"/>
      <c r="AA5146" s="12">
        <f>N5146*O5146</f>
        <v/>
      </c>
    </row>
    <row r="5147">
      <c r="A5147" s="12" t="inlineStr">
        <is>
          <t>I-I-0544</t>
        </is>
      </c>
      <c r="B5147" s="12" t="inlineStr">
        <is>
          <t>I</t>
        </is>
      </c>
      <c r="C5147" s="12" t="inlineStr">
        <is>
          <t>Modular / portable power</t>
        </is>
      </c>
      <c r="D5147" s="12" t="inlineStr">
        <is>
          <t>Analog instrument to JB JB-TM-1-AI03: 20 x 1 pr (field cables)</t>
        </is>
      </c>
      <c r="E5147" s="12" t="inlineStr">
        <is>
          <t>TM-1</t>
        </is>
      </c>
      <c r="F5147" s="12" t="inlineStr">
        <is>
          <t>TM-1: trailer-mounted aeroderivative GT (TM2500 class, ~35 MW)</t>
        </is>
      </c>
      <c r="G5147" s="12" t="inlineStr">
        <is>
          <t>JB-TM-1-AI03</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PLTC|1 pr|16</t>
        </is>
      </c>
      <c r="L5147" s="12" t="inlineStr">
        <is>
          <t>1 pr</t>
        </is>
      </c>
      <c r="M5147" s="12" t="inlineStr">
        <is>
          <t>16</t>
        </is>
      </c>
      <c r="N5147" s="12" t="n">
        <v>20</v>
      </c>
      <c r="O5147" s="12" t="n">
        <v>1</v>
      </c>
      <c r="P5147" s="12" t="n"/>
      <c r="Q5147" s="12" t="n"/>
      <c r="R5147" s="12" t="n"/>
      <c r="S5147" s="12" t="inlineStr">
        <is>
          <t>Tray / conduit</t>
        </is>
      </c>
      <c r="T5147" s="15" t="n">
        <v>108</v>
      </c>
      <c r="U5147" s="15" t="n">
        <v>10</v>
      </c>
      <c r="V5147" s="15">
        <f>ROUNDUP((T5147+U5147+2*'Read Me'!$B$13)*(1+'Read Me'!$B$12),-1)</f>
        <v/>
      </c>
      <c r="W5147" s="15">
        <f>V5147*N5147*O5147</f>
        <v/>
      </c>
      <c r="X5147" s="12">
        <f>IF(LEFT(I5147,2)="MV",2*N5147*IF(L5147="1/C",O5147,1),0)</f>
        <v/>
      </c>
      <c r="Y5147" s="12">
        <f>IF(OR(LEFT(K5147,4)="LVAX",LEFT(K5147,6)="MV15AX",LEFT(K5147,4)="CTAX",LEFT(K5147,2)="W|"),2*N5147*O5147,0)</f>
        <v/>
      </c>
      <c r="Z5147" s="12" t="inlineStr">
        <is>
          <t>device-to-JB field wiring, one cable per device</t>
        </is>
      </c>
      <c r="AA5147" s="12">
        <f>N5147*O5147</f>
        <v/>
      </c>
    </row>
    <row r="5148">
      <c r="A5148" s="12" t="inlineStr">
        <is>
          <t>I-I-0545</t>
        </is>
      </c>
      <c r="B5148" s="12" t="inlineStr">
        <is>
          <t>I</t>
        </is>
      </c>
      <c r="C5148" s="12" t="inlineStr">
        <is>
          <t>Modular / portable power</t>
        </is>
      </c>
      <c r="D5148" s="12" t="inlineStr">
        <is>
          <t>Home run JB-TM-1-AI03 to the control / marshalling room</t>
        </is>
      </c>
      <c r="E5148" s="12" t="inlineStr">
        <is>
          <t>PAD-EH</t>
        </is>
      </c>
      <c r="F5148" s="12" t="inlineStr">
        <is>
          <t>PAD-EH 13.8 kV switchgear e-house</t>
        </is>
      </c>
      <c r="G5148" s="12" t="inlineStr">
        <is>
          <t>JB-TM-1-AI03</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PLTC|24 pr|18</t>
        </is>
      </c>
      <c r="L5148" s="12" t="inlineStr">
        <is>
          <t>24 pr</t>
        </is>
      </c>
      <c r="M5148" s="12" t="inlineStr">
        <is>
          <t>18</t>
        </is>
      </c>
      <c r="N5148" s="12" t="n">
        <v>1</v>
      </c>
      <c r="O5148" s="12" t="n">
        <v>1</v>
      </c>
      <c r="P5148" s="12" t="n"/>
      <c r="Q5148" s="12" t="n"/>
      <c r="R5148" s="12" t="n"/>
      <c r="S5148" s="12" t="inlineStr">
        <is>
          <t>Duct bank</t>
        </is>
      </c>
      <c r="T5148" s="15" t="n">
        <v>437</v>
      </c>
      <c r="U5148" s="15" t="n">
        <v>39</v>
      </c>
      <c r="V5148" s="15">
        <f>ROUNDUP((T5148+U5148+2*'Read Me'!$B$13)*(1+'Read Me'!$B$12),-1)</f>
        <v/>
      </c>
      <c r="W5148" s="15">
        <f>V5148*N5148*O5148</f>
        <v/>
      </c>
      <c r="X5148" s="12">
        <f>IF(LEFT(I5148,2)="MV",2*N5148*IF(L5148="1/C",O5148,1),0)</f>
        <v/>
      </c>
      <c r="Y5148" s="12">
        <f>IF(OR(LEFT(K5148,4)="LVAX",LEFT(K5148,6)="MV15AX",LEFT(K5148,4)="CTAX",LEFT(K5148,2)="W|"),2*N5148*O5148,0)</f>
        <v/>
      </c>
      <c r="Z5148" s="12" t="inlineStr"/>
      <c r="AA5148" s="12">
        <f>N5148*O5148</f>
        <v/>
      </c>
    </row>
    <row r="5149">
      <c r="A5149" s="12" t="inlineStr">
        <is>
          <t>I-I-0546</t>
        </is>
      </c>
      <c r="B5149" s="12" t="inlineStr">
        <is>
          <t>I</t>
        </is>
      </c>
      <c r="C5149" s="12" t="inlineStr">
        <is>
          <t>Modular / portable power</t>
        </is>
      </c>
      <c r="D5149" s="12" t="inlineStr">
        <is>
          <t>Analog instrument to JB JB-TM-1-AI04: 20 x 1 pr (field cables)</t>
        </is>
      </c>
      <c r="E5149" s="12" t="inlineStr">
        <is>
          <t>TM-1</t>
        </is>
      </c>
      <c r="F5149" s="12" t="inlineStr">
        <is>
          <t>TM-1: trailer-mounted aeroderivative GT (TM2500 class, ~35 MW)</t>
        </is>
      </c>
      <c r="G5149" s="12" t="inlineStr">
        <is>
          <t>JB-TM-1-AI04</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PLTC|1 pr|16</t>
        </is>
      </c>
      <c r="L5149" s="12" t="inlineStr">
        <is>
          <t>1 pr</t>
        </is>
      </c>
      <c r="M5149" s="12" t="inlineStr">
        <is>
          <t>16</t>
        </is>
      </c>
      <c r="N5149" s="12" t="n">
        <v>20</v>
      </c>
      <c r="O5149" s="12" t="n">
        <v>1</v>
      </c>
      <c r="P5149" s="12" t="n"/>
      <c r="Q5149" s="12" t="n"/>
      <c r="R5149" s="12" t="n"/>
      <c r="S5149" s="12" t="inlineStr">
        <is>
          <t>Tray / conduit</t>
        </is>
      </c>
      <c r="T5149" s="15" t="n">
        <v>108</v>
      </c>
      <c r="U5149" s="15" t="n">
        <v>10</v>
      </c>
      <c r="V5149" s="15">
        <f>ROUNDUP((T5149+U5149+2*'Read Me'!$B$13)*(1+'Read Me'!$B$12),-1)</f>
        <v/>
      </c>
      <c r="W5149" s="15">
        <f>V5149*N5149*O5149</f>
        <v/>
      </c>
      <c r="X5149" s="12">
        <f>IF(LEFT(I5149,2)="MV",2*N5149*IF(L5149="1/C",O5149,1),0)</f>
        <v/>
      </c>
      <c r="Y5149" s="12">
        <f>IF(OR(LEFT(K5149,4)="LVAX",LEFT(K5149,6)="MV15AX",LEFT(K5149,4)="CTAX",LEFT(K5149,2)="W|"),2*N5149*O5149,0)</f>
        <v/>
      </c>
      <c r="Z5149" s="12" t="inlineStr">
        <is>
          <t>device-to-JB field wiring, one cable per device</t>
        </is>
      </c>
      <c r="AA5149" s="12">
        <f>N5149*O5149</f>
        <v/>
      </c>
    </row>
    <row r="5150">
      <c r="A5150" s="12" t="inlineStr">
        <is>
          <t>I-I-0547</t>
        </is>
      </c>
      <c r="B5150" s="12" t="inlineStr">
        <is>
          <t>I</t>
        </is>
      </c>
      <c r="C5150" s="12" t="inlineStr">
        <is>
          <t>Modular / portable power</t>
        </is>
      </c>
      <c r="D5150" s="12" t="inlineStr">
        <is>
          <t>Home run JB-TM-1-AI04 to the control / marshalling room</t>
        </is>
      </c>
      <c r="E5150" s="12" t="inlineStr">
        <is>
          <t>PAD-EH</t>
        </is>
      </c>
      <c r="F5150" s="12" t="inlineStr">
        <is>
          <t>PAD-EH 13.8 kV switchgear e-house</t>
        </is>
      </c>
      <c r="G5150" s="12" t="inlineStr">
        <is>
          <t>JB-TM-1-AI04</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PLTC|24 pr|18</t>
        </is>
      </c>
      <c r="L5150" s="12" t="inlineStr">
        <is>
          <t>24 pr</t>
        </is>
      </c>
      <c r="M5150" s="12" t="inlineStr">
        <is>
          <t>18</t>
        </is>
      </c>
      <c r="N5150" s="12" t="n">
        <v>1</v>
      </c>
      <c r="O5150" s="12" t="n">
        <v>1</v>
      </c>
      <c r="P5150" s="12" t="n"/>
      <c r="Q5150" s="12" t="n"/>
      <c r="R5150" s="12" t="n"/>
      <c r="S5150" s="12" t="inlineStr">
        <is>
          <t>Duct bank</t>
        </is>
      </c>
      <c r="T5150" s="15" t="n">
        <v>437</v>
      </c>
      <c r="U5150" s="15" t="n">
        <v>39</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I-I-0548</t>
        </is>
      </c>
      <c r="B5151" s="12" t="inlineStr">
        <is>
          <t>I</t>
        </is>
      </c>
      <c r="C5151" s="12" t="inlineStr">
        <is>
          <t>Modular / portable power</t>
        </is>
      </c>
      <c r="D5151" s="12" t="inlineStr">
        <is>
          <t>Analog instrument to JB JB-TM-1-AI05: 20 x 1 pr (field cables)</t>
        </is>
      </c>
      <c r="E5151" s="12" t="inlineStr">
        <is>
          <t>TM-1</t>
        </is>
      </c>
      <c r="F5151" s="12" t="inlineStr">
        <is>
          <t>TM-1: trailer-mounted aeroderivative GT (TM2500 class, ~35 MW)</t>
        </is>
      </c>
      <c r="G5151" s="12" t="inlineStr">
        <is>
          <t>JB-TM-1-AI05</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PLTC|1 pr|16</t>
        </is>
      </c>
      <c r="L5151" s="12" t="inlineStr">
        <is>
          <t>1 pr</t>
        </is>
      </c>
      <c r="M5151" s="12" t="inlineStr">
        <is>
          <t>16</t>
        </is>
      </c>
      <c r="N5151" s="12" t="n">
        <v>20</v>
      </c>
      <c r="O5151" s="12" t="n">
        <v>1</v>
      </c>
      <c r="P5151" s="12" t="n"/>
      <c r="Q5151" s="12" t="n"/>
      <c r="R5151" s="12" t="n"/>
      <c r="S5151" s="12" t="inlineStr">
        <is>
          <t>Tray / conduit</t>
        </is>
      </c>
      <c r="T5151" s="15" t="n">
        <v>108</v>
      </c>
      <c r="U5151" s="15" t="n">
        <v>10</v>
      </c>
      <c r="V5151" s="15">
        <f>ROUNDUP((T5151+U5151+2*'Read Me'!$B$13)*(1+'Read Me'!$B$12),-1)</f>
        <v/>
      </c>
      <c r="W5151" s="15">
        <f>V5151*N5151*O5151</f>
        <v/>
      </c>
      <c r="X5151" s="12">
        <f>IF(LEFT(I5151,2)="MV",2*N5151*IF(L5151="1/C",O5151,1),0)</f>
        <v/>
      </c>
      <c r="Y5151" s="12">
        <f>IF(OR(LEFT(K5151,4)="LVAX",LEFT(K5151,6)="MV15AX",LEFT(K5151,4)="CTAX",LEFT(K5151,2)="W|"),2*N5151*O5151,0)</f>
        <v/>
      </c>
      <c r="Z5151" s="12" t="inlineStr">
        <is>
          <t>device-to-JB field wiring, one cable per device</t>
        </is>
      </c>
      <c r="AA5151" s="12">
        <f>N5151*O5151</f>
        <v/>
      </c>
    </row>
    <row r="5152">
      <c r="A5152" s="12" t="inlineStr">
        <is>
          <t>I-I-0549</t>
        </is>
      </c>
      <c r="B5152" s="12" t="inlineStr">
        <is>
          <t>I</t>
        </is>
      </c>
      <c r="C5152" s="12" t="inlineStr">
        <is>
          <t>Modular / portable power</t>
        </is>
      </c>
      <c r="D5152" s="12" t="inlineStr">
        <is>
          <t>Home run JB-TM-1-AI05 to the control / marshalling room</t>
        </is>
      </c>
      <c r="E5152" s="12" t="inlineStr">
        <is>
          <t>PAD-EH</t>
        </is>
      </c>
      <c r="F5152" s="12" t="inlineStr">
        <is>
          <t>PAD-EH 13.8 kV switchgear e-house</t>
        </is>
      </c>
      <c r="G5152" s="12" t="inlineStr">
        <is>
          <t>JB-TM-1-AI05</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PLTC|24 pr|18</t>
        </is>
      </c>
      <c r="L5152" s="12" t="inlineStr">
        <is>
          <t>24 pr</t>
        </is>
      </c>
      <c r="M5152" s="12" t="inlineStr">
        <is>
          <t>18</t>
        </is>
      </c>
      <c r="N5152" s="12" t="n">
        <v>1</v>
      </c>
      <c r="O5152" s="12" t="n">
        <v>1</v>
      </c>
      <c r="P5152" s="12" t="n"/>
      <c r="Q5152" s="12" t="n"/>
      <c r="R5152" s="12" t="n"/>
      <c r="S5152" s="12" t="inlineStr">
        <is>
          <t>Duct bank</t>
        </is>
      </c>
      <c r="T5152" s="15" t="n">
        <v>437</v>
      </c>
      <c r="U5152" s="15" t="n">
        <v>39</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I-I-0550</t>
        </is>
      </c>
      <c r="B5153" s="12" t="inlineStr">
        <is>
          <t>I</t>
        </is>
      </c>
      <c r="C5153" s="12" t="inlineStr">
        <is>
          <t>Modular / portable power</t>
        </is>
      </c>
      <c r="D5153" s="12" t="inlineStr">
        <is>
          <t>Discrete device to JB JB-TM-1-DI01: 20 x 1 pr (field cables)</t>
        </is>
      </c>
      <c r="E5153" s="12" t="inlineStr">
        <is>
          <t>TM-1</t>
        </is>
      </c>
      <c r="F5153" s="12" t="inlineStr">
        <is>
          <t>TM-1: trailer-mounted aeroderivative GT (TM2500 class, ~35 MW)</t>
        </is>
      </c>
      <c r="G5153" s="12" t="inlineStr">
        <is>
          <t>JB-TM-1-DI01</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PLTC|1 pr|16</t>
        </is>
      </c>
      <c r="L5153" s="12" t="inlineStr">
        <is>
          <t>1 pr</t>
        </is>
      </c>
      <c r="M5153" s="12" t="inlineStr">
        <is>
          <t>16</t>
        </is>
      </c>
      <c r="N5153" s="12" t="n">
        <v>20</v>
      </c>
      <c r="O5153" s="12" t="n">
        <v>1</v>
      </c>
      <c r="P5153" s="12" t="n"/>
      <c r="Q5153" s="12" t="n"/>
      <c r="R5153" s="12" t="n"/>
      <c r="S5153" s="12" t="inlineStr">
        <is>
          <t>Tray / conduit</t>
        </is>
      </c>
      <c r="T5153" s="15" t="n">
        <v>108</v>
      </c>
      <c r="U5153" s="15" t="n">
        <v>10</v>
      </c>
      <c r="V5153" s="15">
        <f>ROUNDUP((T5153+U5153+2*'Read Me'!$B$13)*(1+'Read Me'!$B$12),-1)</f>
        <v/>
      </c>
      <c r="W5153" s="15">
        <f>V5153*N5153*O5153</f>
        <v/>
      </c>
      <c r="X5153" s="12">
        <f>IF(LEFT(I5153,2)="MV",2*N5153*IF(L5153="1/C",O5153,1),0)</f>
        <v/>
      </c>
      <c r="Y5153" s="12">
        <f>IF(OR(LEFT(K5153,4)="LVAX",LEFT(K5153,6)="MV15AX",LEFT(K5153,4)="CTAX",LEFT(K5153,2)="W|"),2*N5153*O5153,0)</f>
        <v/>
      </c>
      <c r="Z5153" s="12" t="inlineStr">
        <is>
          <t>device-to-JB field wiring, one cable per device</t>
        </is>
      </c>
      <c r="AA5153" s="12">
        <f>N5153*O5153</f>
        <v/>
      </c>
    </row>
    <row r="5154">
      <c r="A5154" s="12" t="inlineStr">
        <is>
          <t>I-I-0551</t>
        </is>
      </c>
      <c r="B5154" s="12" t="inlineStr">
        <is>
          <t>I</t>
        </is>
      </c>
      <c r="C5154" s="12" t="inlineStr">
        <is>
          <t>Modular / portable power</t>
        </is>
      </c>
      <c r="D5154" s="12" t="inlineStr">
        <is>
          <t>Home run JB-TM-1-DI01 to the control / marshalling room</t>
        </is>
      </c>
      <c r="E5154" s="12" t="inlineStr">
        <is>
          <t>PAD-EH</t>
        </is>
      </c>
      <c r="F5154" s="12" t="inlineStr">
        <is>
          <t>PAD-EH 13.8 kV switchgear e-house</t>
        </is>
      </c>
      <c r="G5154" s="12" t="inlineStr">
        <is>
          <t>JB-TM-1-DI01</t>
        </is>
      </c>
      <c r="H5154" s="12" t="inlineStr">
        <is>
          <t>TM-1: trailer-mounted aeroderivative GT (TM2500 class, ~35 MW)</t>
        </is>
      </c>
      <c r="I5154" s="12" t="inlineStr">
        <is>
          <t>Instrumentation</t>
        </is>
      </c>
      <c r="J5154" s="12" t="inlineStr">
        <is>
          <t>Instrumentation PLTC / TC-ER 300 V, #18 twisted shielded pairs, overall shield</t>
        </is>
      </c>
      <c r="K5154" s="12" t="inlineStr">
        <is>
          <t>PLTC|24 pr|18</t>
        </is>
      </c>
      <c r="L5154" s="12" t="inlineStr">
        <is>
          <t>24 pr</t>
        </is>
      </c>
      <c r="M5154" s="12" t="inlineStr">
        <is>
          <t>18</t>
        </is>
      </c>
      <c r="N5154" s="12" t="n">
        <v>1</v>
      </c>
      <c r="O5154" s="12" t="n">
        <v>1</v>
      </c>
      <c r="P5154" s="12" t="n"/>
      <c r="Q5154" s="12" t="n"/>
      <c r="R5154" s="12" t="n"/>
      <c r="S5154" s="12" t="inlineStr">
        <is>
          <t>Duct bank</t>
        </is>
      </c>
      <c r="T5154" s="15" t="n">
        <v>437</v>
      </c>
      <c r="U5154" s="15" t="n">
        <v>39</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I-I-0552</t>
        </is>
      </c>
      <c r="B5155" s="12" t="inlineStr">
        <is>
          <t>I</t>
        </is>
      </c>
      <c r="C5155" s="12" t="inlineStr">
        <is>
          <t>Modular / portable power</t>
        </is>
      </c>
      <c r="D5155" s="12" t="inlineStr">
        <is>
          <t>Discrete device to JB JB-TM-1-DI02: 20 x 1 pr (field cables)</t>
        </is>
      </c>
      <c r="E5155" s="12" t="inlineStr">
        <is>
          <t>TM-1</t>
        </is>
      </c>
      <c r="F5155" s="12" t="inlineStr">
        <is>
          <t>TM-1: trailer-mounted aeroderivative GT (TM2500 class, ~35 MW)</t>
        </is>
      </c>
      <c r="G5155" s="12" t="inlineStr">
        <is>
          <t>JB-TM-1-DI02</t>
        </is>
      </c>
      <c r="H5155" s="12" t="inlineStr">
        <is>
          <t>TM-1: trailer-mounted aeroderivative GT (TM2500 class, ~35 MW)</t>
        </is>
      </c>
      <c r="I5155" s="12" t="inlineStr">
        <is>
          <t>Instrumentation</t>
        </is>
      </c>
      <c r="J5155" s="12" t="inlineStr">
        <is>
          <t>Instrumentation PLTC / TC-ER 300 V, #18 twisted shielded pairs, overall shield</t>
        </is>
      </c>
      <c r="K5155" s="12" t="inlineStr">
        <is>
          <t>PLTC|1 pr|16</t>
        </is>
      </c>
      <c r="L5155" s="12" t="inlineStr">
        <is>
          <t>1 pr</t>
        </is>
      </c>
      <c r="M5155" s="12" t="inlineStr">
        <is>
          <t>16</t>
        </is>
      </c>
      <c r="N5155" s="12" t="n">
        <v>20</v>
      </c>
      <c r="O5155" s="12" t="n">
        <v>1</v>
      </c>
      <c r="P5155" s="12" t="n"/>
      <c r="Q5155" s="12" t="n"/>
      <c r="R5155" s="12" t="n"/>
      <c r="S5155" s="12" t="inlineStr">
        <is>
          <t>Tray / conduit</t>
        </is>
      </c>
      <c r="T5155" s="15" t="n">
        <v>108</v>
      </c>
      <c r="U5155" s="15" t="n">
        <v>10</v>
      </c>
      <c r="V5155" s="15">
        <f>ROUNDUP((T5155+U5155+2*'Read Me'!$B$13)*(1+'Read Me'!$B$12),-1)</f>
        <v/>
      </c>
      <c r="W5155" s="15">
        <f>V5155*N5155*O5155</f>
        <v/>
      </c>
      <c r="X5155" s="12">
        <f>IF(LEFT(I5155,2)="MV",2*N5155*IF(L5155="1/C",O5155,1),0)</f>
        <v/>
      </c>
      <c r="Y5155" s="12">
        <f>IF(OR(LEFT(K5155,4)="LVAX",LEFT(K5155,6)="MV15AX",LEFT(K5155,4)="CTAX",LEFT(K5155,2)="W|"),2*N5155*O5155,0)</f>
        <v/>
      </c>
      <c r="Z5155" s="12" t="inlineStr">
        <is>
          <t>device-to-JB field wiring, one cable per device</t>
        </is>
      </c>
      <c r="AA5155" s="12">
        <f>N5155*O5155</f>
        <v/>
      </c>
    </row>
    <row r="5156">
      <c r="A5156" s="12" t="inlineStr">
        <is>
          <t>I-I-0553</t>
        </is>
      </c>
      <c r="B5156" s="12" t="inlineStr">
        <is>
          <t>I</t>
        </is>
      </c>
      <c r="C5156" s="12" t="inlineStr">
        <is>
          <t>Modular / portable power</t>
        </is>
      </c>
      <c r="D5156" s="12" t="inlineStr">
        <is>
          <t>Home run JB-TM-1-DI02 to the control / marshalling room</t>
        </is>
      </c>
      <c r="E5156" s="12" t="inlineStr">
        <is>
          <t>PAD-EH</t>
        </is>
      </c>
      <c r="F5156" s="12" t="inlineStr">
        <is>
          <t>PAD-EH 13.8 kV switchgear e-house</t>
        </is>
      </c>
      <c r="G5156" s="12" t="inlineStr">
        <is>
          <t>JB-TM-1-DI02</t>
        </is>
      </c>
      <c r="H5156" s="12" t="inlineStr">
        <is>
          <t>TM-1: trailer-mounted aeroderivative GT (TM2500 class, ~35 MW)</t>
        </is>
      </c>
      <c r="I5156" s="12" t="inlineStr">
        <is>
          <t>Instrumentation</t>
        </is>
      </c>
      <c r="J5156" s="12" t="inlineStr">
        <is>
          <t>Instrumentation PLTC / TC-ER 300 V, #18 twisted shielded pairs, overall shield</t>
        </is>
      </c>
      <c r="K5156" s="12" t="inlineStr">
        <is>
          <t>PLTC|24 pr|18</t>
        </is>
      </c>
      <c r="L5156" s="12" t="inlineStr">
        <is>
          <t>24 pr</t>
        </is>
      </c>
      <c r="M5156" s="12" t="inlineStr">
        <is>
          <t>18</t>
        </is>
      </c>
      <c r="N5156" s="12" t="n">
        <v>1</v>
      </c>
      <c r="O5156" s="12" t="n">
        <v>1</v>
      </c>
      <c r="P5156" s="12" t="n"/>
      <c r="Q5156" s="12" t="n"/>
      <c r="R5156" s="12" t="n"/>
      <c r="S5156" s="12" t="inlineStr">
        <is>
          <t>Duct bank</t>
        </is>
      </c>
      <c r="T5156" s="15" t="n">
        <v>437</v>
      </c>
      <c r="U5156" s="15" t="n">
        <v>39</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I-I-0554</t>
        </is>
      </c>
      <c r="B5157" s="12" t="inlineStr">
        <is>
          <t>I</t>
        </is>
      </c>
      <c r="C5157" s="12" t="inlineStr">
        <is>
          <t>Modular / portable power</t>
        </is>
      </c>
      <c r="D5157" s="12" t="inlineStr">
        <is>
          <t>Discrete device to JB JB-TM-1-DI03: 20 x 1 pr (field cables)</t>
        </is>
      </c>
      <c r="E5157" s="12" t="inlineStr">
        <is>
          <t>TM-1</t>
        </is>
      </c>
      <c r="F5157" s="12" t="inlineStr">
        <is>
          <t>TM-1: trailer-mounted aeroderivative GT (TM2500 class, ~35 MW)</t>
        </is>
      </c>
      <c r="G5157" s="12" t="inlineStr">
        <is>
          <t>JB-TM-1-DI03</t>
        </is>
      </c>
      <c r="H5157" s="12" t="inlineStr">
        <is>
          <t>TM-1: trailer-mounted aeroderivative GT (TM2500 class, ~35 MW)</t>
        </is>
      </c>
      <c r="I5157" s="12" t="inlineStr">
        <is>
          <t>Instrumentation</t>
        </is>
      </c>
      <c r="J5157" s="12" t="inlineStr">
        <is>
          <t>Instrumentation PLTC / TC-ER 300 V, #18 twisted shielded pairs, overall shield</t>
        </is>
      </c>
      <c r="K5157" s="12" t="inlineStr">
        <is>
          <t>PLTC|1 pr|16</t>
        </is>
      </c>
      <c r="L5157" s="12" t="inlineStr">
        <is>
          <t>1 pr</t>
        </is>
      </c>
      <c r="M5157" s="12" t="inlineStr">
        <is>
          <t>16</t>
        </is>
      </c>
      <c r="N5157" s="12" t="n">
        <v>20</v>
      </c>
      <c r="O5157" s="12" t="n">
        <v>1</v>
      </c>
      <c r="P5157" s="12" t="n"/>
      <c r="Q5157" s="12" t="n"/>
      <c r="R5157" s="12" t="n"/>
      <c r="S5157" s="12" t="inlineStr">
        <is>
          <t>Tray / conduit</t>
        </is>
      </c>
      <c r="T5157" s="15" t="n">
        <v>108</v>
      </c>
      <c r="U5157" s="15" t="n">
        <v>10</v>
      </c>
      <c r="V5157" s="15">
        <f>ROUNDUP((T5157+U5157+2*'Read Me'!$B$13)*(1+'Read Me'!$B$12),-1)</f>
        <v/>
      </c>
      <c r="W5157" s="15">
        <f>V5157*N5157*O5157</f>
        <v/>
      </c>
      <c r="X5157" s="12">
        <f>IF(LEFT(I5157,2)="MV",2*N5157*IF(L5157="1/C",O5157,1),0)</f>
        <v/>
      </c>
      <c r="Y5157" s="12">
        <f>IF(OR(LEFT(K5157,4)="LVAX",LEFT(K5157,6)="MV15AX",LEFT(K5157,4)="CTAX",LEFT(K5157,2)="W|"),2*N5157*O5157,0)</f>
        <v/>
      </c>
      <c r="Z5157" s="12" t="inlineStr">
        <is>
          <t>device-to-JB field wiring, one cable per device</t>
        </is>
      </c>
      <c r="AA5157" s="12">
        <f>N5157*O5157</f>
        <v/>
      </c>
    </row>
    <row r="5158">
      <c r="A5158" s="12" t="inlineStr">
        <is>
          <t>I-I-0555</t>
        </is>
      </c>
      <c r="B5158" s="12" t="inlineStr">
        <is>
          <t>I</t>
        </is>
      </c>
      <c r="C5158" s="12" t="inlineStr">
        <is>
          <t>Modular / portable power</t>
        </is>
      </c>
      <c r="D5158" s="12" t="inlineStr">
        <is>
          <t>Home run JB-TM-1-DI03 to the control / marshalling room</t>
        </is>
      </c>
      <c r="E5158" s="12" t="inlineStr">
        <is>
          <t>PAD-EH</t>
        </is>
      </c>
      <c r="F5158" s="12" t="inlineStr">
        <is>
          <t>PAD-EH 13.8 kV switchgear e-house</t>
        </is>
      </c>
      <c r="G5158" s="12" t="inlineStr">
        <is>
          <t>JB-TM-1-DI03</t>
        </is>
      </c>
      <c r="H5158" s="12" t="inlineStr">
        <is>
          <t>TM-1: trailer-mounted aeroderivative GT (TM2500 class, ~35 MW)</t>
        </is>
      </c>
      <c r="I5158" s="12" t="inlineStr">
        <is>
          <t>Instrumentation</t>
        </is>
      </c>
      <c r="J5158" s="12" t="inlineStr">
        <is>
          <t>Instrumentation PLTC / TC-ER 300 V, #18 twisted shielded pairs, overall shield</t>
        </is>
      </c>
      <c r="K5158" s="12" t="inlineStr">
        <is>
          <t>PLTC|24 pr|18</t>
        </is>
      </c>
      <c r="L5158" s="12" t="inlineStr">
        <is>
          <t>24 pr</t>
        </is>
      </c>
      <c r="M5158" s="12" t="inlineStr">
        <is>
          <t>18</t>
        </is>
      </c>
      <c r="N5158" s="12" t="n">
        <v>1</v>
      </c>
      <c r="O5158" s="12" t="n">
        <v>1</v>
      </c>
      <c r="P5158" s="12" t="n"/>
      <c r="Q5158" s="12" t="n"/>
      <c r="R5158" s="12" t="n"/>
      <c r="S5158" s="12" t="inlineStr">
        <is>
          <t>Duct bank</t>
        </is>
      </c>
      <c r="T5158" s="15" t="n">
        <v>437</v>
      </c>
      <c r="U5158" s="15" t="n">
        <v>39</v>
      </c>
      <c r="V5158" s="15">
        <f>ROUNDUP((T5158+U5158+2*'Read Me'!$B$13)*(1+'Read Me'!$B$12),-1)</f>
        <v/>
      </c>
      <c r="W5158" s="15">
        <f>V5158*N5158*O5158</f>
        <v/>
      </c>
      <c r="X5158" s="12">
        <f>IF(LEFT(I5158,2)="MV",2*N5158*IF(L5158="1/C",O5158,1),0)</f>
        <v/>
      </c>
      <c r="Y5158" s="12">
        <f>IF(OR(LEFT(K5158,4)="LVAX",LEFT(K5158,6)="MV15AX",LEFT(K5158,4)="CTAX",LEFT(K5158,2)="W|"),2*N5158*O5158,0)</f>
        <v/>
      </c>
      <c r="Z5158" s="12" t="inlineStr"/>
      <c r="AA5158" s="12">
        <f>N5158*O5158</f>
        <v/>
      </c>
    </row>
    <row r="5159">
      <c r="A5159" s="12" t="inlineStr">
        <is>
          <t>I-I-0556</t>
        </is>
      </c>
      <c r="B5159" s="12" t="inlineStr">
        <is>
          <t>I</t>
        </is>
      </c>
      <c r="C5159" s="12" t="inlineStr">
        <is>
          <t>Modular / portable power</t>
        </is>
      </c>
      <c r="D5159" s="12" t="inlineStr">
        <is>
          <t>Thermocouple to TC JB JB-TM-1-TC01: 20 x 1 pr (field cables)</t>
        </is>
      </c>
      <c r="E5159" s="12" t="inlineStr">
        <is>
          <t>TM-1</t>
        </is>
      </c>
      <c r="F5159" s="12" t="inlineStr">
        <is>
          <t>TM-1: trailer-mounted aeroderivative GT (TM2500 class, ~35 MW)</t>
        </is>
      </c>
      <c r="G5159" s="12" t="inlineStr">
        <is>
          <t>JB-TM-1-TC01</t>
        </is>
      </c>
      <c r="H5159" s="12" t="inlineStr">
        <is>
          <t>TM-1: trailer-mounted aeroderivative GT (TM2500 class, ~35 MW)</t>
        </is>
      </c>
      <c r="I5159" s="12" t="inlineStr">
        <is>
          <t>Instrumentation</t>
        </is>
      </c>
      <c r="J5159" s="12" t="inlineStr">
        <is>
          <t>Thermocouple extension KX, #16 shielded pairs, PLTC</t>
        </is>
      </c>
      <c r="K5159" s="12" t="inlineStr">
        <is>
          <t>TCX|1 pr|16</t>
        </is>
      </c>
      <c r="L5159" s="12" t="inlineStr">
        <is>
          <t>1 pr</t>
        </is>
      </c>
      <c r="M5159" s="12" t="inlineStr">
        <is>
          <t>16</t>
        </is>
      </c>
      <c r="N5159" s="12" t="n">
        <v>20</v>
      </c>
      <c r="O5159" s="12" t="n">
        <v>1</v>
      </c>
      <c r="P5159" s="12" t="n"/>
      <c r="Q5159" s="12" t="n"/>
      <c r="R5159" s="12" t="n"/>
      <c r="S5159" s="12" t="inlineStr">
        <is>
          <t>Tray / conduit</t>
        </is>
      </c>
      <c r="T5159" s="15" t="n">
        <v>108</v>
      </c>
      <c r="U5159" s="15" t="n">
        <v>10</v>
      </c>
      <c r="V5159" s="15">
        <f>ROUNDUP((T5159+U5159+2*'Read Me'!$B$13)*(1+'Read Me'!$B$12),-1)</f>
        <v/>
      </c>
      <c r="W5159" s="15">
        <f>V5159*N5159*O5159</f>
        <v/>
      </c>
      <c r="X5159" s="12">
        <f>IF(LEFT(I5159,2)="MV",2*N5159*IF(L5159="1/C",O5159,1),0)</f>
        <v/>
      </c>
      <c r="Y5159" s="12">
        <f>IF(OR(LEFT(K5159,4)="LVAX",LEFT(K5159,6)="MV15AX",LEFT(K5159,4)="CTAX",LEFT(K5159,2)="W|"),2*N5159*O5159,0)</f>
        <v/>
      </c>
      <c r="Z5159" s="12" t="inlineStr">
        <is>
          <t>device-to-JB field wiring, one cable per device</t>
        </is>
      </c>
      <c r="AA5159" s="12">
        <f>N5159*O5159</f>
        <v/>
      </c>
    </row>
    <row r="5160">
      <c r="A5160" s="12" t="inlineStr">
        <is>
          <t>I-I-0557</t>
        </is>
      </c>
      <c r="B5160" s="12" t="inlineStr">
        <is>
          <t>I</t>
        </is>
      </c>
      <c r="C5160" s="12" t="inlineStr">
        <is>
          <t>Modular / portable power</t>
        </is>
      </c>
      <c r="D5160" s="12" t="inlineStr">
        <is>
          <t>Home run JB-TM-1-TC01 to the control / marshalling room</t>
        </is>
      </c>
      <c r="E5160" s="12" t="inlineStr">
        <is>
          <t>PAD-EH</t>
        </is>
      </c>
      <c r="F5160" s="12" t="inlineStr">
        <is>
          <t>PAD-EH 13.8 kV switchgear e-house</t>
        </is>
      </c>
      <c r="G5160" s="12" t="inlineStr">
        <is>
          <t>JB-TM-1-TC01</t>
        </is>
      </c>
      <c r="H5160" s="12" t="inlineStr">
        <is>
          <t>TM-1: trailer-mounted aeroderivative GT (TM2500 class, ~35 MW)</t>
        </is>
      </c>
      <c r="I5160" s="12" t="inlineStr">
        <is>
          <t>Instrumentation</t>
        </is>
      </c>
      <c r="J5160" s="12" t="inlineStr">
        <is>
          <t>Thermocouple extension KX, #16 shielded pairs, PLTC</t>
        </is>
      </c>
      <c r="K5160" s="12" t="inlineStr">
        <is>
          <t>TCX|24 pr|16</t>
        </is>
      </c>
      <c r="L5160" s="12" t="inlineStr">
        <is>
          <t>24 pr</t>
        </is>
      </c>
      <c r="M5160" s="12" t="inlineStr">
        <is>
          <t>16</t>
        </is>
      </c>
      <c r="N5160" s="12" t="n">
        <v>1</v>
      </c>
      <c r="O5160" s="12" t="n">
        <v>1</v>
      </c>
      <c r="P5160" s="12" t="n"/>
      <c r="Q5160" s="12" t="n"/>
      <c r="R5160" s="12" t="n"/>
      <c r="S5160" s="12" t="inlineStr">
        <is>
          <t>Duct bank</t>
        </is>
      </c>
      <c r="T5160" s="15" t="n">
        <v>437</v>
      </c>
      <c r="U5160" s="15" t="n">
        <v>39</v>
      </c>
      <c r="V5160" s="15">
        <f>ROUNDUP((T5160+U5160+2*'Read Me'!$B$13)*(1+'Read Me'!$B$12),-1)</f>
        <v/>
      </c>
      <c r="W5160" s="15">
        <f>V5160*N5160*O5160</f>
        <v/>
      </c>
      <c r="X5160" s="12">
        <f>IF(LEFT(I5160,2)="MV",2*N5160*IF(L5160="1/C",O5160,1),0)</f>
        <v/>
      </c>
      <c r="Y5160" s="12">
        <f>IF(OR(LEFT(K5160,4)="LVAX",LEFT(K5160,6)="MV15AX",LEFT(K5160,4)="CTAX",LEFT(K5160,2)="W|"),2*N5160*O5160,0)</f>
        <v/>
      </c>
      <c r="Z5160" s="12" t="inlineStr"/>
      <c r="AA5160" s="12">
        <f>N5160*O5160</f>
        <v/>
      </c>
    </row>
    <row r="5161">
      <c r="A5161" s="12" t="inlineStr">
        <is>
          <t>I-I-0558</t>
        </is>
      </c>
      <c r="B5161" s="12" t="inlineStr">
        <is>
          <t>I</t>
        </is>
      </c>
      <c r="C5161" s="12" t="inlineStr">
        <is>
          <t>Modular / portable power</t>
        </is>
      </c>
      <c r="D5161" s="12" t="inlineStr">
        <is>
          <t>Analog instrument to JB JB-Water-injection sk-AI01: 10 x 1 pr (field cables)</t>
        </is>
      </c>
      <c r="E5161" s="12" t="inlineStr"/>
      <c r="F5161" s="12" t="inlineStr">
        <is>
          <t>Water-injection skid</t>
        </is>
      </c>
      <c r="G5161" s="12" t="inlineStr">
        <is>
          <t>JB-Water-injection sk-AI01</t>
        </is>
      </c>
      <c r="H5161" s="12" t="inlineStr">
        <is>
          <t>Water-injection skid</t>
        </is>
      </c>
      <c r="I5161" s="12" t="inlineStr">
        <is>
          <t>Instrumentation</t>
        </is>
      </c>
      <c r="J5161" s="12" t="inlineStr">
        <is>
          <t>Instrumentation PLTC / TC-ER 300 V, #18 twisted shielded pairs, overall shield</t>
        </is>
      </c>
      <c r="K5161" s="12" t="inlineStr">
        <is>
          <t>PLTC|1 pr|16</t>
        </is>
      </c>
      <c r="L5161" s="12" t="inlineStr">
        <is>
          <t>1 pr</t>
        </is>
      </c>
      <c r="M5161" s="12" t="inlineStr">
        <is>
          <t>16</t>
        </is>
      </c>
      <c r="N5161" s="12" t="n">
        <v>10</v>
      </c>
      <c r="O5161" s="12" t="n">
        <v>1</v>
      </c>
      <c r="P5161" s="12" t="n"/>
      <c r="Q5161" s="12" t="n"/>
      <c r="R5161" s="12" t="n"/>
      <c r="S5161" s="12" t="inlineStr">
        <is>
          <t>Tray / conduit</t>
        </is>
      </c>
      <c r="T5161" s="15" t="n">
        <v>43</v>
      </c>
      <c r="U5161" s="15" t="n">
        <v>10</v>
      </c>
      <c r="V5161" s="15">
        <f>ROUNDUP((T5161+U5161+2*'Read Me'!$B$13)*(1+'Read Me'!$B$12),-1)</f>
        <v/>
      </c>
      <c r="W5161" s="15">
        <f>V5161*N5161*O5161</f>
        <v/>
      </c>
      <c r="X5161" s="12">
        <f>IF(LEFT(I5161,2)="MV",2*N5161*IF(L5161="1/C",O5161,1),0)</f>
        <v/>
      </c>
      <c r="Y5161" s="12">
        <f>IF(OR(LEFT(K5161,4)="LVAX",LEFT(K5161,6)="MV15AX",LEFT(K5161,4)="CTAX",LEFT(K5161,2)="W|"),2*N5161*O5161,0)</f>
        <v/>
      </c>
      <c r="Z5161" s="12" t="inlineStr">
        <is>
          <t>device-to-JB field wiring, one cable per device</t>
        </is>
      </c>
      <c r="AA5161" s="12">
        <f>N5161*O5161</f>
        <v/>
      </c>
    </row>
    <row r="5162">
      <c r="A5162" s="12" t="inlineStr">
        <is>
          <t>I-I-0559</t>
        </is>
      </c>
      <c r="B5162" s="12" t="inlineStr">
        <is>
          <t>I</t>
        </is>
      </c>
      <c r="C5162" s="12" t="inlineStr">
        <is>
          <t>Modular / portable power</t>
        </is>
      </c>
      <c r="D5162" s="12" t="inlineStr">
        <is>
          <t>Home run JB-Water-injection sk-AI01 to the control / marshalling room</t>
        </is>
      </c>
      <c r="E5162" s="12" t="inlineStr"/>
      <c r="F5162" s="12" t="inlineStr">
        <is>
          <t>SC-2 PCM + 15 kV GCB</t>
        </is>
      </c>
      <c r="G5162" s="12" t="inlineStr">
        <is>
          <t>JB-Water-injection sk-AI01</t>
        </is>
      </c>
      <c r="H5162" s="12" t="inlineStr">
        <is>
          <t>Water-injection skid</t>
        </is>
      </c>
      <c r="I5162" s="12" t="inlineStr">
        <is>
          <t>Instrumentation</t>
        </is>
      </c>
      <c r="J5162" s="12" t="inlineStr">
        <is>
          <t>Instrumentation PLTC / TC-ER 300 V, #18 twisted shielded pairs, overall shield</t>
        </is>
      </c>
      <c r="K5162" s="12" t="inlineStr">
        <is>
          <t>PLTC|24 pr|18</t>
        </is>
      </c>
      <c r="L5162" s="12" t="inlineStr">
        <is>
          <t>24 pr</t>
        </is>
      </c>
      <c r="M5162" s="12" t="inlineStr">
        <is>
          <t>18</t>
        </is>
      </c>
      <c r="N5162" s="12" t="n">
        <v>1</v>
      </c>
      <c r="O5162" s="12" t="n">
        <v>1</v>
      </c>
      <c r="P5162" s="12" t="n"/>
      <c r="Q5162" s="12" t="n"/>
      <c r="R5162" s="12" t="n"/>
      <c r="S5162" s="12" t="inlineStr">
        <is>
          <t>Duct bank</t>
        </is>
      </c>
      <c r="T5162" s="15" t="n">
        <v>0</v>
      </c>
      <c r="U5162" s="15" t="n">
        <v>60</v>
      </c>
      <c r="V5162" s="15">
        <f>ROUNDUP((T5162+U5162+2*'Read Me'!$B$13)*(1+'Read Me'!$B$12),-1)</f>
        <v/>
      </c>
      <c r="W5162" s="15">
        <f>V5162*N5162*O5162</f>
        <v/>
      </c>
      <c r="X5162" s="12">
        <f>IF(LEFT(I5162,2)="MV",2*N5162*IF(L5162="1/C",O5162,1),0)</f>
        <v/>
      </c>
      <c r="Y5162" s="12">
        <f>IF(OR(LEFT(K5162,4)="LVAX",LEFT(K5162,6)="MV15AX",LEFT(K5162,4)="CTAX",LEFT(K5162,2)="W|"),2*N5162*O5162,0)</f>
        <v/>
      </c>
      <c r="Z5162" s="12" t="inlineStr"/>
      <c r="AA5162" s="12">
        <f>N5162*O5162</f>
        <v/>
      </c>
    </row>
    <row r="5163">
      <c r="A5163" s="12" t="inlineStr">
        <is>
          <t>I-I-0560</t>
        </is>
      </c>
      <c r="B5163" s="12" t="inlineStr">
        <is>
          <t>I</t>
        </is>
      </c>
      <c r="C5163" s="12" t="inlineStr">
        <is>
          <t>Modular / portable power</t>
        </is>
      </c>
      <c r="D5163" s="12" t="inlineStr">
        <is>
          <t>Discrete device to JB JB-Water-injection sk-DI01: 10 x 1 pr (field cables)</t>
        </is>
      </c>
      <c r="E5163" s="12" t="inlineStr"/>
      <c r="F5163" s="12" t="inlineStr">
        <is>
          <t>Water-injection skid</t>
        </is>
      </c>
      <c r="G5163" s="12" t="inlineStr">
        <is>
          <t>JB-Water-injection sk-DI01</t>
        </is>
      </c>
      <c r="H5163" s="12" t="inlineStr">
        <is>
          <t>Water-injection skid</t>
        </is>
      </c>
      <c r="I5163" s="12" t="inlineStr">
        <is>
          <t>Instrumentation</t>
        </is>
      </c>
      <c r="J5163" s="12" t="inlineStr">
        <is>
          <t>Instrumentation PLTC / TC-ER 300 V, #18 twisted shielded pairs, overall shield</t>
        </is>
      </c>
      <c r="K5163" s="12" t="inlineStr">
        <is>
          <t>PLTC|1 pr|16</t>
        </is>
      </c>
      <c r="L5163" s="12" t="inlineStr">
        <is>
          <t>1 pr</t>
        </is>
      </c>
      <c r="M5163" s="12" t="inlineStr">
        <is>
          <t>16</t>
        </is>
      </c>
      <c r="N5163" s="12" t="n">
        <v>10</v>
      </c>
      <c r="O5163" s="12" t="n">
        <v>1</v>
      </c>
      <c r="P5163" s="12" t="n"/>
      <c r="Q5163" s="12" t="n"/>
      <c r="R5163" s="12" t="n"/>
      <c r="S5163" s="12" t="inlineStr">
        <is>
          <t>Tray / conduit</t>
        </is>
      </c>
      <c r="T5163" s="15" t="n">
        <v>43</v>
      </c>
      <c r="U5163" s="15" t="n">
        <v>10</v>
      </c>
      <c r="V5163" s="15">
        <f>ROUNDUP((T5163+U5163+2*'Read Me'!$B$13)*(1+'Read Me'!$B$12),-1)</f>
        <v/>
      </c>
      <c r="W5163" s="15">
        <f>V5163*N5163*O5163</f>
        <v/>
      </c>
      <c r="X5163" s="12">
        <f>IF(LEFT(I5163,2)="MV",2*N5163*IF(L5163="1/C",O5163,1),0)</f>
        <v/>
      </c>
      <c r="Y5163" s="12">
        <f>IF(OR(LEFT(K5163,4)="LVAX",LEFT(K5163,6)="MV15AX",LEFT(K5163,4)="CTAX",LEFT(K5163,2)="W|"),2*N5163*O5163,0)</f>
        <v/>
      </c>
      <c r="Z5163" s="12" t="inlineStr">
        <is>
          <t>device-to-JB field wiring, one cable per device</t>
        </is>
      </c>
      <c r="AA5163" s="12">
        <f>N5163*O5163</f>
        <v/>
      </c>
    </row>
    <row r="5164">
      <c r="A5164" s="12" t="inlineStr">
        <is>
          <t>I-I-0561</t>
        </is>
      </c>
      <c r="B5164" s="12" t="inlineStr">
        <is>
          <t>I</t>
        </is>
      </c>
      <c r="C5164" s="12" t="inlineStr">
        <is>
          <t>Modular / portable power</t>
        </is>
      </c>
      <c r="D5164" s="12" t="inlineStr">
        <is>
          <t>Home run JB-Water-injection sk-DI01 to the control / marshalling room</t>
        </is>
      </c>
      <c r="E5164" s="12" t="inlineStr"/>
      <c r="F5164" s="12" t="inlineStr">
        <is>
          <t>SC-2 PCM + 15 kV GCB</t>
        </is>
      </c>
      <c r="G5164" s="12" t="inlineStr">
        <is>
          <t>JB-Water-injection sk-DI01</t>
        </is>
      </c>
      <c r="H5164" s="12" t="inlineStr">
        <is>
          <t>Water-injection skid</t>
        </is>
      </c>
      <c r="I5164" s="12" t="inlineStr">
        <is>
          <t>Instrumentation</t>
        </is>
      </c>
      <c r="J5164" s="12" t="inlineStr">
        <is>
          <t>Instrumentation PLTC / TC-ER 300 V, #18 twisted shielded pairs, overall shield</t>
        </is>
      </c>
      <c r="K5164" s="12" t="inlineStr">
        <is>
          <t>PLTC|24 pr|18</t>
        </is>
      </c>
      <c r="L5164" s="12" t="inlineStr">
        <is>
          <t>24 pr</t>
        </is>
      </c>
      <c r="M5164" s="12" t="inlineStr">
        <is>
          <t>18</t>
        </is>
      </c>
      <c r="N5164" s="12" t="n">
        <v>1</v>
      </c>
      <c r="O5164" s="12" t="n">
        <v>1</v>
      </c>
      <c r="P5164" s="12" t="n"/>
      <c r="Q5164" s="12" t="n"/>
      <c r="R5164" s="12" t="n"/>
      <c r="S5164" s="12" t="inlineStr">
        <is>
          <t>Duct bank</t>
        </is>
      </c>
      <c r="T5164" s="15" t="n">
        <v>0</v>
      </c>
      <c r="U5164" s="15" t="n">
        <v>60</v>
      </c>
      <c r="V5164" s="15">
        <f>ROUNDUP((T5164+U5164+2*'Read Me'!$B$13)*(1+'Read Me'!$B$12),-1)</f>
        <v/>
      </c>
      <c r="W5164" s="15">
        <f>V5164*N5164*O5164</f>
        <v/>
      </c>
      <c r="X5164" s="12">
        <f>IF(LEFT(I5164,2)="MV",2*N5164*IF(L5164="1/C",O5164,1),0)</f>
        <v/>
      </c>
      <c r="Y5164" s="12">
        <f>IF(OR(LEFT(K5164,4)="LVAX",LEFT(K5164,6)="MV15AX",LEFT(K5164,4)="CTAX",LEFT(K5164,2)="W|"),2*N5164*O5164,0)</f>
        <v/>
      </c>
      <c r="Z5164" s="12" t="inlineStr"/>
      <c r="AA5164" s="12">
        <f>N5164*O5164</f>
        <v/>
      </c>
    </row>
    <row r="5165">
      <c r="A5165" s="12" t="inlineStr">
        <is>
          <t>I-P-0001</t>
        </is>
      </c>
      <c r="B5165" s="12" t="inlineStr">
        <is>
          <t>I</t>
        </is>
      </c>
      <c r="C5165" s="12" t="inlineStr">
        <is>
          <t>Modular / portable power</t>
        </is>
      </c>
      <c r="D5165" s="12" t="inlineStr">
        <is>
          <t>AX-1 package auxiliaries 480 V (from the unit auxiliary transformer in the control module)</t>
        </is>
      </c>
      <c r="E5165" s="12" t="inlineStr">
        <is>
          <t>AX-1</t>
        </is>
      </c>
      <c r="F5165" s="12" t="inlineStr">
        <is>
          <t xml:space="preserve">AX-1: compact modular aeroderivative installation, LM2500XPRESS class </t>
        </is>
      </c>
      <c r="G5165" s="12" t="inlineStr">
        <is>
          <t>AX-1</t>
        </is>
      </c>
      <c r="H5165" s="12" t="inlineStr">
        <is>
          <t xml:space="preserve">AX-1: compact modular aeroderivative installation, LM2500XPRESS class </t>
        </is>
      </c>
      <c r="I5165" s="12" t="inlineStr">
        <is>
          <t>LV 600 V</t>
        </is>
      </c>
      <c r="J5165" s="12" t="inlineStr">
        <is>
          <t>Type TC-ER 600 V 3/C Cu XHHW-2 + ground, PVC jacket</t>
        </is>
      </c>
      <c r="K5165" s="12" t="inlineStr">
        <is>
          <t>LV|3/C+G|500</t>
        </is>
      </c>
      <c r="L5165" s="12" t="inlineStr">
        <is>
          <t>3/C+G</t>
        </is>
      </c>
      <c r="M5165" s="12" t="inlineStr">
        <is>
          <t>500 kcmil</t>
        </is>
      </c>
      <c r="N5165" s="12" t="n">
        <v>2</v>
      </c>
      <c r="O5165" s="12" t="n">
        <v>1</v>
      </c>
      <c r="P5165" s="12" t="n">
        <v>480</v>
      </c>
      <c r="Q5165" s="12" t="n">
        <v>400</v>
      </c>
      <c r="R5165" s="12" t="n">
        <v>510</v>
      </c>
      <c r="S5165" s="12" t="inlineStr">
        <is>
          <t>Tray</t>
        </is>
      </c>
      <c r="T5165" s="15" t="n">
        <v>120</v>
      </c>
      <c r="U5165" s="15" t="n">
        <v>10</v>
      </c>
      <c r="V5165" s="15">
        <f>ROUNDUP((T5165+U5165+2*'Read Me'!$B$13)*(1+'Read Me'!$B$12),-1)</f>
        <v/>
      </c>
      <c r="W5165" s="15">
        <f>V5165*N5165*O5165</f>
        <v/>
      </c>
      <c r="X5165" s="12">
        <f>IF(LEFT(I5165,2)="MV",2*N5165*IF(L5165="1/C",O5165,1),0)</f>
        <v/>
      </c>
      <c r="Y5165" s="12">
        <f>IF(OR(LEFT(K5165,4)="LVAX",LEFT(K5165,6)="MV15AX",LEFT(K5165,4)="CTAX",LEFT(K5165,2)="W|"),2*N5165*O5165,0)</f>
        <v/>
      </c>
      <c r="Z5165" s="12" t="inlineStr">
        <is>
          <t>internal to the package</t>
        </is>
      </c>
      <c r="AA5165" s="12">
        <f>N5165*O5165</f>
        <v/>
      </c>
    </row>
    <row r="5166">
      <c r="A5166" s="12" t="inlineStr">
        <is>
          <t>I-P-0002</t>
        </is>
      </c>
      <c r="B5166" s="12" t="inlineStr">
        <is>
          <t>I</t>
        </is>
      </c>
      <c r="C5166" s="12" t="inlineStr">
        <is>
          <t>Modular / portable power</t>
        </is>
      </c>
      <c r="D5166" s="12" t="inlineStr">
        <is>
          <t>Motor 1 of 2, 3.7 kW</t>
        </is>
      </c>
      <c r="E5166" s="12" t="inlineStr"/>
      <c r="F5166" s="12" t="inlineStr">
        <is>
          <t>SC-2 PCM + 15 kV GCB</t>
        </is>
      </c>
      <c r="G5166" s="12" t="inlineStr"/>
      <c r="H5166" s="12" t="inlineStr">
        <is>
          <t>Aqueous ammonia (SC units)</t>
        </is>
      </c>
      <c r="I5166" s="12" t="inlineStr">
        <is>
          <t>LV 600 V</t>
        </is>
      </c>
      <c r="J5166" s="12" t="inlineStr">
        <is>
          <t>Type TC-ER 600 V 3/C Cu XHHW-2 + ground, PVC jacket</t>
        </is>
      </c>
      <c r="K5166" s="12" t="inlineStr">
        <is>
          <t>LV|3/C+G|10</t>
        </is>
      </c>
      <c r="L5166" s="12" t="inlineStr">
        <is>
          <t>3/C+G</t>
        </is>
      </c>
      <c r="M5166" s="12" t="inlineStr">
        <is>
          <t>10</t>
        </is>
      </c>
      <c r="N5166" s="12" t="n">
        <v>1</v>
      </c>
      <c r="O5166" s="12" t="n">
        <v>1</v>
      </c>
      <c r="P5166" s="12" t="n">
        <v>480</v>
      </c>
      <c r="Q5166" s="12" t="n">
        <v>3.7</v>
      </c>
      <c r="R5166" s="12" t="n">
        <v>5.2</v>
      </c>
      <c r="S5166" s="12" t="inlineStr">
        <is>
          <t>Duct bank</t>
        </is>
      </c>
      <c r="T5166" s="15" t="n">
        <v>0</v>
      </c>
      <c r="U5166" s="15" t="n">
        <v>98</v>
      </c>
      <c r="V5166" s="15">
        <f>ROUNDUP((T5166+U5166+2*'Read Me'!$B$13)*(1+'Read Me'!$B$12),-1)</f>
        <v/>
      </c>
      <c r="W5166" s="15">
        <f>V5166*N5166*O5166</f>
        <v/>
      </c>
      <c r="X5166" s="12">
        <f>IF(LEFT(I5166,2)="MV",2*N5166*IF(L5166="1/C",O5166,1),0)</f>
        <v/>
      </c>
      <c r="Y5166" s="12">
        <f>IF(OR(LEFT(K5166,4)="LVAX",LEFT(K5166,6)="MV15AX",LEFT(K5166,4)="CTAX",LEFT(K5166,2)="W|"),2*N5166*O5166,0)</f>
        <v/>
      </c>
      <c r="Z5166" s="12" t="inlineStr">
        <is>
          <t>VD 0.2 %</t>
        </is>
      </c>
      <c r="AA5166" s="12">
        <f>N5166*O5166</f>
        <v/>
      </c>
    </row>
    <row r="5167">
      <c r="A5167" s="12" t="inlineStr">
        <is>
          <t>I-P-0003</t>
        </is>
      </c>
      <c r="B5167" s="12" t="inlineStr">
        <is>
          <t>I</t>
        </is>
      </c>
      <c r="C5167" s="12" t="inlineStr">
        <is>
          <t>Modular / portable power</t>
        </is>
      </c>
      <c r="D5167" s="12" t="inlineStr">
        <is>
          <t>Motor 2 of 2, 3.7 kW</t>
        </is>
      </c>
      <c r="E5167" s="12" t="inlineStr"/>
      <c r="F5167" s="12" t="inlineStr">
        <is>
          <t>SC-2 PCM + 15 kV GCB</t>
        </is>
      </c>
      <c r="G5167" s="12" t="inlineStr"/>
      <c r="H5167" s="12" t="inlineStr">
        <is>
          <t>Aqueous ammonia (SC units)</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3.7</v>
      </c>
      <c r="R5167" s="12" t="n">
        <v>5.2</v>
      </c>
      <c r="S5167" s="12" t="inlineStr">
        <is>
          <t>Duct bank</t>
        </is>
      </c>
      <c r="T5167" s="15" t="n">
        <v>0</v>
      </c>
      <c r="U5167" s="15" t="n">
        <v>98</v>
      </c>
      <c r="V5167" s="15">
        <f>ROUNDUP((T5167+U5167+2*'Read Me'!$B$13)*(1+'Read Me'!$B$12),-1)</f>
        <v/>
      </c>
      <c r="W5167" s="15">
        <f>V5167*N5167*O5167</f>
        <v/>
      </c>
      <c r="X5167" s="12">
        <f>IF(LEFT(I5167,2)="MV",2*N5167*IF(L5167="1/C",O5167,1),0)</f>
        <v/>
      </c>
      <c r="Y5167" s="12">
        <f>IF(OR(LEFT(K5167,4)="LVAX",LEFT(K5167,6)="MV15AX",LEFT(K5167,4)="CTAX",LEFT(K5167,2)="W|"),2*N5167*O5167,0)</f>
        <v/>
      </c>
      <c r="Z5167" s="12" t="inlineStr">
        <is>
          <t>VD 0.2 %</t>
        </is>
      </c>
      <c r="AA5167" s="12">
        <f>N5167*O5167</f>
        <v/>
      </c>
    </row>
    <row r="5168">
      <c r="A5168" s="12" t="inlineStr">
        <is>
          <t>I-P-0004</t>
        </is>
      </c>
      <c r="B5168" s="12" t="inlineStr">
        <is>
          <t>I</t>
        </is>
      </c>
      <c r="C5168" s="12" t="inlineStr">
        <is>
          <t>Modular / portable power</t>
        </is>
      </c>
      <c r="D5168" s="12" t="inlineStr">
        <is>
          <t>Black-start genset output</t>
        </is>
      </c>
      <c r="E5168" s="12" t="inlineStr"/>
      <c r="F5168" s="12" t="inlineStr">
        <is>
          <t>Black-start genset (proposed; requires study)</t>
        </is>
      </c>
      <c r="G5168" s="12" t="inlineStr"/>
      <c r="H5168" s="12" t="inlineStr">
        <is>
          <t>BS black-start switchgear</t>
        </is>
      </c>
      <c r="I5168" s="12" t="inlineStr">
        <is>
          <t>LV 600 V</t>
        </is>
      </c>
      <c r="J5168" s="12" t="inlineStr">
        <is>
          <t>Type TC-ER 600 V 3/C Cu XHHW-2 + ground, PVC jacket</t>
        </is>
      </c>
      <c r="K5168" s="12" t="inlineStr">
        <is>
          <t>LV|3/C+G|500</t>
        </is>
      </c>
      <c r="L5168" s="12" t="inlineStr">
        <is>
          <t>3/C+G</t>
        </is>
      </c>
      <c r="M5168" s="12" t="inlineStr">
        <is>
          <t>500 kcmil</t>
        </is>
      </c>
      <c r="N5168" s="12" t="n">
        <v>10</v>
      </c>
      <c r="O5168" s="12" t="n">
        <v>1</v>
      </c>
      <c r="P5168" s="12" t="n">
        <v>480</v>
      </c>
      <c r="Q5168" s="12" t="n">
        <v>2000</v>
      </c>
      <c r="R5168" s="12" t="n">
        <v>2532.3</v>
      </c>
      <c r="S5168" s="12" t="inlineStr">
        <is>
          <t>Tray</t>
        </is>
      </c>
      <c r="T5168" s="15" t="n">
        <v>0</v>
      </c>
      <c r="U5168" s="15" t="n">
        <v>41</v>
      </c>
      <c r="V5168" s="15">
        <f>ROUNDUP((T5168+U5168+2*'Read Me'!$B$13)*(1+'Read Me'!$B$12),-1)</f>
        <v/>
      </c>
      <c r="W5168" s="15">
        <f>V5168*N5168*O5168</f>
        <v/>
      </c>
      <c r="X5168" s="12">
        <f>IF(LEFT(I5168,2)="MV",2*N5168*IF(L5168="1/C",O5168,1),0)</f>
        <v/>
      </c>
      <c r="Y5168" s="12">
        <f>IF(OR(LEFT(K5168,4)="LVAX",LEFT(K5168,6)="MV15AX",LEFT(K5168,4)="CTAX",LEFT(K5168,2)="W|"),2*N5168*O5168,0)</f>
        <v/>
      </c>
      <c r="Z5168" s="12" t="inlineStr">
        <is>
          <t>VD 0.1 %</t>
        </is>
      </c>
      <c r="AA5168" s="12">
        <f>N5168*O5168</f>
        <v/>
      </c>
    </row>
    <row r="5169">
      <c r="A5169" s="12" t="inlineStr">
        <is>
          <t>I-P-0005</t>
        </is>
      </c>
      <c r="B5169" s="12" t="inlineStr">
        <is>
          <t>I</t>
        </is>
      </c>
      <c r="C5169" s="12" t="inlineStr">
        <is>
          <t>Modular / portable power</t>
        </is>
      </c>
      <c r="D5169" s="12" t="inlineStr">
        <is>
          <t>Black-start genset output</t>
        </is>
      </c>
      <c r="E5169" s="12" t="inlineStr"/>
      <c r="F5169" s="12" t="inlineStr">
        <is>
          <t>Black-start genset (proposed; requires study)</t>
        </is>
      </c>
      <c r="G5169" s="12" t="inlineStr"/>
      <c r="H5169" s="12" t="inlineStr">
        <is>
          <t>BS black-start switchgear</t>
        </is>
      </c>
      <c r="I5169" s="12" t="inlineStr">
        <is>
          <t>LV 600 V</t>
        </is>
      </c>
      <c r="J5169" s="12" t="inlineStr">
        <is>
          <t>Type TC-ER 600 V 3/C Cu XHHW-2 + ground, PVC jacket</t>
        </is>
      </c>
      <c r="K5169" s="12" t="inlineStr">
        <is>
          <t>LV|3/C+G|500</t>
        </is>
      </c>
      <c r="L5169" s="12" t="inlineStr">
        <is>
          <t>3/C+G</t>
        </is>
      </c>
      <c r="M5169" s="12" t="inlineStr">
        <is>
          <t>500 kcmil</t>
        </is>
      </c>
      <c r="N5169" s="12" t="n">
        <v>10</v>
      </c>
      <c r="O5169" s="12" t="n">
        <v>1</v>
      </c>
      <c r="P5169" s="12" t="n">
        <v>480</v>
      </c>
      <c r="Q5169" s="12" t="n">
        <v>2000</v>
      </c>
      <c r="R5169" s="12" t="n">
        <v>2532.3</v>
      </c>
      <c r="S5169" s="12" t="inlineStr">
        <is>
          <t>Tray</t>
        </is>
      </c>
      <c r="T5169" s="15" t="n">
        <v>0</v>
      </c>
      <c r="U5169" s="15" t="n">
        <v>49</v>
      </c>
      <c r="V5169" s="15">
        <f>ROUNDUP((T5169+U5169+2*'Read Me'!$B$13)*(1+'Read Me'!$B$12),-1)</f>
        <v/>
      </c>
      <c r="W5169" s="15">
        <f>V5169*N5169*O5169</f>
        <v/>
      </c>
      <c r="X5169" s="12">
        <f>IF(LEFT(I5169,2)="MV",2*N5169*IF(L5169="1/C",O5169,1),0)</f>
        <v/>
      </c>
      <c r="Y5169" s="12">
        <f>IF(OR(LEFT(K5169,4)="LVAX",LEFT(K5169,6)="MV15AX",LEFT(K5169,4)="CTAX",LEFT(K5169,2)="W|"),2*N5169*O5169,0)</f>
        <v/>
      </c>
      <c r="Z5169" s="12" t="inlineStr">
        <is>
          <t>VD 0.1 %</t>
        </is>
      </c>
      <c r="AA5169" s="12">
        <f>N5169*O5169</f>
        <v/>
      </c>
    </row>
    <row r="5170">
      <c r="A5170" s="12" t="inlineStr">
        <is>
          <t>I-P-0006</t>
        </is>
      </c>
      <c r="B5170" s="12" t="inlineStr">
        <is>
          <t>I</t>
        </is>
      </c>
      <c r="C5170" s="12" t="inlineStr">
        <is>
          <t>Modular / portable power</t>
        </is>
      </c>
      <c r="D5170" s="12" t="inlineStr">
        <is>
          <t>LV power feeder</t>
        </is>
      </c>
      <c r="E5170" s="12" t="inlineStr"/>
      <c r="F5170" s="12" t="inlineStr">
        <is>
          <t>PCM: power control module</t>
        </is>
      </c>
      <c r="G5170" s="12" t="inlineStr"/>
      <c r="H5170" s="12" t="inlineStr">
        <is>
          <t>BS black-start switchgear</t>
        </is>
      </c>
      <c r="I5170" s="12" t="inlineStr">
        <is>
          <t>LV 600 V</t>
        </is>
      </c>
      <c r="J5170" s="12" t="inlineStr">
        <is>
          <t>Type TC-ER 600 V 3/C Cu XHHW-2 + ground, PVC jacket</t>
        </is>
      </c>
      <c r="K5170" s="12" t="inlineStr">
        <is>
          <t>LV|3/C+G|6</t>
        </is>
      </c>
      <c r="L5170" s="12" t="inlineStr">
        <is>
          <t>3/C+G</t>
        </is>
      </c>
      <c r="M5170" s="12" t="inlineStr">
        <is>
          <t>6</t>
        </is>
      </c>
      <c r="N5170" s="12" t="n">
        <v>1</v>
      </c>
      <c r="O5170" s="12" t="n">
        <v>1</v>
      </c>
      <c r="P5170" s="12" t="n">
        <v>480</v>
      </c>
      <c r="Q5170" s="12" t="n">
        <v>15</v>
      </c>
      <c r="R5170" s="12" t="n">
        <v>21.2</v>
      </c>
      <c r="S5170" s="12" t="inlineStr">
        <is>
          <t>Duct bank</t>
        </is>
      </c>
      <c r="T5170" s="15" t="n">
        <v>528</v>
      </c>
      <c r="U5170" s="15" t="n">
        <v>64</v>
      </c>
      <c r="V5170" s="15">
        <f>ROUNDUP((T5170+U5170+2*'Read Me'!$B$13)*(1+'Read Me'!$B$12),-1)</f>
        <v/>
      </c>
      <c r="W5170" s="15">
        <f>V5170*N5170*O5170</f>
        <v/>
      </c>
      <c r="X5170" s="12">
        <f>IF(LEFT(I5170,2)="MV",2*N5170*IF(L5170="1/C",O5170,1),0)</f>
        <v/>
      </c>
      <c r="Y5170" s="12">
        <f>IF(OR(LEFT(K5170,4)="LVAX",LEFT(K5170,6)="MV15AX",LEFT(K5170,4)="CTAX",LEFT(K5170,2)="W|"),2*N5170*O5170,0)</f>
        <v/>
      </c>
      <c r="Z5170" s="12" t="inlineStr">
        <is>
          <t>VD 2.5 %</t>
        </is>
      </c>
      <c r="AA5170" s="12">
        <f>N5170*O5170</f>
        <v/>
      </c>
    </row>
    <row r="5171">
      <c r="A5171" s="12" t="inlineStr">
        <is>
          <t>I-P-0007</t>
        </is>
      </c>
      <c r="B5171" s="12" t="inlineStr">
        <is>
          <t>I</t>
        </is>
      </c>
      <c r="C5171" s="12" t="inlineStr">
        <is>
          <t>Modular / portable power</t>
        </is>
      </c>
      <c r="D5171" s="12" t="inlineStr">
        <is>
          <t>CGE-1 cooling container: radiator fans, jacket-water pumps (deck)</t>
        </is>
      </c>
      <c r="E5171" s="12" t="inlineStr">
        <is>
          <t>CGE-AUX</t>
        </is>
      </c>
      <c r="F5171" s="12" t="inlineStr">
        <is>
          <t>CGE-AUX: 13.8 / 0.48 kV auxiliary transformer (cooling containers, rad</t>
        </is>
      </c>
      <c r="G5171" s="12" t="inlineStr">
        <is>
          <t>CGE-DECK</t>
        </is>
      </c>
      <c r="H5171" s="12" t="inlineStr">
        <is>
          <t>CGE-1..4 upper deck: stacked cooling containers, radiators, silencers,</t>
        </is>
      </c>
      <c r="I5171" s="12" t="inlineStr">
        <is>
          <t>LV 600 V</t>
        </is>
      </c>
      <c r="J5171" s="12" t="inlineStr">
        <is>
          <t>Type TC-ER 600 V 3/C Cu XHHW-2 + ground, PVC jacket</t>
        </is>
      </c>
      <c r="K5171" s="12" t="inlineStr">
        <is>
          <t>LV|3/C+G|3/0</t>
        </is>
      </c>
      <c r="L5171" s="12" t="inlineStr">
        <is>
          <t>3/C+G</t>
        </is>
      </c>
      <c r="M5171" s="12" t="inlineStr">
        <is>
          <t>3/0</t>
        </is>
      </c>
      <c r="N5171" s="12" t="n">
        <v>1</v>
      </c>
      <c r="O5171" s="12" t="n">
        <v>1</v>
      </c>
      <c r="P5171" s="12" t="n">
        <v>480</v>
      </c>
      <c r="Q5171" s="12" t="n">
        <v>110</v>
      </c>
      <c r="R5171" s="12" t="n">
        <v>155.7</v>
      </c>
      <c r="S5171" s="12" t="inlineStr">
        <is>
          <t>Duct bank</t>
        </is>
      </c>
      <c r="T5171" s="15" t="n">
        <v>59</v>
      </c>
      <c r="U5171" s="15" t="n">
        <v>32</v>
      </c>
      <c r="V5171" s="15">
        <f>ROUNDUP((T5171+U5171+2*'Read Me'!$B$13)*(1+'Read Me'!$B$12),-1)</f>
        <v/>
      </c>
      <c r="W5171" s="15">
        <f>V5171*N5171*O5171</f>
        <v/>
      </c>
      <c r="X5171" s="12">
        <f>IF(LEFT(I5171,2)="MV",2*N5171*IF(L5171="1/C",O5171,1),0)</f>
        <v/>
      </c>
      <c r="Y5171" s="12">
        <f>IF(OR(LEFT(K5171,4)="LVAX",LEFT(K5171,6)="MV15AX",LEFT(K5171,4)="CTAX",LEFT(K5171,2)="W|"),2*N5171*O5171,0)</f>
        <v/>
      </c>
      <c r="Z5171" s="12" t="inlineStr">
        <is>
          <t>VD 0.4 %</t>
        </is>
      </c>
      <c r="AA5171" s="12">
        <f>N5171*O5171</f>
        <v/>
      </c>
    </row>
    <row r="5172">
      <c r="A5172" s="12" t="inlineStr">
        <is>
          <t>I-P-0008</t>
        </is>
      </c>
      <c r="B5172" s="12" t="inlineStr">
        <is>
          <t>I</t>
        </is>
      </c>
      <c r="C5172" s="12" t="inlineStr">
        <is>
          <t>Modular / portable power</t>
        </is>
      </c>
      <c r="D5172" s="12" t="inlineStr">
        <is>
          <t>CGE-2 cooling container: radiator fans, jacket-water pumps (deck)</t>
        </is>
      </c>
      <c r="E5172" s="12" t="inlineStr">
        <is>
          <t>CGE-AUX</t>
        </is>
      </c>
      <c r="F5172" s="12" t="inlineStr">
        <is>
          <t>CGE-AUX: 13.8 / 0.48 kV auxiliary transformer (cooling containers, rad</t>
        </is>
      </c>
      <c r="G5172" s="12" t="inlineStr">
        <is>
          <t>CGE-DECK</t>
        </is>
      </c>
      <c r="H5172" s="12" t="inlineStr">
        <is>
          <t>CGE-1..4 upper deck: stacked cooling containers, radiators, silencers,</t>
        </is>
      </c>
      <c r="I5172" s="12" t="inlineStr">
        <is>
          <t>LV 600 V</t>
        </is>
      </c>
      <c r="J5172" s="12" t="inlineStr">
        <is>
          <t>Type TC-ER 600 V 3/C Cu XHHW-2 + ground, PVC jacket</t>
        </is>
      </c>
      <c r="K5172" s="12" t="inlineStr">
        <is>
          <t>LV|3/C+G|3/0</t>
        </is>
      </c>
      <c r="L5172" s="12" t="inlineStr">
        <is>
          <t>3/C+G</t>
        </is>
      </c>
      <c r="M5172" s="12" t="inlineStr">
        <is>
          <t>3/0</t>
        </is>
      </c>
      <c r="N5172" s="12" t="n">
        <v>1</v>
      </c>
      <c r="O5172" s="12" t="n">
        <v>1</v>
      </c>
      <c r="P5172" s="12" t="n">
        <v>480</v>
      </c>
      <c r="Q5172" s="12" t="n">
        <v>110</v>
      </c>
      <c r="R5172" s="12" t="n">
        <v>155.7</v>
      </c>
      <c r="S5172" s="12" t="inlineStr">
        <is>
          <t>Duct bank</t>
        </is>
      </c>
      <c r="T5172" s="15" t="n">
        <v>59</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I-P-0009</t>
        </is>
      </c>
      <c r="B5173" s="12" t="inlineStr">
        <is>
          <t>I</t>
        </is>
      </c>
      <c r="C5173" s="12" t="inlineStr">
        <is>
          <t>Modular / portable power</t>
        </is>
      </c>
      <c r="D5173" s="12" t="inlineStr">
        <is>
          <t>CGE-3 cooling container: radiator fans, jacket-water pumps (deck)</t>
        </is>
      </c>
      <c r="E5173" s="12" t="inlineStr">
        <is>
          <t>CGE-AUX</t>
        </is>
      </c>
      <c r="F5173" s="12" t="inlineStr">
        <is>
          <t>CGE-AUX: 13.8 / 0.48 kV auxiliary transformer (cooling containers, rad</t>
        </is>
      </c>
      <c r="G5173" s="12" t="inlineStr">
        <is>
          <t>CGE-DECK</t>
        </is>
      </c>
      <c r="H5173" s="12" t="inlineStr">
        <is>
          <t>CGE-1..4 upper deck: stacked cooling containers, radiators, silencers,</t>
        </is>
      </c>
      <c r="I5173" s="12" t="inlineStr">
        <is>
          <t>LV 600 V</t>
        </is>
      </c>
      <c r="J5173" s="12" t="inlineStr">
        <is>
          <t>Type TC-ER 600 V 3/C Cu XHHW-2 + ground, PVC jacket</t>
        </is>
      </c>
      <c r="K5173" s="12" t="inlineStr">
        <is>
          <t>LV|3/C+G|3/0</t>
        </is>
      </c>
      <c r="L5173" s="12" t="inlineStr">
        <is>
          <t>3/C+G</t>
        </is>
      </c>
      <c r="M5173" s="12" t="inlineStr">
        <is>
          <t>3/0</t>
        </is>
      </c>
      <c r="N5173" s="12" t="n">
        <v>1</v>
      </c>
      <c r="O5173" s="12" t="n">
        <v>1</v>
      </c>
      <c r="P5173" s="12" t="n">
        <v>480</v>
      </c>
      <c r="Q5173" s="12" t="n">
        <v>110</v>
      </c>
      <c r="R5173" s="12" t="n">
        <v>155.7</v>
      </c>
      <c r="S5173" s="12" t="inlineStr">
        <is>
          <t>Duct bank</t>
        </is>
      </c>
      <c r="T5173" s="15" t="n">
        <v>59</v>
      </c>
      <c r="U5173" s="15" t="n">
        <v>32</v>
      </c>
      <c r="V5173" s="15">
        <f>ROUNDUP((T5173+U5173+2*'Read Me'!$B$13)*(1+'Read Me'!$B$12),-1)</f>
        <v/>
      </c>
      <c r="W5173" s="15">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I-P-0010</t>
        </is>
      </c>
      <c r="B5174" s="12" t="inlineStr">
        <is>
          <t>I</t>
        </is>
      </c>
      <c r="C5174" s="12" t="inlineStr">
        <is>
          <t>Modular / portable power</t>
        </is>
      </c>
      <c r="D5174" s="12" t="inlineStr">
        <is>
          <t>CGE-4 cooling container: radiator fans, jacket-water pumps (deck)</t>
        </is>
      </c>
      <c r="E5174" s="12" t="inlineStr">
        <is>
          <t>CGE-AUX</t>
        </is>
      </c>
      <c r="F5174" s="12" t="inlineStr">
        <is>
          <t>CGE-AUX: 13.8 / 0.48 kV auxiliary transformer (cooling containers, rad</t>
        </is>
      </c>
      <c r="G5174" s="12" t="inlineStr">
        <is>
          <t>CGE-DECK</t>
        </is>
      </c>
      <c r="H5174" s="12" t="inlineStr">
        <is>
          <t>CGE-1..4 upper deck: stacked cooling containers, radiators, silencers,</t>
        </is>
      </c>
      <c r="I5174" s="12" t="inlineStr">
        <is>
          <t>LV 600 V</t>
        </is>
      </c>
      <c r="J5174" s="12" t="inlineStr">
        <is>
          <t>Type TC-ER 600 V 3/C Cu XHHW-2 + ground, PVC jacket</t>
        </is>
      </c>
      <c r="K5174" s="12" t="inlineStr">
        <is>
          <t>LV|3/C+G|3/0</t>
        </is>
      </c>
      <c r="L5174" s="12" t="inlineStr">
        <is>
          <t>3/C+G</t>
        </is>
      </c>
      <c r="M5174" s="12" t="inlineStr">
        <is>
          <t>3/0</t>
        </is>
      </c>
      <c r="N5174" s="12" t="n">
        <v>1</v>
      </c>
      <c r="O5174" s="12" t="n">
        <v>1</v>
      </c>
      <c r="P5174" s="12" t="n">
        <v>480</v>
      </c>
      <c r="Q5174" s="12" t="n">
        <v>110</v>
      </c>
      <c r="R5174" s="12" t="n">
        <v>155.7</v>
      </c>
      <c r="S5174" s="12" t="inlineStr">
        <is>
          <t>Duct bank</t>
        </is>
      </c>
      <c r="T5174" s="15" t="n">
        <v>59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0.4 %</t>
        </is>
      </c>
      <c r="AA5174" s="12">
        <f>N5174*O5174</f>
        <v/>
      </c>
    </row>
    <row r="5175">
      <c r="A5175" s="12" t="inlineStr">
        <is>
          <t>I-P-0011</t>
        </is>
      </c>
      <c r="B5175" s="12" t="inlineStr">
        <is>
          <t>I</t>
        </is>
      </c>
      <c r="C5175" s="12" t="inlineStr">
        <is>
          <t>Modular / portable power</t>
        </is>
      </c>
      <c r="D5175" s="12" t="inlineStr">
        <is>
          <t>CGE-SWG station service: DC charger, heaters, HVAC, lighting</t>
        </is>
      </c>
      <c r="E5175" s="12" t="inlineStr">
        <is>
          <t>CGE-AUX</t>
        </is>
      </c>
      <c r="F5175" s="12" t="inlineStr">
        <is>
          <t>CGE-AUX: 13.8 / 0.48 kV auxiliary transformer (cooling containers, rad</t>
        </is>
      </c>
      <c r="G5175" s="12" t="inlineStr">
        <is>
          <t>CGE-SWG</t>
        </is>
      </c>
      <c r="H5175" s="12" t="inlineStr">
        <is>
          <t>CGE-SWG: 13.8 kV switchgear container (engine breakers, site feeder)</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45</v>
      </c>
      <c r="R5175" s="12" t="n">
        <v>57</v>
      </c>
      <c r="S5175" s="12" t="inlineStr">
        <is>
          <t>Duct bank</t>
        </is>
      </c>
      <c r="T5175" s="15" t="n">
        <v>12</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I-P-0012</t>
        </is>
      </c>
      <c r="B5176" s="12" t="inlineStr">
        <is>
          <t>I</t>
        </is>
      </c>
      <c r="C5176" s="12" t="inlineStr">
        <is>
          <t>Modular / portable power</t>
        </is>
      </c>
      <c r="D5176" s="12" t="inlineStr">
        <is>
          <t>CHP-1 auxiliaries (jacket-water pump, enclosure ventilation)</t>
        </is>
      </c>
      <c r="E5176" s="12" t="inlineStr">
        <is>
          <t>CHP-AUX</t>
        </is>
      </c>
      <c r="F5176" s="12" t="inlineStr">
        <is>
          <t>CHP-AUX: 13.8 / 0.48 kV, 750 kVA auxiliary pad-mount (engine auxiliari</t>
        </is>
      </c>
      <c r="G5176" s="12" t="inlineStr">
        <is>
          <t>CHP-1</t>
        </is>
      </c>
      <c r="H5176" s="12" t="inlineStr">
        <is>
          <t>CHP-1: gas-engine generator ~2.5 MW with exhaust heat recovery, 13.8 k</t>
        </is>
      </c>
      <c r="I5176" s="12" t="inlineStr">
        <is>
          <t>LV 600 V</t>
        </is>
      </c>
      <c r="J5176" s="12" t="inlineStr">
        <is>
          <t>Type TC-ER 600 V 3/C Cu XHHW-2 + ground, PVC jacket</t>
        </is>
      </c>
      <c r="K5176" s="12" t="inlineStr">
        <is>
          <t>LV|3/C+G|2</t>
        </is>
      </c>
      <c r="L5176" s="12" t="inlineStr">
        <is>
          <t>3/C+G</t>
        </is>
      </c>
      <c r="M5176" s="12" t="inlineStr">
        <is>
          <t>2</t>
        </is>
      </c>
      <c r="N5176" s="12" t="n">
        <v>1</v>
      </c>
      <c r="O5176" s="12" t="n">
        <v>1</v>
      </c>
      <c r="P5176" s="12" t="n">
        <v>480</v>
      </c>
      <c r="Q5176" s="12" t="n">
        <v>60</v>
      </c>
      <c r="R5176" s="12" t="n">
        <v>84.90000000000001</v>
      </c>
      <c r="S5176" s="12" t="inlineStr">
        <is>
          <t>Duct bank</t>
        </is>
      </c>
      <c r="T5176" s="15" t="n">
        <v>87</v>
      </c>
      <c r="U5176" s="15" t="n">
        <v>46</v>
      </c>
      <c r="V5176" s="15">
        <f>ROUNDUP((T5176+U5176+2*'Read Me'!$B$13)*(1+'Read Me'!$B$12),-1)</f>
        <v/>
      </c>
      <c r="W5176" s="15">
        <f>V5176*N5176*O5176</f>
        <v/>
      </c>
      <c r="X5176" s="12">
        <f>IF(LEFT(I5176,2)="MV",2*N5176*IF(L5176="1/C",O5176,1),0)</f>
        <v/>
      </c>
      <c r="Y5176" s="12">
        <f>IF(OR(LEFT(K5176,4)="LVAX",LEFT(K5176,6)="MV15AX",LEFT(K5176,4)="CTAX",LEFT(K5176,2)="W|"),2*N5176*O5176,0)</f>
        <v/>
      </c>
      <c r="Z5176" s="12" t="inlineStr">
        <is>
          <t>VD 0.9 %</t>
        </is>
      </c>
      <c r="AA5176" s="12">
        <f>N5176*O5176</f>
        <v/>
      </c>
    </row>
    <row r="5177">
      <c r="A5177" s="12" t="inlineStr">
        <is>
          <t>I-P-0013</t>
        </is>
      </c>
      <c r="B5177" s="12" t="inlineStr">
        <is>
          <t>I</t>
        </is>
      </c>
      <c r="C5177" s="12" t="inlineStr">
        <is>
          <t>Modular / portable power</t>
        </is>
      </c>
      <c r="D5177" s="12" t="inlineStr">
        <is>
          <t>CHP-2 auxiliaries (jacket-water pump, enclosure ventilation)</t>
        </is>
      </c>
      <c r="E5177" s="12" t="inlineStr">
        <is>
          <t>CHP-AUX</t>
        </is>
      </c>
      <c r="F5177" s="12" t="inlineStr">
        <is>
          <t>CHP-AUX: 13.8 / 0.48 kV, 750 kVA auxiliary pad-mount (engine auxiliari</t>
        </is>
      </c>
      <c r="G5177" s="12" t="inlineStr">
        <is>
          <t>CHP-2</t>
        </is>
      </c>
      <c r="H5177" s="12" t="inlineStr">
        <is>
          <t>CHP-2: gas-engine generator ~2.5 MW with exhaust heat recovery, 13.8 k</t>
        </is>
      </c>
      <c r="I5177" s="12" t="inlineStr">
        <is>
          <t>LV 600 V</t>
        </is>
      </c>
      <c r="J5177" s="12" t="inlineStr">
        <is>
          <t>Type TC-ER 600 V 3/C Cu XHHW-2 + ground, PVC jacket</t>
        </is>
      </c>
      <c r="K5177" s="12" t="inlineStr">
        <is>
          <t>LV|3/C+G|2</t>
        </is>
      </c>
      <c r="L5177" s="12" t="inlineStr">
        <is>
          <t>3/C+G</t>
        </is>
      </c>
      <c r="M5177" s="12" t="inlineStr">
        <is>
          <t>2</t>
        </is>
      </c>
      <c r="N5177" s="12" t="n">
        <v>1</v>
      </c>
      <c r="O5177" s="12" t="n">
        <v>1</v>
      </c>
      <c r="P5177" s="12" t="n">
        <v>480</v>
      </c>
      <c r="Q5177" s="12" t="n">
        <v>60</v>
      </c>
      <c r="R5177" s="12" t="n">
        <v>84.90000000000001</v>
      </c>
      <c r="S5177" s="12" t="inlineStr">
        <is>
          <t>Duct bank</t>
        </is>
      </c>
      <c r="T5177" s="15" t="n">
        <v>87</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0.8 %</t>
        </is>
      </c>
      <c r="AA5177" s="12">
        <f>N5177*O5177</f>
        <v/>
      </c>
    </row>
    <row r="5178">
      <c r="A5178" s="12" t="inlineStr">
        <is>
          <t>I-P-0014</t>
        </is>
      </c>
      <c r="B5178" s="12" t="inlineStr">
        <is>
          <t>I</t>
        </is>
      </c>
      <c r="C5178" s="12" t="inlineStr">
        <is>
          <t>Modular / portable power</t>
        </is>
      </c>
      <c r="D5178" s="12" t="inlineStr">
        <is>
          <t>CHP-3 auxiliaries (jacket-water pump, enclosure ventilation)</t>
        </is>
      </c>
      <c r="E5178" s="12" t="inlineStr">
        <is>
          <t>CHP-AUX</t>
        </is>
      </c>
      <c r="F5178" s="12" t="inlineStr">
        <is>
          <t>CHP-AUX: 13.8 / 0.48 kV, 750 kVA auxiliary pad-mount (engine auxiliari</t>
        </is>
      </c>
      <c r="G5178" s="12" t="inlineStr">
        <is>
          <t>CHP-3</t>
        </is>
      </c>
      <c r="H5178" s="12" t="inlineStr">
        <is>
          <t>CHP-3: gas-engine generator ~2.5 MW with exhaust heat recovery, 13.8 k</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84.90000000000001</v>
      </c>
      <c r="S5178" s="12" t="inlineStr">
        <is>
          <t>Duct bank</t>
        </is>
      </c>
      <c r="T5178" s="15" t="n">
        <v>62</v>
      </c>
      <c r="U5178" s="15" t="n">
        <v>33</v>
      </c>
      <c r="V5178" s="15">
        <f>ROUNDUP((T5178+U5178+2*'Read Me'!$B$13)*(1+'Read Me'!$B$12),-1)</f>
        <v/>
      </c>
      <c r="W5178" s="15">
        <f>V5178*N5178*O5178</f>
        <v/>
      </c>
      <c r="X5178" s="12">
        <f>IF(LEFT(I5178,2)="MV",2*N5178*IF(L5178="1/C",O5178,1),0)</f>
        <v/>
      </c>
      <c r="Y5178" s="12">
        <f>IF(OR(LEFT(K5178,4)="LVAX",LEFT(K5178,6)="MV15AX",LEFT(K5178,4)="CTAX",LEFT(K5178,2)="W|"),2*N5178*O5178,0)</f>
        <v/>
      </c>
      <c r="Z5178" s="12" t="inlineStr">
        <is>
          <t>VD 0.6 %</t>
        </is>
      </c>
      <c r="AA5178" s="12">
        <f>N5178*O5178</f>
        <v/>
      </c>
    </row>
    <row r="5179">
      <c r="A5179" s="12" t="inlineStr">
        <is>
          <t>I-P-0015</t>
        </is>
      </c>
      <c r="B5179" s="12" t="inlineStr">
        <is>
          <t>I</t>
        </is>
      </c>
      <c r="C5179" s="12" t="inlineStr">
        <is>
          <t>Modular / portable power</t>
        </is>
      </c>
      <c r="D5179" s="12" t="inlineStr">
        <is>
          <t>CHP-4 auxiliaries (jacket-water pump, enclosure ventilation)</t>
        </is>
      </c>
      <c r="E5179" s="12" t="inlineStr">
        <is>
          <t>CHP-AUX</t>
        </is>
      </c>
      <c r="F5179" s="12" t="inlineStr">
        <is>
          <t>CHP-AUX: 13.8 / 0.48 kV, 750 kVA auxiliary pad-mount (engine auxiliari</t>
        </is>
      </c>
      <c r="G5179" s="12" t="inlineStr">
        <is>
          <t>CHP-4</t>
        </is>
      </c>
      <c r="H5179" s="12" t="inlineStr">
        <is>
          <t>CHP-4: gas-engine generator ~2.5 MW with exhaust heat recovery, 13.8 k</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84.90000000000001</v>
      </c>
      <c r="S5179" s="12" t="inlineStr">
        <is>
          <t>Duct bank</t>
        </is>
      </c>
      <c r="T5179" s="15" t="n">
        <v>49</v>
      </c>
      <c r="U5179" s="15" t="n">
        <v>32</v>
      </c>
      <c r="V5179" s="15">
        <f>ROUNDUP((T5179+U5179+2*'Read Me'!$B$13)*(1+'Read Me'!$B$12),-1)</f>
        <v/>
      </c>
      <c r="W5179" s="15">
        <f>V5179*N5179*O5179</f>
        <v/>
      </c>
      <c r="X5179" s="12">
        <f>IF(LEFT(I5179,2)="MV",2*N5179*IF(L5179="1/C",O5179,1),0)</f>
        <v/>
      </c>
      <c r="Y5179" s="12">
        <f>IF(OR(LEFT(K5179,4)="LVAX",LEFT(K5179,6)="MV15AX",LEFT(K5179,4)="CTAX",LEFT(K5179,2)="W|"),2*N5179*O5179,0)</f>
        <v/>
      </c>
      <c r="Z5179" s="12" t="inlineStr">
        <is>
          <t>VD 0.5 %</t>
        </is>
      </c>
      <c r="AA5179" s="12">
        <f>N5179*O5179</f>
        <v/>
      </c>
    </row>
    <row r="5180">
      <c r="A5180" s="12" t="inlineStr">
        <is>
          <t>I-P-0016</t>
        </is>
      </c>
      <c r="B5180" s="12" t="inlineStr">
        <is>
          <t>I</t>
        </is>
      </c>
      <c r="C5180" s="12" t="inlineStr">
        <is>
          <t>Modular / portable power</t>
        </is>
      </c>
      <c r="D5180" s="12" t="inlineStr">
        <is>
          <t>CHP-HR dump-cooler fans and hot-water circulation pumps</t>
        </is>
      </c>
      <c r="E5180" s="12" t="inlineStr">
        <is>
          <t>CHP-AUX</t>
        </is>
      </c>
      <c r="F5180" s="12" t="inlineStr">
        <is>
          <t>CHP-AUX: 13.8 / 0.48 kV, 750 kVA auxiliary pad-mount (engine auxiliari</t>
        </is>
      </c>
      <c r="G5180" s="12" t="inlineStr">
        <is>
          <t>CHP-HR</t>
        </is>
      </c>
      <c r="H5180" s="12" t="inlineStr">
        <is>
          <t>CHP-HR: exhaust heat-recovery rack (4 exhaust heat exchangers and stac</t>
        </is>
      </c>
      <c r="I5180" s="12" t="inlineStr">
        <is>
          <t>LV 600 V</t>
        </is>
      </c>
      <c r="J5180" s="12" t="inlineStr">
        <is>
          <t>Type TC-ER 600 V 3/C Cu XHHW-2 + ground, PVC jacket</t>
        </is>
      </c>
      <c r="K5180" s="12" t="inlineStr">
        <is>
          <t>LV|3/C+G|350</t>
        </is>
      </c>
      <c r="L5180" s="12" t="inlineStr">
        <is>
          <t>3/C+G</t>
        </is>
      </c>
      <c r="M5180" s="12" t="inlineStr">
        <is>
          <t>350 kcmil</t>
        </is>
      </c>
      <c r="N5180" s="12" t="n">
        <v>1</v>
      </c>
      <c r="O5180" s="12" t="n">
        <v>1</v>
      </c>
      <c r="P5180" s="12" t="n">
        <v>480</v>
      </c>
      <c r="Q5180" s="12" t="n">
        <v>160</v>
      </c>
      <c r="R5180" s="12" t="n">
        <v>226.4</v>
      </c>
      <c r="S5180" s="12" t="inlineStr">
        <is>
          <t>Duct bank</t>
        </is>
      </c>
      <c r="T5180" s="15" t="n">
        <v>69</v>
      </c>
      <c r="U5180" s="15" t="n">
        <v>32</v>
      </c>
      <c r="V5180" s="15">
        <f>ROUNDUP((T5180+U5180+2*'Read Me'!$B$13)*(1+'Read Me'!$B$12),-1)</f>
        <v/>
      </c>
      <c r="W5180" s="15">
        <f>V5180*N5180*O5180</f>
        <v/>
      </c>
      <c r="X5180" s="12">
        <f>IF(LEFT(I5180,2)="MV",2*N5180*IF(L5180="1/C",O5180,1),0)</f>
        <v/>
      </c>
      <c r="Y5180" s="12">
        <f>IF(OR(LEFT(K5180,4)="LVAX",LEFT(K5180,6)="MV15AX",LEFT(K5180,4)="CTAX",LEFT(K5180,2)="W|"),2*N5180*O5180,0)</f>
        <v/>
      </c>
      <c r="Z5180" s="12" t="inlineStr">
        <is>
          <t>VD 0.3 %</t>
        </is>
      </c>
      <c r="AA5180" s="12">
        <f>N5180*O5180</f>
        <v/>
      </c>
    </row>
    <row r="5181">
      <c r="A5181" s="12" t="inlineStr">
        <is>
          <t>I-P-0017</t>
        </is>
      </c>
      <c r="B5181" s="12" t="inlineStr">
        <is>
          <t>I</t>
        </is>
      </c>
      <c r="C5181" s="12" t="inlineStr">
        <is>
          <t>Modular / portable power</t>
        </is>
      </c>
      <c r="D5181" s="12" t="inlineStr">
        <is>
          <t>CHP-SWG station service: DC charger, heaters, HVAC, lighting</t>
        </is>
      </c>
      <c r="E5181" s="12" t="inlineStr">
        <is>
          <t>CHP-AUX</t>
        </is>
      </c>
      <c r="F5181" s="12" t="inlineStr">
        <is>
          <t>CHP-AUX: 13.8 / 0.48 kV, 750 kVA auxiliary pad-mount (engine auxiliari</t>
        </is>
      </c>
      <c r="G5181" s="12" t="inlineStr">
        <is>
          <t>CHP-SWG</t>
        </is>
      </c>
      <c r="H5181" s="12" t="inlineStr">
        <is>
          <t>CHP-SWG: 13.8 kV switchgear container (4 engine breakers, site feeder)</t>
        </is>
      </c>
      <c r="I5181" s="12" t="inlineStr">
        <is>
          <t>LV 600 V</t>
        </is>
      </c>
      <c r="J5181" s="12" t="inlineStr">
        <is>
          <t>Type TC-ER 600 V 3/C Cu XHHW-2 + ground, PVC jacket</t>
        </is>
      </c>
      <c r="K5181" s="12" t="inlineStr">
        <is>
          <t>LV|3/C+G|4</t>
        </is>
      </c>
      <c r="L5181" s="12" t="inlineStr">
        <is>
          <t>3/C+G</t>
        </is>
      </c>
      <c r="M5181" s="12" t="inlineStr">
        <is>
          <t>4</t>
        </is>
      </c>
      <c r="N5181" s="12" t="n">
        <v>1</v>
      </c>
      <c r="O5181" s="12" t="n">
        <v>1</v>
      </c>
      <c r="P5181" s="12" t="n">
        <v>480</v>
      </c>
      <c r="Q5181" s="12" t="n">
        <v>45</v>
      </c>
      <c r="R5181" s="12" t="n">
        <v>57</v>
      </c>
      <c r="S5181" s="12" t="inlineStr">
        <is>
          <t>Riser</t>
        </is>
      </c>
      <c r="T5181" s="15" t="n">
        <v>4</v>
      </c>
      <c r="U5181" s="15" t="n">
        <v>32</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I-P-0018</t>
        </is>
      </c>
      <c r="B5182" s="12" t="inlineStr">
        <is>
          <t>I</t>
        </is>
      </c>
      <c r="C5182" s="12" t="inlineStr">
        <is>
          <t>Modular / portable power</t>
        </is>
      </c>
      <c r="D5182" s="12" t="inlineStr">
        <is>
          <t>LV power feeder</t>
        </is>
      </c>
      <c r="E5182" s="12" t="inlineStr"/>
      <c r="F5182" s="12" t="inlineStr">
        <is>
          <t>PCM: power control module</t>
        </is>
      </c>
      <c r="G5182" s="12" t="inlineStr"/>
      <c r="H5182" s="12" t="inlineStr">
        <is>
          <t>CONDITIONAL: BESS black-start alternative</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15</v>
      </c>
      <c r="R5182" s="12" t="n">
        <v>21.2</v>
      </c>
      <c r="S5182" s="12" t="inlineStr">
        <is>
          <t>Duct bank</t>
        </is>
      </c>
      <c r="T5182" s="15" t="n">
        <v>516</v>
      </c>
      <c r="U5182" s="15" t="n">
        <v>32</v>
      </c>
      <c r="V5182" s="15">
        <f>ROUNDUP((T5182+U5182+2*'Read Me'!$B$13)*(1+'Read Me'!$B$12),-1)</f>
        <v/>
      </c>
      <c r="W5182" s="15">
        <f>V5182*N5182*O5182</f>
        <v/>
      </c>
      <c r="X5182" s="12">
        <f>IF(LEFT(I5182,2)="MV",2*N5182*IF(L5182="1/C",O5182,1),0)</f>
        <v/>
      </c>
      <c r="Y5182" s="12">
        <f>IF(OR(LEFT(K5182,4)="LVAX",LEFT(K5182,6)="MV15AX",LEFT(K5182,4)="CTAX",LEFT(K5182,2)="W|"),2*N5182*O5182,0)</f>
        <v/>
      </c>
      <c r="Z5182" s="12" t="inlineStr">
        <is>
          <t>VD 2.3 %</t>
        </is>
      </c>
      <c r="AA5182" s="12">
        <f>N5182*O5182</f>
        <v/>
      </c>
    </row>
    <row r="5183">
      <c r="A5183" s="12" t="inlineStr">
        <is>
          <t>I-P-0019</t>
        </is>
      </c>
      <c r="B5183" s="12" t="inlineStr">
        <is>
          <t>I</t>
        </is>
      </c>
      <c r="C5183" s="12" t="inlineStr">
        <is>
          <t>Modular / portable power</t>
        </is>
      </c>
      <c r="D5183" s="12" t="inlineStr">
        <is>
          <t>LV power feeder</t>
        </is>
      </c>
      <c r="E5183" s="12" t="inlineStr"/>
      <c r="F5183" s="12" t="inlineStr">
        <is>
          <t>SC-1 PCM + 15 kV GCB</t>
        </is>
      </c>
      <c r="G5183" s="12" t="inlineStr"/>
      <c r="H5183" s="12" t="inlineStr">
        <is>
          <t>CONDITIONAL: SC-1 inlet chiller / evaporative cooler</t>
        </is>
      </c>
      <c r="I5183" s="12" t="inlineStr">
        <is>
          <t>LV 600 V</t>
        </is>
      </c>
      <c r="J5183" s="12" t="inlineStr">
        <is>
          <t>Type TC-ER 600 V 3/C Cu XHHW-2 + ground, PVC jacket</t>
        </is>
      </c>
      <c r="K5183" s="12" t="inlineStr">
        <is>
          <t>LV|3/C+G|350</t>
        </is>
      </c>
      <c r="L5183" s="12" t="inlineStr">
        <is>
          <t>3/C+G</t>
        </is>
      </c>
      <c r="M5183" s="12" t="inlineStr">
        <is>
          <t>350 kcmil</t>
        </is>
      </c>
      <c r="N5183" s="12" t="n">
        <v>3</v>
      </c>
      <c r="O5183" s="12" t="n">
        <v>1</v>
      </c>
      <c r="P5183" s="12" t="n">
        <v>480</v>
      </c>
      <c r="Q5183" s="12" t="n">
        <v>500</v>
      </c>
      <c r="R5183" s="12" t="n">
        <v>707.6</v>
      </c>
      <c r="S5183" s="12" t="inlineStr">
        <is>
          <t>Duct bank</t>
        </is>
      </c>
      <c r="T5183" s="15" t="n">
        <v>270</v>
      </c>
      <c r="U5183" s="15" t="n">
        <v>78</v>
      </c>
      <c r="V5183" s="15">
        <f>ROUNDUP((T5183+U5183+2*'Read Me'!$B$13)*(1+'Read Me'!$B$12),-1)</f>
        <v/>
      </c>
      <c r="W5183" s="15">
        <f>V5183*N5183*O5183</f>
        <v/>
      </c>
      <c r="X5183" s="12">
        <f>IF(LEFT(I5183,2)="MV",2*N5183*IF(L5183="1/C",O5183,1),0)</f>
        <v/>
      </c>
      <c r="Y5183" s="12">
        <f>IF(OR(LEFT(K5183,4)="LVAX",LEFT(K5183,6)="MV15AX",LEFT(K5183,4)="CTAX",LEFT(K5183,2)="W|"),2*N5183*O5183,0)</f>
        <v/>
      </c>
      <c r="Z5183" s="12" t="inlineStr">
        <is>
          <t>VD 1.2 %</t>
        </is>
      </c>
      <c r="AA5183" s="12">
        <f>N5183*O5183</f>
        <v/>
      </c>
    </row>
    <row r="5184">
      <c r="A5184" s="12" t="inlineStr">
        <is>
          <t>I-P-0020</t>
        </is>
      </c>
      <c r="B5184" s="12" t="inlineStr">
        <is>
          <t>I</t>
        </is>
      </c>
      <c r="C5184" s="12" t="inlineStr">
        <is>
          <t>Modular / portable power</t>
        </is>
      </c>
      <c r="D5184" s="12" t="inlineStr">
        <is>
          <t>LV power feeder</t>
        </is>
      </c>
      <c r="E5184" s="12" t="inlineStr"/>
      <c r="F5184" s="12" t="inlineStr">
        <is>
          <t>SC-2 PCM + 15 kV GCB</t>
        </is>
      </c>
      <c r="G5184" s="12" t="inlineStr"/>
      <c r="H5184" s="12" t="inlineStr">
        <is>
          <t>CONDITIONAL: SC-2 inlet chiller / evaporative cooler</t>
        </is>
      </c>
      <c r="I5184" s="12" t="inlineStr">
        <is>
          <t>LV 600 V</t>
        </is>
      </c>
      <c r="J5184" s="12" t="inlineStr">
        <is>
          <t>Type TC-ER 600 V 3/C Cu XHHW-2 + ground, PVC jacket</t>
        </is>
      </c>
      <c r="K5184" s="12" t="inlineStr">
        <is>
          <t>LV|3/C+G|350</t>
        </is>
      </c>
      <c r="L5184" s="12" t="inlineStr">
        <is>
          <t>3/C+G</t>
        </is>
      </c>
      <c r="M5184" s="12" t="inlineStr">
        <is>
          <t>350 kcmil</t>
        </is>
      </c>
      <c r="N5184" s="12" t="n">
        <v>3</v>
      </c>
      <c r="O5184" s="12" t="n">
        <v>1</v>
      </c>
      <c r="P5184" s="12" t="n">
        <v>480</v>
      </c>
      <c r="Q5184" s="12" t="n">
        <v>500</v>
      </c>
      <c r="R5184" s="12" t="n">
        <v>707.6</v>
      </c>
      <c r="S5184" s="12" t="inlineStr">
        <is>
          <t>Duct bank</t>
        </is>
      </c>
      <c r="T5184" s="15" t="n">
        <v>10</v>
      </c>
      <c r="U5184" s="15" t="n">
        <v>106</v>
      </c>
      <c r="V5184" s="15">
        <f>ROUNDUP((T5184+U5184+2*'Read Me'!$B$13)*(1+'Read Me'!$B$12),-1)</f>
        <v/>
      </c>
      <c r="W5184" s="15">
        <f>V5184*N5184*O5184</f>
        <v/>
      </c>
      <c r="X5184" s="12">
        <f>IF(LEFT(I5184,2)="MV",2*N5184*IF(L5184="1/C",O5184,1),0)</f>
        <v/>
      </c>
      <c r="Y5184" s="12">
        <f>IF(OR(LEFT(K5184,4)="LVAX",LEFT(K5184,6)="MV15AX",LEFT(K5184,4)="CTAX",LEFT(K5184,2)="W|"),2*N5184*O5184,0)</f>
        <v/>
      </c>
      <c r="Z5184" s="12" t="inlineStr">
        <is>
          <t>VD 0.4 %</t>
        </is>
      </c>
      <c r="AA5184" s="12">
        <f>N5184*O5184</f>
        <v/>
      </c>
    </row>
    <row r="5185">
      <c r="A5185" s="12" t="inlineStr">
        <is>
          <t>I-P-0021</t>
        </is>
      </c>
      <c r="B5185" s="12" t="inlineStr">
        <is>
          <t>I</t>
        </is>
      </c>
      <c r="C5185" s="12" t="inlineStr">
        <is>
          <t>Modular / portable power</t>
        </is>
      </c>
      <c r="D5185" s="12" t="inlineStr">
        <is>
          <t>FC-5 SOFC output to inverter / AC cabinet</t>
        </is>
      </c>
      <c r="E5185" s="12" t="inlineStr">
        <is>
          <t>FC-5</t>
        </is>
      </c>
      <c r="F5185" s="12" t="inlineStr">
        <is>
          <t>FC-5: SOFC module (200-300 kW class)</t>
        </is>
      </c>
      <c r="G5185" s="12" t="inlineStr"/>
      <c r="H5185" s="12" t="inlineStr">
        <is>
          <t>FC-5..8 inverter / AC cabinet / desulfurizer</t>
        </is>
      </c>
      <c r="I5185" s="12" t="inlineStr">
        <is>
          <t>LV 600 V</t>
        </is>
      </c>
      <c r="J5185" s="12" t="inlineStr">
        <is>
          <t>Type TC-ER 600 V 3/C Cu XHHW-2 + ground, PVC jacket</t>
        </is>
      </c>
      <c r="K5185" s="12" t="inlineStr">
        <is>
          <t>LV|3/C+G|3/0</t>
        </is>
      </c>
      <c r="L5185" s="12" t="inlineStr">
        <is>
          <t>3/C+G</t>
        </is>
      </c>
      <c r="M5185" s="12" t="inlineStr">
        <is>
          <t>3/0</t>
        </is>
      </c>
      <c r="N5185" s="12" t="n">
        <v>2</v>
      </c>
      <c r="O5185" s="12" t="n">
        <v>1</v>
      </c>
      <c r="P5185" s="12" t="n">
        <v>480</v>
      </c>
      <c r="Q5185" s="12" t="n">
        <v>250</v>
      </c>
      <c r="R5185" s="12" t="n">
        <v>316.5</v>
      </c>
      <c r="S5185" s="12" t="inlineStr">
        <is>
          <t>Surface</t>
        </is>
      </c>
      <c r="T5185" s="15" t="n">
        <v>48</v>
      </c>
      <c r="U5185" s="15" t="n">
        <v>27</v>
      </c>
      <c r="V5185" s="15">
        <f>ROUNDUP((T5185+U5185+2*'Read Me'!$B$13)*(1+'Read Me'!$B$12),-1)</f>
        <v/>
      </c>
      <c r="W5185" s="15">
        <f>V5185*N5185*O5185</f>
        <v/>
      </c>
      <c r="X5185" s="12">
        <f>IF(LEFT(I5185,2)="MV",2*N5185*IF(L5185="1/C",O5185,1),0)</f>
        <v/>
      </c>
      <c r="Y5185" s="12">
        <f>IF(OR(LEFT(K5185,4)="LVAX",LEFT(K5185,6)="MV15AX",LEFT(K5185,4)="CTAX",LEFT(K5185,2)="W|"),2*N5185*O5185,0)</f>
        <v/>
      </c>
      <c r="Z5185" s="12" t="inlineStr">
        <is>
          <t>VD 0.4 %</t>
        </is>
      </c>
      <c r="AA5185" s="12">
        <f>N5185*O5185</f>
        <v/>
      </c>
    </row>
    <row r="5186">
      <c r="A5186" s="12" t="inlineStr">
        <is>
          <t>I-P-0022</t>
        </is>
      </c>
      <c r="B5186" s="12" t="inlineStr">
        <is>
          <t>I</t>
        </is>
      </c>
      <c r="C5186" s="12" t="inlineStr">
        <is>
          <t>Modular / portable power</t>
        </is>
      </c>
      <c r="D5186" s="12" t="inlineStr">
        <is>
          <t>FC-6 SOFC output to inverter / AC cabinet</t>
        </is>
      </c>
      <c r="E5186" s="12" t="inlineStr">
        <is>
          <t>FC-6</t>
        </is>
      </c>
      <c r="F5186" s="12" t="inlineStr">
        <is>
          <t>FC-6: SOFC module (200-300 kW class)</t>
        </is>
      </c>
      <c r="G5186" s="12" t="inlineStr"/>
      <c r="H5186" s="12" t="inlineStr">
        <is>
          <t>FC-5..8 inverter / AC cabinet / desulfurizer</t>
        </is>
      </c>
      <c r="I5186" s="12" t="inlineStr">
        <is>
          <t>LV 600 V</t>
        </is>
      </c>
      <c r="J5186" s="12" t="inlineStr">
        <is>
          <t>Type TC-ER 600 V 3/C Cu XHHW-2 + ground, PVC jacket</t>
        </is>
      </c>
      <c r="K5186" s="12" t="inlineStr">
        <is>
          <t>LV|3/C+G|3/0</t>
        </is>
      </c>
      <c r="L5186" s="12" t="inlineStr">
        <is>
          <t>3/C+G</t>
        </is>
      </c>
      <c r="M5186" s="12" t="inlineStr">
        <is>
          <t>3/0</t>
        </is>
      </c>
      <c r="N5186" s="12" t="n">
        <v>2</v>
      </c>
      <c r="O5186" s="12" t="n">
        <v>1</v>
      </c>
      <c r="P5186" s="12" t="n">
        <v>480</v>
      </c>
      <c r="Q5186" s="12" t="n">
        <v>250</v>
      </c>
      <c r="R5186" s="12" t="n">
        <v>316.5</v>
      </c>
      <c r="S5186" s="12" t="inlineStr">
        <is>
          <t>Surface</t>
        </is>
      </c>
      <c r="T5186" s="15" t="n">
        <v>40</v>
      </c>
      <c r="U5186" s="15" t="n">
        <v>27</v>
      </c>
      <c r="V5186" s="15">
        <f>ROUNDUP((T5186+U5186+2*'Read Me'!$B$13)*(1+'Read Me'!$B$12),-1)</f>
        <v/>
      </c>
      <c r="W5186" s="15">
        <f>V5186*N5186*O5186</f>
        <v/>
      </c>
      <c r="X5186" s="12">
        <f>IF(LEFT(I5186,2)="MV",2*N5186*IF(L5186="1/C",O5186,1),0)</f>
        <v/>
      </c>
      <c r="Y5186" s="12">
        <f>IF(OR(LEFT(K5186,4)="LVAX",LEFT(K5186,6)="MV15AX",LEFT(K5186,4)="CTAX",LEFT(K5186,2)="W|"),2*N5186*O5186,0)</f>
        <v/>
      </c>
      <c r="Z5186" s="12" t="inlineStr">
        <is>
          <t>VD 0.3 %</t>
        </is>
      </c>
      <c r="AA5186" s="12">
        <f>N5186*O5186</f>
        <v/>
      </c>
    </row>
    <row r="5187">
      <c r="A5187" s="12" t="inlineStr">
        <is>
          <t>I-P-0023</t>
        </is>
      </c>
      <c r="B5187" s="12" t="inlineStr">
        <is>
          <t>I</t>
        </is>
      </c>
      <c r="C5187" s="12" t="inlineStr">
        <is>
          <t>Modular / portable power</t>
        </is>
      </c>
      <c r="D5187" s="12" t="inlineStr">
        <is>
          <t>FC-7 SOFC output to inverter / AC cabinet</t>
        </is>
      </c>
      <c r="E5187" s="12" t="inlineStr">
        <is>
          <t>FC-7</t>
        </is>
      </c>
      <c r="F5187" s="12" t="inlineStr">
        <is>
          <t>FC-7: SOFC module (200-300 kW class)</t>
        </is>
      </c>
      <c r="G5187" s="12" t="inlineStr"/>
      <c r="H5187" s="12" t="inlineStr">
        <is>
          <t>FC-5..8 inverter / AC cabinet / desulfurizer</t>
        </is>
      </c>
      <c r="I5187" s="12" t="inlineStr">
        <is>
          <t>LV 600 V</t>
        </is>
      </c>
      <c r="J5187" s="12" t="inlineStr">
        <is>
          <t>Type TC-ER 600 V 3/C Cu XHHW-2 + ground, PVC jacket</t>
        </is>
      </c>
      <c r="K5187" s="12" t="inlineStr">
        <is>
          <t>LV|3/C+G|3/0</t>
        </is>
      </c>
      <c r="L5187" s="12" t="inlineStr">
        <is>
          <t>3/C+G</t>
        </is>
      </c>
      <c r="M5187" s="12" t="inlineStr">
        <is>
          <t>3/0</t>
        </is>
      </c>
      <c r="N5187" s="12" t="n">
        <v>2</v>
      </c>
      <c r="O5187" s="12" t="n">
        <v>1</v>
      </c>
      <c r="P5187" s="12" t="n">
        <v>480</v>
      </c>
      <c r="Q5187" s="12" t="n">
        <v>250</v>
      </c>
      <c r="R5187" s="12" t="n">
        <v>316.5</v>
      </c>
      <c r="S5187" s="12" t="inlineStr">
        <is>
          <t>Surface</t>
        </is>
      </c>
      <c r="T5187" s="15" t="n">
        <v>29</v>
      </c>
      <c r="U5187" s="15" t="n">
        <v>27</v>
      </c>
      <c r="V5187" s="15">
        <f>ROUNDUP((T5187+U5187+2*'Read Me'!$B$13)*(1+'Read Me'!$B$12),-1)</f>
        <v/>
      </c>
      <c r="W5187" s="15">
        <f>V5187*N5187*O5187</f>
        <v/>
      </c>
      <c r="X5187" s="12">
        <f>IF(LEFT(I5187,2)="MV",2*N5187*IF(L5187="1/C",O5187,1),0)</f>
        <v/>
      </c>
      <c r="Y5187" s="12">
        <f>IF(OR(LEFT(K5187,4)="LVAX",LEFT(K5187,6)="MV15AX",LEFT(K5187,4)="CTAX",LEFT(K5187,2)="W|"),2*N5187*O5187,0)</f>
        <v/>
      </c>
      <c r="Z5187" s="12" t="inlineStr">
        <is>
          <t>VD 0.3 %</t>
        </is>
      </c>
      <c r="AA5187" s="12">
        <f>N5187*O5187</f>
        <v/>
      </c>
    </row>
    <row r="5188">
      <c r="A5188" s="12" t="inlineStr">
        <is>
          <t>I-P-0024</t>
        </is>
      </c>
      <c r="B5188" s="12" t="inlineStr">
        <is>
          <t>I</t>
        </is>
      </c>
      <c r="C5188" s="12" t="inlineStr">
        <is>
          <t>Modular / portable power</t>
        </is>
      </c>
      <c r="D5188" s="12" t="inlineStr">
        <is>
          <t>FC-8 SOFC output to inverter / AC cabinet</t>
        </is>
      </c>
      <c r="E5188" s="12" t="inlineStr">
        <is>
          <t>FC-8</t>
        </is>
      </c>
      <c r="F5188" s="12" t="inlineStr">
        <is>
          <t>FC-8: SOFC module (200-300 kW class)</t>
        </is>
      </c>
      <c r="G5188" s="12" t="inlineStr"/>
      <c r="H5188" s="12" t="inlineStr">
        <is>
          <t>FC-5..8 inverter / AC cabinet / desulfurizer</t>
        </is>
      </c>
      <c r="I5188" s="12" t="inlineStr">
        <is>
          <t>LV 600 V</t>
        </is>
      </c>
      <c r="J5188" s="12" t="inlineStr">
        <is>
          <t>Type TC-ER 600 V 3/C Cu XHHW-2 + ground, PVC jacket</t>
        </is>
      </c>
      <c r="K5188" s="12" t="inlineStr">
        <is>
          <t>LV|3/C+G|3/0</t>
        </is>
      </c>
      <c r="L5188" s="12" t="inlineStr">
        <is>
          <t>3/C+G</t>
        </is>
      </c>
      <c r="M5188" s="12" t="inlineStr">
        <is>
          <t>3/0</t>
        </is>
      </c>
      <c r="N5188" s="12" t="n">
        <v>2</v>
      </c>
      <c r="O5188" s="12" t="n">
        <v>1</v>
      </c>
      <c r="P5188" s="12" t="n">
        <v>480</v>
      </c>
      <c r="Q5188" s="12" t="n">
        <v>250</v>
      </c>
      <c r="R5188" s="12" t="n">
        <v>316.5</v>
      </c>
      <c r="S5188" s="12" t="inlineStr">
        <is>
          <t>Tray</t>
        </is>
      </c>
      <c r="T5188" s="15" t="n">
        <v>2</v>
      </c>
      <c r="U5188" s="15" t="n">
        <v>27</v>
      </c>
      <c r="V5188" s="15">
        <f>ROUNDUP((T5188+U5188+2*'Read Me'!$B$13)*(1+'Read Me'!$B$12),-1)</f>
        <v/>
      </c>
      <c r="W5188" s="15">
        <f>V5188*N5188*O5188</f>
        <v/>
      </c>
      <c r="X5188" s="12">
        <f>IF(LEFT(I5188,2)="MV",2*N5188*IF(L5188="1/C",O5188,1),0)</f>
        <v/>
      </c>
      <c r="Y5188" s="12">
        <f>IF(OR(LEFT(K5188,4)="LVAX",LEFT(K5188,6)="MV15AX",LEFT(K5188,4)="CTAX",LEFT(K5188,2)="W|"),2*N5188*O5188,0)</f>
        <v/>
      </c>
      <c r="Z5188" s="12" t="inlineStr">
        <is>
          <t>VD 0.1 %</t>
        </is>
      </c>
      <c r="AA5188" s="12">
        <f>N5188*O5188</f>
        <v/>
      </c>
    </row>
    <row r="5189">
      <c r="A5189" s="12" t="inlineStr">
        <is>
          <t>I-P-0025</t>
        </is>
      </c>
      <c r="B5189" s="12" t="inlineStr">
        <is>
          <t>I</t>
        </is>
      </c>
      <c r="C5189" s="12" t="inlineStr">
        <is>
          <t>Modular / portable power</t>
        </is>
      </c>
      <c r="D5189" s="12" t="inlineStr">
        <is>
          <t>Motor 1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I-P-0026</t>
        </is>
      </c>
      <c r="B5190" s="12" t="inlineStr">
        <is>
          <t>I</t>
        </is>
      </c>
      <c r="C5190" s="12" t="inlineStr">
        <is>
          <t>Modular / portable power</t>
        </is>
      </c>
      <c r="D5190" s="12" t="inlineStr">
        <is>
          <t>Motor 2 of 6, 15 kW</t>
        </is>
      </c>
      <c r="E5190" s="12" t="inlineStr"/>
      <c r="F5190" s="12" t="inlineStr">
        <is>
          <t>SC-2 PCM + 15 kV GCB</t>
        </is>
      </c>
      <c r="G5190" s="12" t="inlineStr"/>
      <c r="H5190" s="12" t="inlineStr">
        <is>
          <t>Fuel-gas compressors 3 x 100% electric</t>
        </is>
      </c>
      <c r="I5190" s="12" t="inlineStr">
        <is>
          <t>LV 600 V</t>
        </is>
      </c>
      <c r="J5190" s="12" t="inlineStr">
        <is>
          <t>ARMOR-X MC-HL 600 V 3/C Cu XHHW-2 + ground, CWA, black PVC (Class I Div 2)</t>
        </is>
      </c>
      <c r="K5190" s="12" t="inlineStr">
        <is>
          <t>LVAX|3/C+G|10</t>
        </is>
      </c>
      <c r="L5190" s="12" t="inlineStr">
        <is>
          <t>3/C+G</t>
        </is>
      </c>
      <c r="M5190" s="12" t="inlineStr">
        <is>
          <t>10</t>
        </is>
      </c>
      <c r="N5190" s="12" t="n">
        <v>1</v>
      </c>
      <c r="O5190" s="12" t="n">
        <v>1</v>
      </c>
      <c r="P5190" s="12" t="n">
        <v>480</v>
      </c>
      <c r="Q5190" s="12" t="n">
        <v>15</v>
      </c>
      <c r="R5190" s="12" t="n">
        <v>21.2</v>
      </c>
      <c r="S5190" s="12" t="inlineStr">
        <is>
          <t>Duct bank</t>
        </is>
      </c>
      <c r="T5190" s="15" t="n">
        <v>8</v>
      </c>
      <c r="U5190" s="15" t="n">
        <v>108</v>
      </c>
      <c r="V5190" s="15">
        <f>ROUNDUP((T5190+U5190+2*'Read Me'!$B$13)*(1+'Read Me'!$B$12),-1)</f>
        <v/>
      </c>
      <c r="W5190" s="15">
        <f>V5190*N5190*O5190</f>
        <v/>
      </c>
      <c r="X5190" s="12">
        <f>IF(LEFT(I5190,2)="MV",2*N5190*IF(L5190="1/C",O5190,1),0)</f>
        <v/>
      </c>
      <c r="Y5190" s="12">
        <f>IF(OR(LEFT(K5190,4)="LVAX",LEFT(K5190,6)="MV15AX",LEFT(K5190,4)="CTAX",LEFT(K5190,2)="W|"),2*N5190*O5190,0)</f>
        <v/>
      </c>
      <c r="Z5190" s="12" t="inlineStr">
        <is>
          <t>VD 1.2 %</t>
        </is>
      </c>
      <c r="AA5190" s="12">
        <f>N5190*O5190</f>
        <v/>
      </c>
    </row>
    <row r="5191">
      <c r="A5191" s="12" t="inlineStr">
        <is>
          <t>I-P-0027</t>
        </is>
      </c>
      <c r="B5191" s="12" t="inlineStr">
        <is>
          <t>I</t>
        </is>
      </c>
      <c r="C5191" s="12" t="inlineStr">
        <is>
          <t>Modular / portable power</t>
        </is>
      </c>
      <c r="D5191" s="12" t="inlineStr">
        <is>
          <t>Motor 3 of 6, 15 kW</t>
        </is>
      </c>
      <c r="E5191" s="12" t="inlineStr"/>
      <c r="F5191" s="12" t="inlineStr">
        <is>
          <t>SC-2 PCM + 15 kV GCB</t>
        </is>
      </c>
      <c r="G5191" s="12" t="inlineStr"/>
      <c r="H5191" s="12" t="inlineStr">
        <is>
          <t>Fuel-gas compressors 3 x 100% electric</t>
        </is>
      </c>
      <c r="I5191" s="12" t="inlineStr">
        <is>
          <t>LV 600 V</t>
        </is>
      </c>
      <c r="J5191" s="12" t="inlineStr">
        <is>
          <t>ARMOR-X MC-HL 600 V 3/C Cu XHHW-2 + ground, CWA, black PVC (Class I Div 2)</t>
        </is>
      </c>
      <c r="K5191" s="12" t="inlineStr">
        <is>
          <t>LVAX|3/C+G|10</t>
        </is>
      </c>
      <c r="L5191" s="12" t="inlineStr">
        <is>
          <t>3/C+G</t>
        </is>
      </c>
      <c r="M5191" s="12" t="inlineStr">
        <is>
          <t>10</t>
        </is>
      </c>
      <c r="N5191" s="12" t="n">
        <v>1</v>
      </c>
      <c r="O5191" s="12" t="n">
        <v>1</v>
      </c>
      <c r="P5191" s="12" t="n">
        <v>480</v>
      </c>
      <c r="Q5191" s="12" t="n">
        <v>15</v>
      </c>
      <c r="R5191" s="12" t="n">
        <v>21.2</v>
      </c>
      <c r="S5191" s="12" t="inlineStr">
        <is>
          <t>Duct bank</t>
        </is>
      </c>
      <c r="T5191" s="15" t="n">
        <v>8</v>
      </c>
      <c r="U5191" s="15" t="n">
        <v>108</v>
      </c>
      <c r="V5191" s="15">
        <f>ROUNDUP((T5191+U5191+2*'Read Me'!$B$13)*(1+'Read Me'!$B$12),-1)</f>
        <v/>
      </c>
      <c r="W5191" s="15">
        <f>V5191*N5191*O5191</f>
        <v/>
      </c>
      <c r="X5191" s="12">
        <f>IF(LEFT(I5191,2)="MV",2*N5191*IF(L5191="1/C",O5191,1),0)</f>
        <v/>
      </c>
      <c r="Y5191" s="12">
        <f>IF(OR(LEFT(K5191,4)="LVAX",LEFT(K5191,6)="MV15AX",LEFT(K5191,4)="CTAX",LEFT(K5191,2)="W|"),2*N5191*O5191,0)</f>
        <v/>
      </c>
      <c r="Z5191" s="12" t="inlineStr">
        <is>
          <t>VD 1.2 %</t>
        </is>
      </c>
      <c r="AA5191" s="12">
        <f>N5191*O5191</f>
        <v/>
      </c>
    </row>
    <row r="5192">
      <c r="A5192" s="12" t="inlineStr">
        <is>
          <t>I-P-0028</t>
        </is>
      </c>
      <c r="B5192" s="12" t="inlineStr">
        <is>
          <t>I</t>
        </is>
      </c>
      <c r="C5192" s="12" t="inlineStr">
        <is>
          <t>Modular / portable power</t>
        </is>
      </c>
      <c r="D5192" s="12" t="inlineStr">
        <is>
          <t>Motor 4 of 6, 15 kW</t>
        </is>
      </c>
      <c r="E5192" s="12" t="inlineStr"/>
      <c r="F5192" s="12" t="inlineStr">
        <is>
          <t>SC-2 PCM + 15 kV GCB</t>
        </is>
      </c>
      <c r="G5192" s="12" t="inlineStr"/>
      <c r="H5192" s="12" t="inlineStr">
        <is>
          <t>Fuel-gas compressors 3 x 100% electric</t>
        </is>
      </c>
      <c r="I5192" s="12" t="inlineStr">
        <is>
          <t>LV 600 V</t>
        </is>
      </c>
      <c r="J5192" s="12" t="inlineStr">
        <is>
          <t>ARMOR-X MC-HL 600 V 3/C Cu XHHW-2 + ground, CWA, black PVC (Class I Div 2)</t>
        </is>
      </c>
      <c r="K5192" s="12" t="inlineStr">
        <is>
          <t>LVAX|3/C+G|10</t>
        </is>
      </c>
      <c r="L5192" s="12" t="inlineStr">
        <is>
          <t>3/C+G</t>
        </is>
      </c>
      <c r="M5192" s="12" t="inlineStr">
        <is>
          <t>10</t>
        </is>
      </c>
      <c r="N5192" s="12" t="n">
        <v>1</v>
      </c>
      <c r="O5192" s="12" t="n">
        <v>1</v>
      </c>
      <c r="P5192" s="12" t="n">
        <v>480</v>
      </c>
      <c r="Q5192" s="12" t="n">
        <v>15</v>
      </c>
      <c r="R5192" s="12" t="n">
        <v>21.2</v>
      </c>
      <c r="S5192" s="12" t="inlineStr">
        <is>
          <t>Duct bank</t>
        </is>
      </c>
      <c r="T5192" s="15" t="n">
        <v>8</v>
      </c>
      <c r="U5192" s="15" t="n">
        <v>108</v>
      </c>
      <c r="V5192" s="15">
        <f>ROUNDUP((T5192+U5192+2*'Read Me'!$B$13)*(1+'Read Me'!$B$12),-1)</f>
        <v/>
      </c>
      <c r="W5192" s="15">
        <f>V5192*N5192*O5192</f>
        <v/>
      </c>
      <c r="X5192" s="12">
        <f>IF(LEFT(I5192,2)="MV",2*N5192*IF(L5192="1/C",O5192,1),0)</f>
        <v/>
      </c>
      <c r="Y5192" s="12">
        <f>IF(OR(LEFT(K5192,4)="LVAX",LEFT(K5192,6)="MV15AX",LEFT(K5192,4)="CTAX",LEFT(K5192,2)="W|"),2*N5192*O5192,0)</f>
        <v/>
      </c>
      <c r="Z5192" s="12" t="inlineStr">
        <is>
          <t>VD 1.2 %</t>
        </is>
      </c>
      <c r="AA5192" s="12">
        <f>N5192*O5192</f>
        <v/>
      </c>
    </row>
    <row r="5193">
      <c r="A5193" s="12" t="inlineStr">
        <is>
          <t>I-P-0029</t>
        </is>
      </c>
      <c r="B5193" s="12" t="inlineStr">
        <is>
          <t>I</t>
        </is>
      </c>
      <c r="C5193" s="12" t="inlineStr">
        <is>
          <t>Modular / portable power</t>
        </is>
      </c>
      <c r="D5193" s="12" t="inlineStr">
        <is>
          <t>Motor 5 of 6, 15 kW</t>
        </is>
      </c>
      <c r="E5193" s="12" t="inlineStr"/>
      <c r="F5193" s="12" t="inlineStr">
        <is>
          <t>SC-2 PCM + 15 kV GCB</t>
        </is>
      </c>
      <c r="G5193" s="12" t="inlineStr"/>
      <c r="H5193" s="12" t="inlineStr">
        <is>
          <t>Fuel-gas compressors 3 x 100% electric</t>
        </is>
      </c>
      <c r="I5193" s="12" t="inlineStr">
        <is>
          <t>LV 600 V</t>
        </is>
      </c>
      <c r="J5193" s="12" t="inlineStr">
        <is>
          <t>ARMOR-X MC-HL 600 V 3/C Cu XHHW-2 + ground, CWA, black PVC (Class I Div 2)</t>
        </is>
      </c>
      <c r="K5193" s="12" t="inlineStr">
        <is>
          <t>LVAX|3/C+G|10</t>
        </is>
      </c>
      <c r="L5193" s="12" t="inlineStr">
        <is>
          <t>3/C+G</t>
        </is>
      </c>
      <c r="M5193" s="12" t="inlineStr">
        <is>
          <t>10</t>
        </is>
      </c>
      <c r="N5193" s="12" t="n">
        <v>1</v>
      </c>
      <c r="O5193" s="12" t="n">
        <v>1</v>
      </c>
      <c r="P5193" s="12" t="n">
        <v>480</v>
      </c>
      <c r="Q5193" s="12" t="n">
        <v>15</v>
      </c>
      <c r="R5193" s="12" t="n">
        <v>21.2</v>
      </c>
      <c r="S5193" s="12" t="inlineStr">
        <is>
          <t>Duct bank</t>
        </is>
      </c>
      <c r="T5193" s="15" t="n">
        <v>8</v>
      </c>
      <c r="U5193" s="15" t="n">
        <v>108</v>
      </c>
      <c r="V5193" s="15">
        <f>ROUNDUP((T5193+U5193+2*'Read Me'!$B$13)*(1+'Read Me'!$B$12),-1)</f>
        <v/>
      </c>
      <c r="W5193" s="15">
        <f>V5193*N5193*O5193</f>
        <v/>
      </c>
      <c r="X5193" s="12">
        <f>IF(LEFT(I5193,2)="MV",2*N5193*IF(L5193="1/C",O5193,1),0)</f>
        <v/>
      </c>
      <c r="Y5193" s="12">
        <f>IF(OR(LEFT(K5193,4)="LVAX",LEFT(K5193,6)="MV15AX",LEFT(K5193,4)="CTAX",LEFT(K5193,2)="W|"),2*N5193*O5193,0)</f>
        <v/>
      </c>
      <c r="Z5193" s="12" t="inlineStr">
        <is>
          <t>VD 1.2 %</t>
        </is>
      </c>
      <c r="AA5193" s="12">
        <f>N5193*O5193</f>
        <v/>
      </c>
    </row>
    <row r="5194">
      <c r="A5194" s="12" t="inlineStr">
        <is>
          <t>I-P-0030</t>
        </is>
      </c>
      <c r="B5194" s="12" t="inlineStr">
        <is>
          <t>I</t>
        </is>
      </c>
      <c r="C5194" s="12" t="inlineStr">
        <is>
          <t>Modular / portable power</t>
        </is>
      </c>
      <c r="D5194" s="12" t="inlineStr">
        <is>
          <t>Motor 6 of 6, 15 kW</t>
        </is>
      </c>
      <c r="E5194" s="12" t="inlineStr"/>
      <c r="F5194" s="12" t="inlineStr">
        <is>
          <t>SC-2 PCM + 15 kV GCB</t>
        </is>
      </c>
      <c r="G5194" s="12" t="inlineStr"/>
      <c r="H5194" s="12" t="inlineStr">
        <is>
          <t>Fuel-gas compressors 3 x 100% electric</t>
        </is>
      </c>
      <c r="I5194" s="12" t="inlineStr">
        <is>
          <t>LV 600 V</t>
        </is>
      </c>
      <c r="J5194" s="12" t="inlineStr">
        <is>
          <t>ARMOR-X MC-HL 600 V 3/C Cu XHHW-2 + ground, CWA, black PVC (Class I Div 2)</t>
        </is>
      </c>
      <c r="K5194" s="12" t="inlineStr">
        <is>
          <t>LVAX|3/C+G|10</t>
        </is>
      </c>
      <c r="L5194" s="12" t="inlineStr">
        <is>
          <t>3/C+G</t>
        </is>
      </c>
      <c r="M5194" s="12" t="inlineStr">
        <is>
          <t>10</t>
        </is>
      </c>
      <c r="N5194" s="12" t="n">
        <v>1</v>
      </c>
      <c r="O5194" s="12" t="n">
        <v>1</v>
      </c>
      <c r="P5194" s="12" t="n">
        <v>480</v>
      </c>
      <c r="Q5194" s="12" t="n">
        <v>15</v>
      </c>
      <c r="R5194" s="12" t="n">
        <v>21.2</v>
      </c>
      <c r="S5194" s="12" t="inlineStr">
        <is>
          <t>Duct bank</t>
        </is>
      </c>
      <c r="T5194" s="15" t="n">
        <v>8</v>
      </c>
      <c r="U5194" s="15" t="n">
        <v>108</v>
      </c>
      <c r="V5194" s="15">
        <f>ROUNDUP((T5194+U5194+2*'Read Me'!$B$13)*(1+'Read Me'!$B$12),-1)</f>
        <v/>
      </c>
      <c r="W5194" s="15">
        <f>V5194*N5194*O5194</f>
        <v/>
      </c>
      <c r="X5194" s="12">
        <f>IF(LEFT(I5194,2)="MV",2*N5194*IF(L5194="1/C",O5194,1),0)</f>
        <v/>
      </c>
      <c r="Y5194" s="12">
        <f>IF(OR(LEFT(K5194,4)="LVAX",LEFT(K5194,6)="MV15AX",LEFT(K5194,4)="CTAX",LEFT(K5194,2)="W|"),2*N5194*O5194,0)</f>
        <v/>
      </c>
      <c r="Z5194" s="12" t="inlineStr">
        <is>
          <t>VD 1.2 %</t>
        </is>
      </c>
      <c r="AA5194" s="12">
        <f>N5194*O5194</f>
        <v/>
      </c>
    </row>
    <row r="5195">
      <c r="A5195" s="12" t="inlineStr">
        <is>
          <t>I-P-0031</t>
        </is>
      </c>
      <c r="B5195" s="12" t="inlineStr">
        <is>
          <t>I</t>
        </is>
      </c>
      <c r="C5195" s="12" t="inlineStr">
        <is>
          <t>Modular / portable power</t>
        </is>
      </c>
      <c r="D5195" s="12" t="inlineStr">
        <is>
          <t>GB-1.1 aux power: jacket-water heater, battery charger, enclosure</t>
        </is>
      </c>
      <c r="E5195" s="12" t="inlineStr">
        <is>
          <t>GBC-1</t>
        </is>
      </c>
      <c r="F5195" s="12" t="inlineStr">
        <is>
          <t xml:space="preserve">GBC-1: block GB-1 generator collector box, 480 V outdoor switchboard, </t>
        </is>
      </c>
      <c r="G5195" s="12" t="inlineStr">
        <is>
          <t>GB-1.1</t>
        </is>
      </c>
      <c r="H5195" s="12" t="inlineStr">
        <is>
          <t>GB-1.1: modular gas genset 500 kW, 480 V (block GB-1,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I-P-0032</t>
        </is>
      </c>
      <c r="B5196" s="12" t="inlineStr">
        <is>
          <t>I</t>
        </is>
      </c>
      <c r="C5196" s="12" t="inlineStr">
        <is>
          <t>Modular / portable power</t>
        </is>
      </c>
      <c r="D5196" s="12" t="inlineStr">
        <is>
          <t>GB-1.2 aux power: jacket-water heater, battery charger, enclosure</t>
        </is>
      </c>
      <c r="E5196" s="12" t="inlineStr">
        <is>
          <t>GBC-1</t>
        </is>
      </c>
      <c r="F5196" s="12" t="inlineStr">
        <is>
          <t xml:space="preserve">GBC-1: block GB-1 generator collector box, 480 V outdoor switchboard, </t>
        </is>
      </c>
      <c r="G5196" s="12" t="inlineStr">
        <is>
          <t>GB-1.2</t>
        </is>
      </c>
      <c r="H5196" s="12" t="inlineStr">
        <is>
          <t>GB-1.2: modular gas genset 500 kW, 480 V (block GB-1,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I-P-0033</t>
        </is>
      </c>
      <c r="B5197" s="12" t="inlineStr">
        <is>
          <t>I</t>
        </is>
      </c>
      <c r="C5197" s="12" t="inlineStr">
        <is>
          <t>Modular / portable power</t>
        </is>
      </c>
      <c r="D5197" s="12" t="inlineStr">
        <is>
          <t>GB-1.3 aux power: jacket-water heater, battery charger, enclosure</t>
        </is>
      </c>
      <c r="E5197" s="12" t="inlineStr">
        <is>
          <t>GBC-1</t>
        </is>
      </c>
      <c r="F5197" s="12" t="inlineStr">
        <is>
          <t xml:space="preserve">GBC-1: block GB-1 generator collector box, 480 V outdoor switchboard, </t>
        </is>
      </c>
      <c r="G5197" s="12" t="inlineStr">
        <is>
          <t>GB-1.3</t>
        </is>
      </c>
      <c r="H5197" s="12" t="inlineStr">
        <is>
          <t>GB-1.3: modular gas genset 500 kW, 480 V (block GB-1,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I-P-0034</t>
        </is>
      </c>
      <c r="B5198" s="12" t="inlineStr">
        <is>
          <t>I</t>
        </is>
      </c>
      <c r="C5198" s="12" t="inlineStr">
        <is>
          <t>Modular / portable power</t>
        </is>
      </c>
      <c r="D5198" s="12" t="inlineStr">
        <is>
          <t>GB-1.4 aux power: jacket-water heater, battery charger, enclosure</t>
        </is>
      </c>
      <c r="E5198" s="12" t="inlineStr">
        <is>
          <t>GBC-1</t>
        </is>
      </c>
      <c r="F5198" s="12" t="inlineStr">
        <is>
          <t xml:space="preserve">GBC-1: block GB-1 generator collector box, 480 V outdoor switchboard, </t>
        </is>
      </c>
      <c r="G5198" s="12" t="inlineStr">
        <is>
          <t>GB-1.4</t>
        </is>
      </c>
      <c r="H5198" s="12" t="inlineStr">
        <is>
          <t>GB-1.4: modular gas genset 500 kW, 480 V (block GB-1,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I-P-0035</t>
        </is>
      </c>
      <c r="B5199" s="12" t="inlineStr">
        <is>
          <t>I</t>
        </is>
      </c>
      <c r="C5199" s="12" t="inlineStr">
        <is>
          <t>Modular / portable power</t>
        </is>
      </c>
      <c r="D5199" s="12" t="inlineStr">
        <is>
          <t>GB-1.5 aux power: jacket-water heater, battery charger, enclosure</t>
        </is>
      </c>
      <c r="E5199" s="12" t="inlineStr">
        <is>
          <t>GBC-1</t>
        </is>
      </c>
      <c r="F5199" s="12" t="inlineStr">
        <is>
          <t xml:space="preserve">GBC-1: block GB-1 generator collector box, 480 V outdoor switchboard, </t>
        </is>
      </c>
      <c r="G5199" s="12" t="inlineStr">
        <is>
          <t>GB-1.5</t>
        </is>
      </c>
      <c r="H5199" s="12" t="inlineStr">
        <is>
          <t>GB-1.5: modular gas genset 500 kW, 480 V (block GB-1,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I-P-0036</t>
        </is>
      </c>
      <c r="B5200" s="12" t="inlineStr">
        <is>
          <t>I</t>
        </is>
      </c>
      <c r="C5200" s="12" t="inlineStr">
        <is>
          <t>Modular / portable power</t>
        </is>
      </c>
      <c r="D5200" s="12" t="inlineStr">
        <is>
          <t>GB-2.1 aux power: jacket-water heater, battery charger, enclosure</t>
        </is>
      </c>
      <c r="E5200" s="12" t="inlineStr">
        <is>
          <t>GBC-2</t>
        </is>
      </c>
      <c r="F5200" s="12" t="inlineStr">
        <is>
          <t xml:space="preserve">GBC-2: block GB-2 generator collector box, 480 V outdoor switchboard, </t>
        </is>
      </c>
      <c r="G5200" s="12" t="inlineStr">
        <is>
          <t>GB-2.1</t>
        </is>
      </c>
      <c r="H5200" s="12" t="inlineStr">
        <is>
          <t>GB-2.1: modular gas genset 500 kW, 480 V (block GB-2,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I-P-0037</t>
        </is>
      </c>
      <c r="B5201" s="12" t="inlineStr">
        <is>
          <t>I</t>
        </is>
      </c>
      <c r="C5201" s="12" t="inlineStr">
        <is>
          <t>Modular / portable power</t>
        </is>
      </c>
      <c r="D5201" s="12" t="inlineStr">
        <is>
          <t>GB-2.2 aux power: jacket-water heater, battery charger, enclosure</t>
        </is>
      </c>
      <c r="E5201" s="12" t="inlineStr">
        <is>
          <t>GBC-2</t>
        </is>
      </c>
      <c r="F5201" s="12" t="inlineStr">
        <is>
          <t xml:space="preserve">GBC-2: block GB-2 generator collector box, 480 V outdoor switchboard, </t>
        </is>
      </c>
      <c r="G5201" s="12" t="inlineStr">
        <is>
          <t>GB-2.2</t>
        </is>
      </c>
      <c r="H5201" s="12" t="inlineStr">
        <is>
          <t>GB-2.2: modular gas genset 500 kW, 480 V (block GB-2,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I-P-0038</t>
        </is>
      </c>
      <c r="B5202" s="12" t="inlineStr">
        <is>
          <t>I</t>
        </is>
      </c>
      <c r="C5202" s="12" t="inlineStr">
        <is>
          <t>Modular / portable power</t>
        </is>
      </c>
      <c r="D5202" s="12" t="inlineStr">
        <is>
          <t>GB-2.3 aux power: jacket-water heater, battery charger, enclosure</t>
        </is>
      </c>
      <c r="E5202" s="12" t="inlineStr">
        <is>
          <t>GBC-2</t>
        </is>
      </c>
      <c r="F5202" s="12" t="inlineStr">
        <is>
          <t xml:space="preserve">GBC-2: block GB-2 generator collector box, 480 V outdoor switchboard, </t>
        </is>
      </c>
      <c r="G5202" s="12" t="inlineStr">
        <is>
          <t>GB-2.3</t>
        </is>
      </c>
      <c r="H5202" s="12" t="inlineStr">
        <is>
          <t>GB-2.3: modular gas genset 500 kW, 480 V (block GB-2,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I-P-0039</t>
        </is>
      </c>
      <c r="B5203" s="12" t="inlineStr">
        <is>
          <t>I</t>
        </is>
      </c>
      <c r="C5203" s="12" t="inlineStr">
        <is>
          <t>Modular / portable power</t>
        </is>
      </c>
      <c r="D5203" s="12" t="inlineStr">
        <is>
          <t>GB-2.4 aux power: jacket-water heater, battery charger, enclosure</t>
        </is>
      </c>
      <c r="E5203" s="12" t="inlineStr">
        <is>
          <t>GBC-2</t>
        </is>
      </c>
      <c r="F5203" s="12" t="inlineStr">
        <is>
          <t xml:space="preserve">GBC-2: block GB-2 generator collector box, 480 V outdoor switchboard, </t>
        </is>
      </c>
      <c r="G5203" s="12" t="inlineStr">
        <is>
          <t>GB-2.4</t>
        </is>
      </c>
      <c r="H5203" s="12" t="inlineStr">
        <is>
          <t>GB-2.4: modular gas genset 500 kW, 480 V (block GB-2,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I-P-0040</t>
        </is>
      </c>
      <c r="B5204" s="12" t="inlineStr">
        <is>
          <t>I</t>
        </is>
      </c>
      <c r="C5204" s="12" t="inlineStr">
        <is>
          <t>Modular / portable power</t>
        </is>
      </c>
      <c r="D5204" s="12" t="inlineStr">
        <is>
          <t>GB-2.5 aux power: jacket-water heater, battery charger, enclosure</t>
        </is>
      </c>
      <c r="E5204" s="12" t="inlineStr">
        <is>
          <t>GBC-2</t>
        </is>
      </c>
      <c r="F5204" s="12" t="inlineStr">
        <is>
          <t xml:space="preserve">GBC-2: block GB-2 generator collector box, 480 V outdoor switchboard, </t>
        </is>
      </c>
      <c r="G5204" s="12" t="inlineStr">
        <is>
          <t>GB-2.5</t>
        </is>
      </c>
      <c r="H5204" s="12" t="inlineStr">
        <is>
          <t>GB-2.5: modular gas genset 500 kW, 480 V (block GB-2,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I-P-0041</t>
        </is>
      </c>
      <c r="B5205" s="12" t="inlineStr">
        <is>
          <t>I</t>
        </is>
      </c>
      <c r="C5205" s="12" t="inlineStr">
        <is>
          <t>Modular / portable power</t>
        </is>
      </c>
      <c r="D5205" s="12" t="inlineStr">
        <is>
          <t>GB-3.1 aux power: jacket-water heater, battery charger, enclosure</t>
        </is>
      </c>
      <c r="E5205" s="12" t="inlineStr">
        <is>
          <t>GBC-3</t>
        </is>
      </c>
      <c r="F5205" s="12" t="inlineStr">
        <is>
          <t xml:space="preserve">GBC-3: block GB-3 generator collector box, 480 V outdoor switchboard, </t>
        </is>
      </c>
      <c r="G5205" s="12" t="inlineStr">
        <is>
          <t>GB-3.1</t>
        </is>
      </c>
      <c r="H5205" s="12" t="inlineStr">
        <is>
          <t>GB-3.1: modular gas genset 500 kW, 480 V (block GB-3,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44</v>
      </c>
      <c r="U5205" s="15" t="n">
        <v>28</v>
      </c>
      <c r="V5205" s="15">
        <f>ROUNDUP((T5205+U5205+2*'Read Me'!$B$13)*(1+'Read Me'!$B$12),-1)</f>
        <v/>
      </c>
      <c r="W5205" s="15">
        <f>V5205*N5205*O5205</f>
        <v/>
      </c>
      <c r="X5205" s="12">
        <f>IF(LEFT(I5205,2)="MV",2*N5205*IF(L5205="1/C",O5205,1),0)</f>
        <v/>
      </c>
      <c r="Y5205" s="12">
        <f>IF(OR(LEFT(K5205,4)="LVAX",LEFT(K5205,6)="MV15AX",LEFT(K5205,4)="CTAX",LEFT(K5205,2)="W|"),2*N5205*O5205,0)</f>
        <v/>
      </c>
      <c r="Z5205" s="12" t="inlineStr">
        <is>
          <t>VD 0.7 %</t>
        </is>
      </c>
      <c r="AA5205" s="12">
        <f>N5205*O5205</f>
        <v/>
      </c>
    </row>
    <row r="5206">
      <c r="A5206" s="12" t="inlineStr">
        <is>
          <t>I-P-0042</t>
        </is>
      </c>
      <c r="B5206" s="12" t="inlineStr">
        <is>
          <t>I</t>
        </is>
      </c>
      <c r="C5206" s="12" t="inlineStr">
        <is>
          <t>Modular / portable power</t>
        </is>
      </c>
      <c r="D5206" s="12" t="inlineStr">
        <is>
          <t>GB-3.2 aux power: jacket-water heater, battery charger, enclosure</t>
        </is>
      </c>
      <c r="E5206" s="12" t="inlineStr">
        <is>
          <t>GBC-3</t>
        </is>
      </c>
      <c r="F5206" s="12" t="inlineStr">
        <is>
          <t xml:space="preserve">GBC-3: block GB-3 generator collector box, 480 V outdoor switchboard, </t>
        </is>
      </c>
      <c r="G5206" s="12" t="inlineStr">
        <is>
          <t>GB-3.2</t>
        </is>
      </c>
      <c r="H5206" s="12" t="inlineStr">
        <is>
          <t>GB-3.2: modular gas genset 500 kW, 480 V (block GB-3,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I-P-0043</t>
        </is>
      </c>
      <c r="B5207" s="12" t="inlineStr">
        <is>
          <t>I</t>
        </is>
      </c>
      <c r="C5207" s="12" t="inlineStr">
        <is>
          <t>Modular / portable power</t>
        </is>
      </c>
      <c r="D5207" s="12" t="inlineStr">
        <is>
          <t>GB-3.3 aux power: jacket-water heater, battery charger, enclosure</t>
        </is>
      </c>
      <c r="E5207" s="12" t="inlineStr">
        <is>
          <t>GBC-3</t>
        </is>
      </c>
      <c r="F5207" s="12" t="inlineStr">
        <is>
          <t xml:space="preserve">GBC-3: block GB-3 generator collector box, 480 V outdoor switchboard, </t>
        </is>
      </c>
      <c r="G5207" s="12" t="inlineStr">
        <is>
          <t>GB-3.3</t>
        </is>
      </c>
      <c r="H5207" s="12" t="inlineStr">
        <is>
          <t>GB-3.3: modular gas genset 500 kW, 480 V (block GB-3,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I-P-0044</t>
        </is>
      </c>
      <c r="B5208" s="12" t="inlineStr">
        <is>
          <t>I</t>
        </is>
      </c>
      <c r="C5208" s="12" t="inlineStr">
        <is>
          <t>Modular / portable power</t>
        </is>
      </c>
      <c r="D5208" s="12" t="inlineStr">
        <is>
          <t>GB-3.4 aux power: jacket-water heater, battery charger, enclosure</t>
        </is>
      </c>
      <c r="E5208" s="12" t="inlineStr">
        <is>
          <t>GBC-3</t>
        </is>
      </c>
      <c r="F5208" s="12" t="inlineStr">
        <is>
          <t xml:space="preserve">GBC-3: block GB-3 generator collector box, 480 V outdoor switchboard, </t>
        </is>
      </c>
      <c r="G5208" s="12" t="inlineStr">
        <is>
          <t>GB-3.4</t>
        </is>
      </c>
      <c r="H5208" s="12" t="inlineStr">
        <is>
          <t>GB-3.4: modular gas genset 500 kW, 480 V (block GB-3,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I-P-0045</t>
        </is>
      </c>
      <c r="B5209" s="12" t="inlineStr">
        <is>
          <t>I</t>
        </is>
      </c>
      <c r="C5209" s="12" t="inlineStr">
        <is>
          <t>Modular / portable power</t>
        </is>
      </c>
      <c r="D5209" s="12" t="inlineStr">
        <is>
          <t>GB-3.5 aux power: jacket-water heater, battery charger, enclosure</t>
        </is>
      </c>
      <c r="E5209" s="12" t="inlineStr">
        <is>
          <t>GBC-3</t>
        </is>
      </c>
      <c r="F5209" s="12" t="inlineStr">
        <is>
          <t xml:space="preserve">GBC-3: block GB-3 generator collector box, 480 V outdoor switchboard, </t>
        </is>
      </c>
      <c r="G5209" s="12" t="inlineStr">
        <is>
          <t>GB-3.5</t>
        </is>
      </c>
      <c r="H5209" s="12" t="inlineStr">
        <is>
          <t>GB-3.5: modular gas genset 500 kW, 480 V (block GB-3,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I-P-0046</t>
        </is>
      </c>
      <c r="B5210" s="12" t="inlineStr">
        <is>
          <t>I</t>
        </is>
      </c>
      <c r="C5210" s="12" t="inlineStr">
        <is>
          <t>Modular / portable power</t>
        </is>
      </c>
      <c r="D5210" s="12" t="inlineStr">
        <is>
          <t>GB-4.1 aux power: jacket-water heater, battery charger, enclosure</t>
        </is>
      </c>
      <c r="E5210" s="12" t="inlineStr">
        <is>
          <t>GBC-4</t>
        </is>
      </c>
      <c r="F5210" s="12" t="inlineStr">
        <is>
          <t xml:space="preserve">GBC-4: block GB-4 generator collector box, 480 V outdoor switchboard, </t>
        </is>
      </c>
      <c r="G5210" s="12" t="inlineStr">
        <is>
          <t>GB-4.1</t>
        </is>
      </c>
      <c r="H5210" s="12" t="inlineStr">
        <is>
          <t>GB-4.1: modular gas genset 500 kW, 480 V (block GB-4,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34</v>
      </c>
      <c r="U5210" s="15" t="n">
        <v>36</v>
      </c>
      <c r="V5210" s="15">
        <f>ROUNDUP((T5210+U5210+2*'Read Me'!$B$13)*(1+'Read Me'!$B$12),-1)</f>
        <v/>
      </c>
      <c r="W5210" s="15">
        <f>V5210*N5210*O5210</f>
        <v/>
      </c>
      <c r="X5210" s="12">
        <f>IF(LEFT(I5210,2)="MV",2*N5210*IF(L5210="1/C",O5210,1),0)</f>
        <v/>
      </c>
      <c r="Y5210" s="12">
        <f>IF(OR(LEFT(K5210,4)="LVAX",LEFT(K5210,6)="MV15AX",LEFT(K5210,4)="CTAX",LEFT(K5210,2)="W|"),2*N5210*O5210,0)</f>
        <v/>
      </c>
      <c r="Z5210" s="12" t="inlineStr">
        <is>
          <t>VD 0.6 %</t>
        </is>
      </c>
      <c r="AA5210" s="12">
        <f>N5210*O5210</f>
        <v/>
      </c>
    </row>
    <row r="5211">
      <c r="A5211" s="12" t="inlineStr">
        <is>
          <t>I-P-0047</t>
        </is>
      </c>
      <c r="B5211" s="12" t="inlineStr">
        <is>
          <t>I</t>
        </is>
      </c>
      <c r="C5211" s="12" t="inlineStr">
        <is>
          <t>Modular / portable power</t>
        </is>
      </c>
      <c r="D5211" s="12" t="inlineStr">
        <is>
          <t>GB-4.2 aux power: jacket-water heater, battery charger, enclosure</t>
        </is>
      </c>
      <c r="E5211" s="12" t="inlineStr">
        <is>
          <t>GBC-4</t>
        </is>
      </c>
      <c r="F5211" s="12" t="inlineStr">
        <is>
          <t xml:space="preserve">GBC-4: block GB-4 generator collector box, 480 V outdoor switchboard, </t>
        </is>
      </c>
      <c r="G5211" s="12" t="inlineStr">
        <is>
          <t>GB-4.2</t>
        </is>
      </c>
      <c r="H5211" s="12" t="inlineStr">
        <is>
          <t>GB-4.2: modular gas genset 500 kW, 480 V (block GB-4,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I-P-0048</t>
        </is>
      </c>
      <c r="B5212" s="12" t="inlineStr">
        <is>
          <t>I</t>
        </is>
      </c>
      <c r="C5212" s="12" t="inlineStr">
        <is>
          <t>Modular / portable power</t>
        </is>
      </c>
      <c r="D5212" s="12" t="inlineStr">
        <is>
          <t>GB-4.3 aux power: jacket-water heater, battery charger, enclosure</t>
        </is>
      </c>
      <c r="E5212" s="12" t="inlineStr">
        <is>
          <t>GBC-4</t>
        </is>
      </c>
      <c r="F5212" s="12" t="inlineStr">
        <is>
          <t xml:space="preserve">GBC-4: block GB-4 generator collector box, 480 V outdoor switchboard, </t>
        </is>
      </c>
      <c r="G5212" s="12" t="inlineStr">
        <is>
          <t>GB-4.3</t>
        </is>
      </c>
      <c r="H5212" s="12" t="inlineStr">
        <is>
          <t>GB-4.3: modular gas genset 500 kW, 480 V (block GB-4,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I-P-0049</t>
        </is>
      </c>
      <c r="B5213" s="12" t="inlineStr">
        <is>
          <t>I</t>
        </is>
      </c>
      <c r="C5213" s="12" t="inlineStr">
        <is>
          <t>Modular / portable power</t>
        </is>
      </c>
      <c r="D5213" s="12" t="inlineStr">
        <is>
          <t>GB-4.4 aux power: jacket-water heater, battery charger, enclosure</t>
        </is>
      </c>
      <c r="E5213" s="12" t="inlineStr">
        <is>
          <t>GBC-4</t>
        </is>
      </c>
      <c r="F5213" s="12" t="inlineStr">
        <is>
          <t xml:space="preserve">GBC-4: block GB-4 generator collector box, 480 V outdoor switchboard, </t>
        </is>
      </c>
      <c r="G5213" s="12" t="inlineStr">
        <is>
          <t>GB-4.4</t>
        </is>
      </c>
      <c r="H5213" s="12" t="inlineStr">
        <is>
          <t>GB-4.4: modular gas genset 500 kW, 480 V (block GB-4,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I-P-0050</t>
        </is>
      </c>
      <c r="B5214" s="12" t="inlineStr">
        <is>
          <t>I</t>
        </is>
      </c>
      <c r="C5214" s="12" t="inlineStr">
        <is>
          <t>Modular / portable power</t>
        </is>
      </c>
      <c r="D5214" s="12" t="inlineStr">
        <is>
          <t>GB-4.5 aux power: jacket-water heater, battery charger, enclosure</t>
        </is>
      </c>
      <c r="E5214" s="12" t="inlineStr">
        <is>
          <t>GBC-4</t>
        </is>
      </c>
      <c r="F5214" s="12" t="inlineStr">
        <is>
          <t xml:space="preserve">GBC-4: block GB-4 generator collector box, 480 V outdoor switchboard, </t>
        </is>
      </c>
      <c r="G5214" s="12" t="inlineStr">
        <is>
          <t>GB-4.5</t>
        </is>
      </c>
      <c r="H5214" s="12" t="inlineStr">
        <is>
          <t>GB-4.5: modular gas genset 500 kW, 480 V (block GB-4,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I-P-0051</t>
        </is>
      </c>
      <c r="B5215" s="12" t="inlineStr">
        <is>
          <t>I</t>
        </is>
      </c>
      <c r="C5215" s="12" t="inlineStr">
        <is>
          <t>Modular / portable power</t>
        </is>
      </c>
      <c r="D5215" s="12" t="inlineStr">
        <is>
          <t>L1 GB-1.1 480 V generator leads to GBC-1</t>
        </is>
      </c>
      <c r="E5215" s="12" t="inlineStr">
        <is>
          <t>GB-1.1</t>
        </is>
      </c>
      <c r="F5215" s="12" t="inlineStr">
        <is>
          <t>GB-1.1: modular gas genset 500 kW, 480 V (block GB-1, unit 1 of 5)</t>
        </is>
      </c>
      <c r="G5215" s="12" t="inlineStr">
        <is>
          <t>GBC-1</t>
        </is>
      </c>
      <c r="H5215" s="12" t="inlineStr">
        <is>
          <t xml:space="preserve">GBC-1: block GB-1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I-P-0052</t>
        </is>
      </c>
      <c r="B5216" s="12" t="inlineStr">
        <is>
          <t>I</t>
        </is>
      </c>
      <c r="C5216" s="12" t="inlineStr">
        <is>
          <t>Modular / portable power</t>
        </is>
      </c>
      <c r="D5216" s="12" t="inlineStr">
        <is>
          <t>L1 GB-1.2 480 V generator leads to GBC-1</t>
        </is>
      </c>
      <c r="E5216" s="12" t="inlineStr">
        <is>
          <t>GB-1.2</t>
        </is>
      </c>
      <c r="F5216" s="12" t="inlineStr">
        <is>
          <t>GB-1.2: modular gas genset 500 kW, 480 V (block GB-1, unit 2 of 5)</t>
        </is>
      </c>
      <c r="G5216" s="12" t="inlineStr">
        <is>
          <t>GBC-1</t>
        </is>
      </c>
      <c r="H5216" s="12" t="inlineStr">
        <is>
          <t xml:space="preserve">GBC-1: block GB-1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I-P-0053</t>
        </is>
      </c>
      <c r="B5217" s="12" t="inlineStr">
        <is>
          <t>I</t>
        </is>
      </c>
      <c r="C5217" s="12" t="inlineStr">
        <is>
          <t>Modular / portable power</t>
        </is>
      </c>
      <c r="D5217" s="12" t="inlineStr">
        <is>
          <t>L1 GB-1.3 480 V generator leads to GBC-1</t>
        </is>
      </c>
      <c r="E5217" s="12" t="inlineStr">
        <is>
          <t>GB-1.3</t>
        </is>
      </c>
      <c r="F5217" s="12" t="inlineStr">
        <is>
          <t>GB-1.3: modular gas genset 500 kW, 480 V (block GB-1, unit 3 of 5)</t>
        </is>
      </c>
      <c r="G5217" s="12" t="inlineStr">
        <is>
          <t>GBC-1</t>
        </is>
      </c>
      <c r="H5217" s="12" t="inlineStr">
        <is>
          <t xml:space="preserve">GBC-1: block GB-1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I-P-0054</t>
        </is>
      </c>
      <c r="B5218" s="12" t="inlineStr">
        <is>
          <t>I</t>
        </is>
      </c>
      <c r="C5218" s="12" t="inlineStr">
        <is>
          <t>Modular / portable power</t>
        </is>
      </c>
      <c r="D5218" s="12" t="inlineStr">
        <is>
          <t>L1 GB-1.4 480 V generator leads to GBC-1</t>
        </is>
      </c>
      <c r="E5218" s="12" t="inlineStr">
        <is>
          <t>GB-1.4</t>
        </is>
      </c>
      <c r="F5218" s="12" t="inlineStr">
        <is>
          <t>GB-1.4: modular gas genset 500 kW, 480 V (block GB-1, unit 4 of 5)</t>
        </is>
      </c>
      <c r="G5218" s="12" t="inlineStr">
        <is>
          <t>GBC-1</t>
        </is>
      </c>
      <c r="H5218" s="12" t="inlineStr">
        <is>
          <t xml:space="preserve">GBC-1: block GB-1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I-P-0055</t>
        </is>
      </c>
      <c r="B5219" s="12" t="inlineStr">
        <is>
          <t>I</t>
        </is>
      </c>
      <c r="C5219" s="12" t="inlineStr">
        <is>
          <t>Modular / portable power</t>
        </is>
      </c>
      <c r="D5219" s="12" t="inlineStr">
        <is>
          <t>L1 GB-1.5 480 V generator leads to GBC-1</t>
        </is>
      </c>
      <c r="E5219" s="12" t="inlineStr">
        <is>
          <t>GB-1.5</t>
        </is>
      </c>
      <c r="F5219" s="12" t="inlineStr">
        <is>
          <t>GB-1.5: modular gas genset 500 kW, 480 V (block GB-1, unit 5 of 5)</t>
        </is>
      </c>
      <c r="G5219" s="12" t="inlineStr">
        <is>
          <t>GBC-1</t>
        </is>
      </c>
      <c r="H5219" s="12" t="inlineStr">
        <is>
          <t xml:space="preserve">GBC-1: block GB-1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I-P-0056</t>
        </is>
      </c>
      <c r="B5220" s="12" t="inlineStr">
        <is>
          <t>I</t>
        </is>
      </c>
      <c r="C5220" s="12" t="inlineStr">
        <is>
          <t>Modular / portable power</t>
        </is>
      </c>
      <c r="D5220" s="12" t="inlineStr">
        <is>
          <t>L1 GB-2.1 480 V generator leads to GBC-2</t>
        </is>
      </c>
      <c r="E5220" s="12" t="inlineStr">
        <is>
          <t>GB-2.1</t>
        </is>
      </c>
      <c r="F5220" s="12" t="inlineStr">
        <is>
          <t>GB-2.1: modular gas genset 500 kW, 480 V (block GB-2, unit 1 of 5)</t>
        </is>
      </c>
      <c r="G5220" s="12" t="inlineStr">
        <is>
          <t>GBC-2</t>
        </is>
      </c>
      <c r="H5220" s="12" t="inlineStr">
        <is>
          <t xml:space="preserve">GBC-2: block GB-2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I-P-0057</t>
        </is>
      </c>
      <c r="B5221" s="12" t="inlineStr">
        <is>
          <t>I</t>
        </is>
      </c>
      <c r="C5221" s="12" t="inlineStr">
        <is>
          <t>Modular / portable power</t>
        </is>
      </c>
      <c r="D5221" s="12" t="inlineStr">
        <is>
          <t>L1 GB-2.2 480 V generator leads to GBC-2</t>
        </is>
      </c>
      <c r="E5221" s="12" t="inlineStr">
        <is>
          <t>GB-2.2</t>
        </is>
      </c>
      <c r="F5221" s="12" t="inlineStr">
        <is>
          <t>GB-2.2: modular gas genset 500 kW, 480 V (block GB-2, unit 2 of 5)</t>
        </is>
      </c>
      <c r="G5221" s="12" t="inlineStr">
        <is>
          <t>GBC-2</t>
        </is>
      </c>
      <c r="H5221" s="12" t="inlineStr">
        <is>
          <t xml:space="preserve">GBC-2: block GB-2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I-P-0058</t>
        </is>
      </c>
      <c r="B5222" s="12" t="inlineStr">
        <is>
          <t>I</t>
        </is>
      </c>
      <c r="C5222" s="12" t="inlineStr">
        <is>
          <t>Modular / portable power</t>
        </is>
      </c>
      <c r="D5222" s="12" t="inlineStr">
        <is>
          <t>L1 GB-2.3 480 V generator leads to GBC-2</t>
        </is>
      </c>
      <c r="E5222" s="12" t="inlineStr">
        <is>
          <t>GB-2.3</t>
        </is>
      </c>
      <c r="F5222" s="12" t="inlineStr">
        <is>
          <t>GB-2.3: modular gas genset 500 kW, 480 V (block GB-2, unit 3 of 5)</t>
        </is>
      </c>
      <c r="G5222" s="12" t="inlineStr">
        <is>
          <t>GBC-2</t>
        </is>
      </c>
      <c r="H5222" s="12" t="inlineStr">
        <is>
          <t xml:space="preserve">GBC-2: block GB-2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I-P-0059</t>
        </is>
      </c>
      <c r="B5223" s="12" t="inlineStr">
        <is>
          <t>I</t>
        </is>
      </c>
      <c r="C5223" s="12" t="inlineStr">
        <is>
          <t>Modular / portable power</t>
        </is>
      </c>
      <c r="D5223" s="12" t="inlineStr">
        <is>
          <t>L1 GB-2.4 480 V generator leads to GBC-2</t>
        </is>
      </c>
      <c r="E5223" s="12" t="inlineStr">
        <is>
          <t>GB-2.4</t>
        </is>
      </c>
      <c r="F5223" s="12" t="inlineStr">
        <is>
          <t>GB-2.4: modular gas genset 500 kW, 480 V (block GB-2, unit 4 of 5)</t>
        </is>
      </c>
      <c r="G5223" s="12" t="inlineStr">
        <is>
          <t>GBC-2</t>
        </is>
      </c>
      <c r="H5223" s="12" t="inlineStr">
        <is>
          <t xml:space="preserve">GBC-2: block GB-2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I-P-0060</t>
        </is>
      </c>
      <c r="B5224" s="12" t="inlineStr">
        <is>
          <t>I</t>
        </is>
      </c>
      <c r="C5224" s="12" t="inlineStr">
        <is>
          <t>Modular / portable power</t>
        </is>
      </c>
      <c r="D5224" s="12" t="inlineStr">
        <is>
          <t>L1 GB-2.5 480 V generator leads to GBC-2</t>
        </is>
      </c>
      <c r="E5224" s="12" t="inlineStr">
        <is>
          <t>GB-2.5</t>
        </is>
      </c>
      <c r="F5224" s="12" t="inlineStr">
        <is>
          <t>GB-2.5: modular gas genset 500 kW, 480 V (block GB-2, unit 5 of 5)</t>
        </is>
      </c>
      <c r="G5224" s="12" t="inlineStr">
        <is>
          <t>GBC-2</t>
        </is>
      </c>
      <c r="H5224" s="12" t="inlineStr">
        <is>
          <t xml:space="preserve">GBC-2: block GB-2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I-P-0061</t>
        </is>
      </c>
      <c r="B5225" s="12" t="inlineStr">
        <is>
          <t>I</t>
        </is>
      </c>
      <c r="C5225" s="12" t="inlineStr">
        <is>
          <t>Modular / portable power</t>
        </is>
      </c>
      <c r="D5225" s="12" t="inlineStr">
        <is>
          <t>L1 GB-3.1 480 V generator leads to GBC-3</t>
        </is>
      </c>
      <c r="E5225" s="12" t="inlineStr">
        <is>
          <t>GB-3.1</t>
        </is>
      </c>
      <c r="F5225" s="12" t="inlineStr">
        <is>
          <t>GB-3.1: modular gas genset 500 kW, 480 V (block GB-3, unit 1 of 5)</t>
        </is>
      </c>
      <c r="G5225" s="12" t="inlineStr">
        <is>
          <t>GBC-3</t>
        </is>
      </c>
      <c r="H5225" s="12" t="inlineStr">
        <is>
          <t xml:space="preserve">GBC-3: block GB-3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44</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I-P-0062</t>
        </is>
      </c>
      <c r="B5226" s="12" t="inlineStr">
        <is>
          <t>I</t>
        </is>
      </c>
      <c r="C5226" s="12" t="inlineStr">
        <is>
          <t>Modular / portable power</t>
        </is>
      </c>
      <c r="D5226" s="12" t="inlineStr">
        <is>
          <t>L1 GB-3.2 480 V generator leads to GBC-3</t>
        </is>
      </c>
      <c r="E5226" s="12" t="inlineStr">
        <is>
          <t>GB-3.2</t>
        </is>
      </c>
      <c r="F5226" s="12" t="inlineStr">
        <is>
          <t>GB-3.2: modular gas genset 500 kW, 480 V (block GB-3, unit 2 of 5)</t>
        </is>
      </c>
      <c r="G5226" s="12" t="inlineStr">
        <is>
          <t>GBC-3</t>
        </is>
      </c>
      <c r="H5226" s="12" t="inlineStr">
        <is>
          <t xml:space="preserve">GBC-3: block GB-3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I-P-0063</t>
        </is>
      </c>
      <c r="B5227" s="12" t="inlineStr">
        <is>
          <t>I</t>
        </is>
      </c>
      <c r="C5227" s="12" t="inlineStr">
        <is>
          <t>Modular / portable power</t>
        </is>
      </c>
      <c r="D5227" s="12" t="inlineStr">
        <is>
          <t>L1 GB-3.3 480 V generator leads to GBC-3</t>
        </is>
      </c>
      <c r="E5227" s="12" t="inlineStr">
        <is>
          <t>GB-3.3</t>
        </is>
      </c>
      <c r="F5227" s="12" t="inlineStr">
        <is>
          <t>GB-3.3: modular gas genset 500 kW, 480 V (block GB-3, unit 3 of 5)</t>
        </is>
      </c>
      <c r="G5227" s="12" t="inlineStr">
        <is>
          <t>GBC-3</t>
        </is>
      </c>
      <c r="H5227" s="12" t="inlineStr">
        <is>
          <t xml:space="preserve">GBC-3: block GB-3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I-P-0064</t>
        </is>
      </c>
      <c r="B5228" s="12" t="inlineStr">
        <is>
          <t>I</t>
        </is>
      </c>
      <c r="C5228" s="12" t="inlineStr">
        <is>
          <t>Modular / portable power</t>
        </is>
      </c>
      <c r="D5228" s="12" t="inlineStr">
        <is>
          <t>L1 GB-3.4 480 V generator leads to GBC-3</t>
        </is>
      </c>
      <c r="E5228" s="12" t="inlineStr">
        <is>
          <t>GB-3.4</t>
        </is>
      </c>
      <c r="F5228" s="12" t="inlineStr">
        <is>
          <t>GB-3.4: modular gas genset 500 kW, 480 V (block GB-3, unit 4 of 5)</t>
        </is>
      </c>
      <c r="G5228" s="12" t="inlineStr">
        <is>
          <t>GBC-3</t>
        </is>
      </c>
      <c r="H5228" s="12" t="inlineStr">
        <is>
          <t xml:space="preserve">GBC-3: block GB-3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I-P-0065</t>
        </is>
      </c>
      <c r="B5229" s="12" t="inlineStr">
        <is>
          <t>I</t>
        </is>
      </c>
      <c r="C5229" s="12" t="inlineStr">
        <is>
          <t>Modular / portable power</t>
        </is>
      </c>
      <c r="D5229" s="12" t="inlineStr">
        <is>
          <t>L1 GB-3.5 480 V generator leads to GBC-3</t>
        </is>
      </c>
      <c r="E5229" s="12" t="inlineStr">
        <is>
          <t>GB-3.5</t>
        </is>
      </c>
      <c r="F5229" s="12" t="inlineStr">
        <is>
          <t>GB-3.5: modular gas genset 500 kW, 480 V (block GB-3, unit 5 of 5)</t>
        </is>
      </c>
      <c r="G5229" s="12" t="inlineStr">
        <is>
          <t>GBC-3</t>
        </is>
      </c>
      <c r="H5229" s="12" t="inlineStr">
        <is>
          <t xml:space="preserve">GBC-3: block GB-3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I-P-0066</t>
        </is>
      </c>
      <c r="B5230" s="12" t="inlineStr">
        <is>
          <t>I</t>
        </is>
      </c>
      <c r="C5230" s="12" t="inlineStr">
        <is>
          <t>Modular / portable power</t>
        </is>
      </c>
      <c r="D5230" s="12" t="inlineStr">
        <is>
          <t>L1 GB-4.1 480 V generator leads to GBC-4</t>
        </is>
      </c>
      <c r="E5230" s="12" t="inlineStr">
        <is>
          <t>GB-4.1</t>
        </is>
      </c>
      <c r="F5230" s="12" t="inlineStr">
        <is>
          <t>GB-4.1: modular gas genset 500 kW, 480 V (block GB-4, unit 1 of 5)</t>
        </is>
      </c>
      <c r="G5230" s="12" t="inlineStr">
        <is>
          <t>GBC-4</t>
        </is>
      </c>
      <c r="H5230" s="12" t="inlineStr">
        <is>
          <t xml:space="preserve">GBC-4: block GB-4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42</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I-P-0067</t>
        </is>
      </c>
      <c r="B5231" s="12" t="inlineStr">
        <is>
          <t>I</t>
        </is>
      </c>
      <c r="C5231" s="12" t="inlineStr">
        <is>
          <t>Modular / portable power</t>
        </is>
      </c>
      <c r="D5231" s="12" t="inlineStr">
        <is>
          <t>L1 GB-4.2 480 V generator leads to GBC-4</t>
        </is>
      </c>
      <c r="E5231" s="12" t="inlineStr">
        <is>
          <t>GB-4.2</t>
        </is>
      </c>
      <c r="F5231" s="12" t="inlineStr">
        <is>
          <t>GB-4.2: modular gas genset 500 kW, 480 V (block GB-4, unit 2 of 5)</t>
        </is>
      </c>
      <c r="G5231" s="12" t="inlineStr">
        <is>
          <t>GBC-4</t>
        </is>
      </c>
      <c r="H5231" s="12" t="inlineStr">
        <is>
          <t xml:space="preserve">GBC-4: block GB-4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I-P-0068</t>
        </is>
      </c>
      <c r="B5232" s="12" t="inlineStr">
        <is>
          <t>I</t>
        </is>
      </c>
      <c r="C5232" s="12" t="inlineStr">
        <is>
          <t>Modular / portable power</t>
        </is>
      </c>
      <c r="D5232" s="12" t="inlineStr">
        <is>
          <t>L1 GB-4.3 480 V generator leads to GBC-4</t>
        </is>
      </c>
      <c r="E5232" s="12" t="inlineStr">
        <is>
          <t>GB-4.3</t>
        </is>
      </c>
      <c r="F5232" s="12" t="inlineStr">
        <is>
          <t>GB-4.3: modular gas genset 500 kW, 480 V (block GB-4, unit 3 of 5)</t>
        </is>
      </c>
      <c r="G5232" s="12" t="inlineStr">
        <is>
          <t>GBC-4</t>
        </is>
      </c>
      <c r="H5232" s="12" t="inlineStr">
        <is>
          <t xml:space="preserve">GBC-4: block GB-4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I-P-0069</t>
        </is>
      </c>
      <c r="B5233" s="12" t="inlineStr">
        <is>
          <t>I</t>
        </is>
      </c>
      <c r="C5233" s="12" t="inlineStr">
        <is>
          <t>Modular / portable power</t>
        </is>
      </c>
      <c r="D5233" s="12" t="inlineStr">
        <is>
          <t>L1 GB-4.4 480 V generator leads to GBC-4</t>
        </is>
      </c>
      <c r="E5233" s="12" t="inlineStr">
        <is>
          <t>GB-4.4</t>
        </is>
      </c>
      <c r="F5233" s="12" t="inlineStr">
        <is>
          <t>GB-4.4: modular gas genset 500 kW, 480 V (block GB-4, unit 4 of 5)</t>
        </is>
      </c>
      <c r="G5233" s="12" t="inlineStr">
        <is>
          <t>GBC-4</t>
        </is>
      </c>
      <c r="H5233" s="12" t="inlineStr">
        <is>
          <t xml:space="preserve">GBC-4: block GB-4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I-P-0070</t>
        </is>
      </c>
      <c r="B5234" s="12" t="inlineStr">
        <is>
          <t>I</t>
        </is>
      </c>
      <c r="C5234" s="12" t="inlineStr">
        <is>
          <t>Modular / portable power</t>
        </is>
      </c>
      <c r="D5234" s="12" t="inlineStr">
        <is>
          <t>L1 GB-4.5 480 V generator leads to GBC-4</t>
        </is>
      </c>
      <c r="E5234" s="12" t="inlineStr">
        <is>
          <t>GB-4.5</t>
        </is>
      </c>
      <c r="F5234" s="12" t="inlineStr">
        <is>
          <t>GB-4.5: modular gas genset 500 kW, 480 V (block GB-4, unit 5 of 5)</t>
        </is>
      </c>
      <c r="G5234" s="12" t="inlineStr">
        <is>
          <t>GBC-4</t>
        </is>
      </c>
      <c r="H5234" s="12" t="inlineStr">
        <is>
          <t xml:space="preserve">GBC-4: block GB-4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I-P-0071</t>
        </is>
      </c>
      <c r="B5235" s="12" t="inlineStr">
        <is>
          <t>I</t>
        </is>
      </c>
      <c r="C5235" s="12" t="inlineStr">
        <is>
          <t>Modular / portable power</t>
        </is>
      </c>
      <c r="D5235" s="12" t="inlineStr">
        <is>
          <t>L2 GBC-1 to GBT-1 480 V block feed</t>
        </is>
      </c>
      <c r="E5235" s="12" t="inlineStr">
        <is>
          <t>GBC-1</t>
        </is>
      </c>
      <c r="F5235" s="12" t="inlineStr">
        <is>
          <t xml:space="preserve">GBC-1: block GB-1 generator collector box, 480 V outdoor switchboard, </t>
        </is>
      </c>
      <c r="G5235" s="12" t="inlineStr">
        <is>
          <t>GBT-1</t>
        </is>
      </c>
      <c r="H5235" s="12" t="inlineStr">
        <is>
          <t>GBT-1: block GB-1 step-up 480 V : 34.5 kV, ~3 MVA pad-mount (on the 35</t>
        </is>
      </c>
      <c r="I5235" s="12" t="inlineStr">
        <is>
          <t>LV 600 V</t>
        </is>
      </c>
      <c r="J5235" s="12" t="inlineStr">
        <is>
          <t>XHHW-2 600 V 1/C Cu (feeder sets in tray / duct)</t>
        </is>
      </c>
      <c r="K5235" s="12" t="inlineStr">
        <is>
          <t>LV1C|1/C|600</t>
        </is>
      </c>
      <c r="L5235" s="12" t="inlineStr">
        <is>
          <t>1/C</t>
        </is>
      </c>
      <c r="M5235" s="12" t="inlineStr">
        <is>
          <t>600 kcmil</t>
        </is>
      </c>
      <c r="N5235" s="12" t="n">
        <v>8</v>
      </c>
      <c r="O5235" s="12" t="n">
        <v>4</v>
      </c>
      <c r="P5235" s="12" t="n">
        <v>480</v>
      </c>
      <c r="Q5235" s="12" t="n">
        <v>2500</v>
      </c>
      <c r="R5235" s="12" t="n">
        <v>3007</v>
      </c>
      <c r="S5235" s="12" t="inlineStr">
        <is>
          <t>Riser</t>
        </is>
      </c>
      <c r="T5235" s="15" t="n">
        <v>2</v>
      </c>
      <c r="U5235" s="15" t="n">
        <v>27</v>
      </c>
      <c r="V5235" s="15">
        <f>ROUNDUP((T5235+U5235+2*'Read Me'!$B$13)*(1+'Read Me'!$B$12),-1)</f>
        <v/>
      </c>
      <c r="W5235" s="15">
        <f>V5235*N5235*O5235</f>
        <v/>
      </c>
      <c r="X5235" s="12">
        <f>IF(LEFT(I5235,2)="MV",2*N5235*IF(L5235="1/C",O5235,1),0)</f>
        <v/>
      </c>
      <c r="Y5235" s="12">
        <f>IF(OR(LEFT(K5235,4)="LVAX",LEFT(K5235,6)="MV15AX",LEFT(K5235,4)="CTAX",LEFT(K5235,2)="W|"),2*N5235*O5235,0)</f>
        <v/>
      </c>
      <c r="Z5235" s="12" t="inlineStr">
        <is>
          <t>8 sets of 4 x 1/C (or bus duct, TO VERIFY)</t>
        </is>
      </c>
      <c r="AA5235" s="12">
        <f>N5235*O5235</f>
        <v/>
      </c>
    </row>
    <row r="5236">
      <c r="A5236" s="12" t="inlineStr">
        <is>
          <t>I-P-0072</t>
        </is>
      </c>
      <c r="B5236" s="12" t="inlineStr">
        <is>
          <t>I</t>
        </is>
      </c>
      <c r="C5236" s="12" t="inlineStr">
        <is>
          <t>Modular / portable power</t>
        </is>
      </c>
      <c r="D5236" s="12" t="inlineStr">
        <is>
          <t>L2 GBC-2 to GBT-2 480 V block feed</t>
        </is>
      </c>
      <c r="E5236" s="12" t="inlineStr">
        <is>
          <t>GBC-2</t>
        </is>
      </c>
      <c r="F5236" s="12" t="inlineStr">
        <is>
          <t xml:space="preserve">GBC-2: block GB-2 generator collector box, 480 V outdoor switchboard, </t>
        </is>
      </c>
      <c r="G5236" s="12" t="inlineStr">
        <is>
          <t>GBT-2</t>
        </is>
      </c>
      <c r="H5236" s="12" t="inlineStr">
        <is>
          <t>GBT-2: block GB-2 step-up 480 V : 34.5 kV, ~3 MVA pad-mount (on the 35</t>
        </is>
      </c>
      <c r="I5236" s="12" t="inlineStr">
        <is>
          <t>LV 600 V</t>
        </is>
      </c>
      <c r="J5236" s="12" t="inlineStr">
        <is>
          <t>XHHW-2 600 V 1/C Cu (feeder sets in tray / duct)</t>
        </is>
      </c>
      <c r="K5236" s="12" t="inlineStr">
        <is>
          <t>LV1C|1/C|600</t>
        </is>
      </c>
      <c r="L5236" s="12" t="inlineStr">
        <is>
          <t>1/C</t>
        </is>
      </c>
      <c r="M5236" s="12" t="inlineStr">
        <is>
          <t>600 kcmil</t>
        </is>
      </c>
      <c r="N5236" s="12" t="n">
        <v>8</v>
      </c>
      <c r="O5236" s="12" t="n">
        <v>4</v>
      </c>
      <c r="P5236" s="12" t="n">
        <v>480</v>
      </c>
      <c r="Q5236" s="12" t="n">
        <v>2500</v>
      </c>
      <c r="R5236" s="12" t="n">
        <v>3007</v>
      </c>
      <c r="S5236" s="12" t="inlineStr">
        <is>
          <t>Riser</t>
        </is>
      </c>
      <c r="T5236" s="15" t="n">
        <v>2</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8 sets of 4 x 1/C (or bus duct, TO VERIFY)</t>
        </is>
      </c>
      <c r="AA5236" s="12">
        <f>N5236*O5236</f>
        <v/>
      </c>
    </row>
    <row r="5237">
      <c r="A5237" s="12" t="inlineStr">
        <is>
          <t>I-P-0073</t>
        </is>
      </c>
      <c r="B5237" s="12" t="inlineStr">
        <is>
          <t>I</t>
        </is>
      </c>
      <c r="C5237" s="12" t="inlineStr">
        <is>
          <t>Modular / portable power</t>
        </is>
      </c>
      <c r="D5237" s="12" t="inlineStr">
        <is>
          <t>L2 GBC-3 to GBT-3 480 V block feed</t>
        </is>
      </c>
      <c r="E5237" s="12" t="inlineStr">
        <is>
          <t>GBC-3</t>
        </is>
      </c>
      <c r="F5237" s="12" t="inlineStr">
        <is>
          <t xml:space="preserve">GBC-3: block GB-3 generator collector box, 480 V outdoor switchboard, </t>
        </is>
      </c>
      <c r="G5237" s="12" t="inlineStr">
        <is>
          <t>GBT-3</t>
        </is>
      </c>
      <c r="H5237" s="12" t="inlineStr">
        <is>
          <t>GBT-3: block GB-3 step-up 480 V : 34.5 kV, ~3 MVA pad-mount (on the 35</t>
        </is>
      </c>
      <c r="I5237" s="12" t="inlineStr">
        <is>
          <t>LV 600 V</t>
        </is>
      </c>
      <c r="J5237" s="12" t="inlineStr">
        <is>
          <t>XHHW-2 600 V 1/C Cu (feeder sets in tray / duct)</t>
        </is>
      </c>
      <c r="K5237" s="12" t="inlineStr">
        <is>
          <t>LV1C|1/C|600</t>
        </is>
      </c>
      <c r="L5237" s="12" t="inlineStr">
        <is>
          <t>1/C</t>
        </is>
      </c>
      <c r="M5237" s="12" t="inlineStr">
        <is>
          <t>600 kcmil</t>
        </is>
      </c>
      <c r="N5237" s="12" t="n">
        <v>8</v>
      </c>
      <c r="O5237" s="12" t="n">
        <v>4</v>
      </c>
      <c r="P5237" s="12" t="n">
        <v>480</v>
      </c>
      <c r="Q5237" s="12" t="n">
        <v>2500</v>
      </c>
      <c r="R5237" s="12" t="n">
        <v>3007</v>
      </c>
      <c r="S5237" s="12" t="inlineStr">
        <is>
          <t>Riser</t>
        </is>
      </c>
      <c r="T5237" s="15" t="n">
        <v>2</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8 sets of 4 x 1/C (or bus duct, TO VERIFY)</t>
        </is>
      </c>
      <c r="AA5237" s="12">
        <f>N5237*O5237</f>
        <v/>
      </c>
    </row>
    <row r="5238">
      <c r="A5238" s="12" t="inlineStr">
        <is>
          <t>I-P-0074</t>
        </is>
      </c>
      <c r="B5238" s="12" t="inlineStr">
        <is>
          <t>I</t>
        </is>
      </c>
      <c r="C5238" s="12" t="inlineStr">
        <is>
          <t>Modular / portable power</t>
        </is>
      </c>
      <c r="D5238" s="12" t="inlineStr">
        <is>
          <t>L2 GBC-4 to GBT-4 480 V block feed</t>
        </is>
      </c>
      <c r="E5238" s="12" t="inlineStr">
        <is>
          <t>GBC-4</t>
        </is>
      </c>
      <c r="F5238" s="12" t="inlineStr">
        <is>
          <t xml:space="preserve">GBC-4: block GB-4 generator collector box, 480 V outdoor switchboard, </t>
        </is>
      </c>
      <c r="G5238" s="12" t="inlineStr">
        <is>
          <t>GBT-4</t>
        </is>
      </c>
      <c r="H5238" s="12" t="inlineStr">
        <is>
          <t>GBT-4: block GB-4 step-up 480 V : 34.5 kV, ~3 MVA pad-mount (on the 35</t>
        </is>
      </c>
      <c r="I5238" s="12" t="inlineStr">
        <is>
          <t>LV 600 V</t>
        </is>
      </c>
      <c r="J5238" s="12" t="inlineStr">
        <is>
          <t>XHHW-2 600 V 1/C Cu (feeder sets in tray / duct)</t>
        </is>
      </c>
      <c r="K5238" s="12" t="inlineStr">
        <is>
          <t>LV1C|1/C|600</t>
        </is>
      </c>
      <c r="L5238" s="12" t="inlineStr">
        <is>
          <t>1/C</t>
        </is>
      </c>
      <c r="M5238" s="12" t="inlineStr">
        <is>
          <t>600 kcmil</t>
        </is>
      </c>
      <c r="N5238" s="12" t="n">
        <v>8</v>
      </c>
      <c r="O5238" s="12" t="n">
        <v>4</v>
      </c>
      <c r="P5238" s="12" t="n">
        <v>480</v>
      </c>
      <c r="Q5238" s="12" t="n">
        <v>2500</v>
      </c>
      <c r="R5238" s="12" t="n">
        <v>3007</v>
      </c>
      <c r="S5238" s="12" t="inlineStr">
        <is>
          <t>Riser</t>
        </is>
      </c>
      <c r="T5238" s="15" t="n">
        <v>2</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8 sets of 4 x 1/C (or bus duct, TO VERIFY)</t>
        </is>
      </c>
      <c r="AA5238" s="12">
        <f>N5238*O5238</f>
        <v/>
      </c>
    </row>
    <row r="5239">
      <c r="A5239" s="12" t="inlineStr">
        <is>
          <t>I-P-0075</t>
        </is>
      </c>
      <c r="B5239" s="12" t="inlineStr">
        <is>
          <t>I</t>
        </is>
      </c>
      <c r="C5239" s="12" t="inlineStr">
        <is>
          <t>Modular / portable power</t>
        </is>
      </c>
      <c r="D5239" s="12" t="inlineStr">
        <is>
          <t>LV power feeder</t>
        </is>
      </c>
      <c r="E5239" s="12" t="inlineStr"/>
      <c r="F5239" s="12" t="inlineStr">
        <is>
          <t>PCM: power control module</t>
        </is>
      </c>
      <c r="G5239" s="12" t="inlineStr"/>
      <c r="H5239" s="12" t="inlineStr">
        <is>
          <t>Gas conditioning skid</t>
        </is>
      </c>
      <c r="I5239" s="12" t="inlineStr">
        <is>
          <t>LV 600 V</t>
        </is>
      </c>
      <c r="J5239" s="12" t="inlineStr">
        <is>
          <t>ARMOR-X MC-HL 600 V 3/C Cu XHHW-2 + ground, CWA, black PVC (Class I Div 2)</t>
        </is>
      </c>
      <c r="K5239" s="12" t="inlineStr">
        <is>
          <t>LVAX|3/C+G|4</t>
        </is>
      </c>
      <c r="L5239" s="12" t="inlineStr">
        <is>
          <t>3/C+G</t>
        </is>
      </c>
      <c r="M5239" s="12" t="inlineStr">
        <is>
          <t>4</t>
        </is>
      </c>
      <c r="N5239" s="12" t="n">
        <v>1</v>
      </c>
      <c r="O5239" s="12" t="n">
        <v>1</v>
      </c>
      <c r="P5239" s="12" t="n">
        <v>480</v>
      </c>
      <c r="Q5239" s="12" t="n">
        <v>30</v>
      </c>
      <c r="R5239" s="12" t="n">
        <v>42.5</v>
      </c>
      <c r="S5239" s="12" t="inlineStr">
        <is>
          <t>Duct bank</t>
        </is>
      </c>
      <c r="T5239" s="15" t="n">
        <v>258</v>
      </c>
      <c r="U5239" s="15" t="n">
        <v>172</v>
      </c>
      <c r="V5239" s="15">
        <f>ROUNDUP((T5239+U5239+2*'Read Me'!$B$13)*(1+'Read Me'!$B$12),-1)</f>
        <v/>
      </c>
      <c r="W5239" s="15">
        <f>V5239*N5239*O5239</f>
        <v/>
      </c>
      <c r="X5239" s="12">
        <f>IF(LEFT(I5239,2)="MV",2*N5239*IF(L5239="1/C",O5239,1),0)</f>
        <v/>
      </c>
      <c r="Y5239" s="12">
        <f>IF(OR(LEFT(K5239,4)="LVAX",LEFT(K5239,6)="MV15AX",LEFT(K5239,4)="CTAX",LEFT(K5239,2)="W|"),2*N5239*O5239,0)</f>
        <v/>
      </c>
      <c r="Z5239" s="12" t="inlineStr">
        <is>
          <t>VD 2.2 %</t>
        </is>
      </c>
      <c r="AA5239" s="12">
        <f>N5239*O5239</f>
        <v/>
      </c>
    </row>
    <row r="5240">
      <c r="A5240" s="12" t="inlineStr">
        <is>
          <t>I-P-0076</t>
        </is>
      </c>
      <c r="B5240" s="12" t="inlineStr">
        <is>
          <t>I</t>
        </is>
      </c>
      <c r="C5240" s="12" t="inlineStr">
        <is>
          <t>Modular / portable power</t>
        </is>
      </c>
      <c r="D5240" s="12" t="inlineStr">
        <is>
          <t>IG-1 package auxiliaries 480 V (from the unit auxiliary transformer in the control module)</t>
        </is>
      </c>
      <c r="E5240" s="12" t="inlineStr">
        <is>
          <t>IG-1</t>
        </is>
      </c>
      <c r="F5240" s="12" t="inlineStr">
        <is>
          <t>IG-1: industrial gas-turbine installation, SGT-800 / H-25 class (~50 M</t>
        </is>
      </c>
      <c r="G5240" s="12" t="inlineStr">
        <is>
          <t>IG-1</t>
        </is>
      </c>
      <c r="H5240" s="12" t="inlineStr">
        <is>
          <t>IG-1: industrial gas-turbine installation, SGT-800 / H-25 class (~50 M</t>
        </is>
      </c>
      <c r="I5240" s="12" t="inlineStr">
        <is>
          <t>LV 600 V</t>
        </is>
      </c>
      <c r="J5240" s="12" t="inlineStr">
        <is>
          <t>Type TC-ER 600 V 3/C Cu XHHW-2 + ground, PVC jacket</t>
        </is>
      </c>
      <c r="K5240" s="12" t="inlineStr">
        <is>
          <t>LV|3/C+G|500</t>
        </is>
      </c>
      <c r="L5240" s="12" t="inlineStr">
        <is>
          <t>3/C+G</t>
        </is>
      </c>
      <c r="M5240" s="12" t="inlineStr">
        <is>
          <t>500 kcmil</t>
        </is>
      </c>
      <c r="N5240" s="12" t="n">
        <v>2</v>
      </c>
      <c r="O5240" s="12" t="n">
        <v>1</v>
      </c>
      <c r="P5240" s="12" t="n">
        <v>480</v>
      </c>
      <c r="Q5240" s="12" t="n">
        <v>400</v>
      </c>
      <c r="R5240" s="12" t="n">
        <v>510</v>
      </c>
      <c r="S5240" s="12" t="inlineStr">
        <is>
          <t>Tray</t>
        </is>
      </c>
      <c r="T5240" s="15" t="n">
        <v>120</v>
      </c>
      <c r="U5240" s="15" t="n">
        <v>10</v>
      </c>
      <c r="V5240" s="15">
        <f>ROUNDUP((T5240+U5240+2*'Read Me'!$B$13)*(1+'Read Me'!$B$12),-1)</f>
        <v/>
      </c>
      <c r="W5240" s="15">
        <f>V5240*N5240*O5240</f>
        <v/>
      </c>
      <c r="X5240" s="12">
        <f>IF(LEFT(I5240,2)="MV",2*N5240*IF(L5240="1/C",O5240,1),0)</f>
        <v/>
      </c>
      <c r="Y5240" s="12">
        <f>IF(OR(LEFT(K5240,4)="LVAX",LEFT(K5240,6)="MV15AX",LEFT(K5240,4)="CTAX",LEFT(K5240,2)="W|"),2*N5240*O5240,0)</f>
        <v/>
      </c>
      <c r="Z5240" s="12" t="inlineStr">
        <is>
          <t>internal to the package</t>
        </is>
      </c>
      <c r="AA5240" s="12">
        <f>N5240*O5240</f>
        <v/>
      </c>
    </row>
    <row r="5241">
      <c r="A5241" s="12" t="inlineStr">
        <is>
          <t>I-P-0077</t>
        </is>
      </c>
      <c r="B5241" s="12" t="inlineStr">
        <is>
          <t>I</t>
        </is>
      </c>
      <c r="C5241" s="12" t="inlineStr">
        <is>
          <t>Modular / portable power</t>
        </is>
      </c>
      <c r="D5241" s="12" t="inlineStr">
        <is>
          <t>LGN-1 DC output to the inverter</t>
        </is>
      </c>
      <c r="E5241" s="12" t="inlineStr">
        <is>
          <t>LGN-1</t>
        </is>
      </c>
      <c r="F5241" s="12" t="inlineStr">
        <is>
          <t>LGN-1: linear generator ~250 kW (gas, no combustion engine), DC out</t>
        </is>
      </c>
      <c r="G5241" s="12" t="inlineStr">
        <is>
          <t>LGN-INV</t>
        </is>
      </c>
      <c r="H5241" s="12" t="inlineStr">
        <is>
          <t>LGN-INV: linear generator inverter / AC cabinet (480 V)</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2</v>
      </c>
      <c r="P5241" s="12" t="n">
        <v>800</v>
      </c>
      <c r="Q5241" s="12" t="n">
        <v>250</v>
      </c>
      <c r="R5241" s="12" t="n">
        <v>320</v>
      </c>
      <c r="S5241" s="12" t="inlineStr">
        <is>
          <t>Surface</t>
        </is>
      </c>
      <c r="T5241" s="15" t="n">
        <v>71</v>
      </c>
      <c r="U5241" s="15" t="n">
        <v>27</v>
      </c>
      <c r="V5241" s="15">
        <f>ROUNDUP((T5241+U5241+2*'Read Me'!$B$13)*(1+'Read Me'!$B$12),-1)</f>
        <v/>
      </c>
      <c r="W5241" s="15">
        <f>V5241*N5241*O5241</f>
        <v/>
      </c>
      <c r="X5241" s="12">
        <f>IF(LEFT(I5241,2)="MV",2*N5241*IF(L5241="1/C",O5241,1),0)</f>
        <v/>
      </c>
      <c r="Y5241" s="12">
        <f>IF(OR(LEFT(K5241,4)="LVAX",LEFT(K5241,6)="MV15AX",LEFT(K5241,4)="CTAX",LEFT(K5241,2)="W|"),2*N5241*O5241,0)</f>
        <v/>
      </c>
      <c r="Z5241" s="12" t="inlineStr">
        <is>
          <t>DC, 2 sets of 2 x 1/C</t>
        </is>
      </c>
      <c r="AA5241" s="12">
        <f>N5241*O5241</f>
        <v/>
      </c>
    </row>
    <row r="5242">
      <c r="A5242" s="12" t="inlineStr">
        <is>
          <t>I-P-0078</t>
        </is>
      </c>
      <c r="B5242" s="12" t="inlineStr">
        <is>
          <t>I</t>
        </is>
      </c>
      <c r="C5242" s="12" t="inlineStr">
        <is>
          <t>Modular / portable power</t>
        </is>
      </c>
      <c r="D5242" s="12" t="inlineStr">
        <is>
          <t>LGN-2 DC output to the inverter</t>
        </is>
      </c>
      <c r="E5242" s="12" t="inlineStr">
        <is>
          <t>LGN-2</t>
        </is>
      </c>
      <c r="F5242" s="12" t="inlineStr">
        <is>
          <t>LGN-2: linear generator ~250 kW (gas, no combustion engine), DC out</t>
        </is>
      </c>
      <c r="G5242" s="12" t="inlineStr">
        <is>
          <t>LGN-INV</t>
        </is>
      </c>
      <c r="H5242" s="12" t="inlineStr">
        <is>
          <t>LGN-INV: linear generator inverter / AC cabinet (480 V)</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2</v>
      </c>
      <c r="P5242" s="12" t="n">
        <v>800</v>
      </c>
      <c r="Q5242" s="12" t="n">
        <v>250</v>
      </c>
      <c r="R5242" s="12" t="n">
        <v>320</v>
      </c>
      <c r="S5242" s="12" t="inlineStr">
        <is>
          <t>Surface</t>
        </is>
      </c>
      <c r="T5242" s="15" t="n">
        <v>57</v>
      </c>
      <c r="U5242" s="15" t="n">
        <v>27</v>
      </c>
      <c r="V5242" s="15">
        <f>ROUNDUP((T5242+U5242+2*'Read Me'!$B$13)*(1+'Read Me'!$B$12),-1)</f>
        <v/>
      </c>
      <c r="W5242" s="15">
        <f>V5242*N5242*O5242</f>
        <v/>
      </c>
      <c r="X5242" s="12">
        <f>IF(LEFT(I5242,2)="MV",2*N5242*IF(L5242="1/C",O5242,1),0)</f>
        <v/>
      </c>
      <c r="Y5242" s="12">
        <f>IF(OR(LEFT(K5242,4)="LVAX",LEFT(K5242,6)="MV15AX",LEFT(K5242,4)="CTAX",LEFT(K5242,2)="W|"),2*N5242*O5242,0)</f>
        <v/>
      </c>
      <c r="Z5242" s="12" t="inlineStr">
        <is>
          <t>DC, 2 sets of 2 x 1/C</t>
        </is>
      </c>
      <c r="AA5242" s="12">
        <f>N5242*O5242</f>
        <v/>
      </c>
    </row>
    <row r="5243">
      <c r="A5243" s="12" t="inlineStr">
        <is>
          <t>I-P-0079</t>
        </is>
      </c>
      <c r="B5243" s="12" t="inlineStr">
        <is>
          <t>I</t>
        </is>
      </c>
      <c r="C5243" s="12" t="inlineStr">
        <is>
          <t>Modular / portable power</t>
        </is>
      </c>
      <c r="D5243" s="12" t="inlineStr">
        <is>
          <t>LGN-3 DC output to the inverter</t>
        </is>
      </c>
      <c r="E5243" s="12" t="inlineStr">
        <is>
          <t>LGN-3</t>
        </is>
      </c>
      <c r="F5243" s="12" t="inlineStr">
        <is>
          <t>LGN-3: linear generator ~250 kW (gas, no combustion engine), DC out</t>
        </is>
      </c>
      <c r="G5243" s="12" t="inlineStr">
        <is>
          <t>LGN-INV</t>
        </is>
      </c>
      <c r="H5243" s="12" t="inlineStr">
        <is>
          <t>LGN-INV: linear generator inverter / AC cabinet (480 V)</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2</v>
      </c>
      <c r="P5243" s="12" t="n">
        <v>800</v>
      </c>
      <c r="Q5243" s="12" t="n">
        <v>250</v>
      </c>
      <c r="R5243" s="12" t="n">
        <v>320</v>
      </c>
      <c r="S5243" s="12" t="inlineStr">
        <is>
          <t>Surface</t>
        </is>
      </c>
      <c r="T5243" s="15" t="n">
        <v>41</v>
      </c>
      <c r="U5243" s="15" t="n">
        <v>27</v>
      </c>
      <c r="V5243" s="15">
        <f>ROUNDUP((T5243+U5243+2*'Read Me'!$B$13)*(1+'Read Me'!$B$12),-1)</f>
        <v/>
      </c>
      <c r="W5243" s="15">
        <f>V5243*N5243*O5243</f>
        <v/>
      </c>
      <c r="X5243" s="12">
        <f>IF(LEFT(I5243,2)="MV",2*N5243*IF(L5243="1/C",O5243,1),0)</f>
        <v/>
      </c>
      <c r="Y5243" s="12">
        <f>IF(OR(LEFT(K5243,4)="LVAX",LEFT(K5243,6)="MV15AX",LEFT(K5243,4)="CTAX",LEFT(K5243,2)="W|"),2*N5243*O5243,0)</f>
        <v/>
      </c>
      <c r="Z5243" s="12" t="inlineStr">
        <is>
          <t>DC, 2 sets of 2 x 1/C</t>
        </is>
      </c>
      <c r="AA5243" s="12">
        <f>N5243*O5243</f>
        <v/>
      </c>
    </row>
    <row r="5244">
      <c r="A5244" s="12" t="inlineStr">
        <is>
          <t>I-P-0080</t>
        </is>
      </c>
      <c r="B5244" s="12" t="inlineStr">
        <is>
          <t>I</t>
        </is>
      </c>
      <c r="C5244" s="12" t="inlineStr">
        <is>
          <t>Modular / portable power</t>
        </is>
      </c>
      <c r="D5244" s="12" t="inlineStr">
        <is>
          <t>LGN-4 DC output to the inverter</t>
        </is>
      </c>
      <c r="E5244" s="12" t="inlineStr">
        <is>
          <t>LGN-4</t>
        </is>
      </c>
      <c r="F5244" s="12" t="inlineStr">
        <is>
          <t>LGN-4: linear generator ~250 kW (gas, no combustion engine), DC out</t>
        </is>
      </c>
      <c r="G5244" s="12" t="inlineStr">
        <is>
          <t>LGN-INV</t>
        </is>
      </c>
      <c r="H5244" s="12" t="inlineStr">
        <is>
          <t>LGN-INV: linear generator inverter / AC cabinet (480 V)</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2</v>
      </c>
      <c r="P5244" s="12" t="n">
        <v>800</v>
      </c>
      <c r="Q5244" s="12" t="n">
        <v>250</v>
      </c>
      <c r="R5244" s="12" t="n">
        <v>320</v>
      </c>
      <c r="S5244" s="12" t="inlineStr">
        <is>
          <t>Surface</t>
        </is>
      </c>
      <c r="T5244" s="15" t="n">
        <v>33</v>
      </c>
      <c r="U5244" s="15" t="n">
        <v>27</v>
      </c>
      <c r="V5244" s="15">
        <f>ROUNDUP((T5244+U5244+2*'Read Me'!$B$13)*(1+'Read Me'!$B$12),-1)</f>
        <v/>
      </c>
      <c r="W5244" s="15">
        <f>V5244*N5244*O5244</f>
        <v/>
      </c>
      <c r="X5244" s="12">
        <f>IF(LEFT(I5244,2)="MV",2*N5244*IF(L5244="1/C",O5244,1),0)</f>
        <v/>
      </c>
      <c r="Y5244" s="12">
        <f>IF(OR(LEFT(K5244,4)="LVAX",LEFT(K5244,6)="MV15AX",LEFT(K5244,4)="CTAX",LEFT(K5244,2)="W|"),2*N5244*O5244,0)</f>
        <v/>
      </c>
      <c r="Z5244" s="12" t="inlineStr">
        <is>
          <t>DC, 2 sets of 2 x 1/C</t>
        </is>
      </c>
      <c r="AA5244" s="12">
        <f>N5244*O5244</f>
        <v/>
      </c>
    </row>
    <row r="5245">
      <c r="A5245" s="12" t="inlineStr">
        <is>
          <t>I-P-0081</t>
        </is>
      </c>
      <c r="B5245" s="12" t="inlineStr">
        <is>
          <t>I</t>
        </is>
      </c>
      <c r="C5245" s="12" t="inlineStr">
        <is>
          <t>Modular / portable power</t>
        </is>
      </c>
      <c r="D5245" s="12" t="inlineStr">
        <is>
          <t>LV panel / distribution feeder</t>
        </is>
      </c>
      <c r="E5245" s="12" t="inlineStr"/>
      <c r="F5245" s="12" t="inlineStr">
        <is>
          <t>PCM: power control module</t>
        </is>
      </c>
      <c r="G5245" s="12" t="inlineStr"/>
      <c r="H5245" s="12" t="inlineStr">
        <is>
          <t>Lube oil / starting air / oily water building</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79</v>
      </c>
      <c r="R5245" s="12" t="n">
        <v>111.8</v>
      </c>
      <c r="S5245" s="12" t="inlineStr">
        <is>
          <t>Duct bank</t>
        </is>
      </c>
      <c r="T5245" s="15" t="n">
        <v>344</v>
      </c>
      <c r="U5245" s="15" t="n">
        <v>164</v>
      </c>
      <c r="V5245" s="15">
        <f>ROUNDUP((T5245+U5245+2*'Read Me'!$B$13)*(1+'Read Me'!$B$12),-1)</f>
        <v/>
      </c>
      <c r="W5245" s="15">
        <f>V5245*N5245*O5245</f>
        <v/>
      </c>
      <c r="X5245" s="12">
        <f>IF(LEFT(I5245,2)="MV",2*N5245*IF(L5245="1/C",O5245,1),0)</f>
        <v/>
      </c>
      <c r="Y5245" s="12">
        <f>IF(OR(LEFT(K5245,4)="LVAX",LEFT(K5245,6)="MV15AX",LEFT(K5245,4)="CTAX",LEFT(K5245,2)="W|"),2*N5245*O5245,0)</f>
        <v/>
      </c>
      <c r="Z5245" s="12" t="inlineStr">
        <is>
          <t>VD 2.8 %</t>
        </is>
      </c>
      <c r="AA5245" s="12">
        <f>N5245*O5245</f>
        <v/>
      </c>
    </row>
    <row r="5246">
      <c r="A5246" s="12" t="inlineStr">
        <is>
          <t>I-P-0082</t>
        </is>
      </c>
      <c r="B5246" s="12" t="inlineStr">
        <is>
          <t>I</t>
        </is>
      </c>
      <c r="C5246" s="12" t="inlineStr">
        <is>
          <t>Modular / portable power</t>
        </is>
      </c>
      <c r="D5246" s="12" t="inlineStr">
        <is>
          <t>LV panel / distribution feeder</t>
        </is>
      </c>
      <c r="E5246" s="12" t="inlineStr"/>
      <c r="F5246" s="12" t="inlineStr">
        <is>
          <t>MOD-LV 480 V board + 480 V : 13.8 kV step-up</t>
        </is>
      </c>
      <c r="G5246" s="12" t="inlineStr">
        <is>
          <t>MOD-EH</t>
        </is>
      </c>
      <c r="H5246" s="12" t="inlineStr">
        <is>
          <t>MOD-EH: 34.5 kV modular collector e-house (2 bus sections + 13.8 kV st</t>
        </is>
      </c>
      <c r="I5246" s="12" t="inlineStr">
        <is>
          <t>LV 600 V</t>
        </is>
      </c>
      <c r="J5246" s="12" t="inlineStr">
        <is>
          <t>Type TC-ER 600 V 3/C Cu XHHW-2 + ground, PVC jacket</t>
        </is>
      </c>
      <c r="K5246" s="12" t="inlineStr">
        <is>
          <t>LV|3/C+G|4</t>
        </is>
      </c>
      <c r="L5246" s="12" t="inlineStr">
        <is>
          <t>3/C+G</t>
        </is>
      </c>
      <c r="M5246" s="12" t="inlineStr">
        <is>
          <t>4</t>
        </is>
      </c>
      <c r="N5246" s="12" t="n">
        <v>1</v>
      </c>
      <c r="O5246" s="12" t="n">
        <v>1</v>
      </c>
      <c r="P5246" s="12" t="n">
        <v>480</v>
      </c>
      <c r="Q5246" s="12" t="n">
        <v>30</v>
      </c>
      <c r="R5246" s="12" t="n">
        <v>42.5</v>
      </c>
      <c r="S5246" s="12" t="inlineStr">
        <is>
          <t>Duct bank</t>
        </is>
      </c>
      <c r="T5246" s="15" t="n">
        <v>538</v>
      </c>
      <c r="U5246" s="15" t="n">
        <v>32</v>
      </c>
      <c r="V5246" s="15">
        <f>ROUNDUP((T5246+U5246+2*'Read Me'!$B$13)*(1+'Read Me'!$B$12),-1)</f>
        <v/>
      </c>
      <c r="W5246" s="15">
        <f>V5246*N5246*O5246</f>
        <v/>
      </c>
      <c r="X5246" s="12">
        <f>IF(LEFT(I5246,2)="MV",2*N5246*IF(L5246="1/C",O5246,1),0)</f>
        <v/>
      </c>
      <c r="Y5246" s="12">
        <f>IF(OR(LEFT(K5246,4)="LVAX",LEFT(K5246,6)="MV15AX",LEFT(K5246,4)="CTAX",LEFT(K5246,2)="W|"),2*N5246*O5246,0)</f>
        <v/>
      </c>
      <c r="Z5246" s="12" t="inlineStr">
        <is>
          <t>VD 3.0 %</t>
        </is>
      </c>
      <c r="AA5246" s="12">
        <f>N5246*O5246</f>
        <v/>
      </c>
    </row>
    <row r="5247">
      <c r="A5247" s="12" t="inlineStr">
        <is>
          <t>I-P-0083</t>
        </is>
      </c>
      <c r="B5247" s="12" t="inlineStr">
        <is>
          <t>I</t>
        </is>
      </c>
      <c r="C5247" s="12" t="inlineStr">
        <is>
          <t>Modular / portable power</t>
        </is>
      </c>
      <c r="D5247" s="12" t="inlineStr">
        <is>
          <t>MT-4 microturbine output to the site switchboard</t>
        </is>
      </c>
      <c r="E5247" s="12" t="inlineStr">
        <is>
          <t>MT-4</t>
        </is>
      </c>
      <c r="F5247" s="12" t="inlineStr">
        <is>
          <t>MT-4: microturbine 1 MW (1 MW package class)</t>
        </is>
      </c>
      <c r="G5247" s="12" t="inlineStr"/>
      <c r="H5247" s="12" t="inlineStr">
        <is>
          <t>MT-4..6 480 V switchboard</t>
        </is>
      </c>
      <c r="I5247" s="12" t="inlineStr">
        <is>
          <t>LV 600 V</t>
        </is>
      </c>
      <c r="J5247" s="12" t="inlineStr">
        <is>
          <t>Type TC-ER 600 V 3/C Cu XHHW-2 + ground, PVC jacket</t>
        </is>
      </c>
      <c r="K5247" s="12" t="inlineStr">
        <is>
          <t>LV|3/C+G|350</t>
        </is>
      </c>
      <c r="L5247" s="12" t="inlineStr">
        <is>
          <t>3/C+G</t>
        </is>
      </c>
      <c r="M5247" s="12" t="inlineStr">
        <is>
          <t>350 kcmil</t>
        </is>
      </c>
      <c r="N5247" s="12" t="n">
        <v>6</v>
      </c>
      <c r="O5247" s="12" t="n">
        <v>1</v>
      </c>
      <c r="P5247" s="12" t="n">
        <v>480</v>
      </c>
      <c r="Q5247" s="12" t="n">
        <v>1000</v>
      </c>
      <c r="R5247" s="12" t="n">
        <v>1266.2</v>
      </c>
      <c r="S5247" s="12" t="inlineStr">
        <is>
          <t>Duct bank</t>
        </is>
      </c>
      <c r="T5247" s="15" t="n">
        <v>56</v>
      </c>
      <c r="U5247" s="15" t="n">
        <v>32</v>
      </c>
      <c r="V5247" s="15">
        <f>ROUNDUP((T5247+U5247+2*'Read Me'!$B$13)*(1+'Read Me'!$B$12),-1)</f>
        <v/>
      </c>
      <c r="W5247" s="15">
        <f>V5247*N5247*O5247</f>
        <v/>
      </c>
      <c r="X5247" s="12">
        <f>IF(LEFT(I5247,2)="MV",2*N5247*IF(L5247="1/C",O5247,1),0)</f>
        <v/>
      </c>
      <c r="Y5247" s="12">
        <f>IF(OR(LEFT(K5247,4)="LVAX",LEFT(K5247,6)="MV15AX",LEFT(K5247,4)="CTAX",LEFT(K5247,2)="W|"),2*N5247*O5247,0)</f>
        <v/>
      </c>
      <c r="Z5247" s="12" t="inlineStr">
        <is>
          <t>VD 0.3 %</t>
        </is>
      </c>
      <c r="AA5247" s="12">
        <f>N5247*O5247</f>
        <v/>
      </c>
    </row>
    <row r="5248">
      <c r="A5248" s="12" t="inlineStr">
        <is>
          <t>I-P-0084</t>
        </is>
      </c>
      <c r="B5248" s="12" t="inlineStr">
        <is>
          <t>I</t>
        </is>
      </c>
      <c r="C5248" s="12" t="inlineStr">
        <is>
          <t>Modular / portable power</t>
        </is>
      </c>
      <c r="D5248" s="12" t="inlineStr">
        <is>
          <t>MT-5 microturbine output to the site switchboard</t>
        </is>
      </c>
      <c r="E5248" s="12" t="inlineStr">
        <is>
          <t>MT-5</t>
        </is>
      </c>
      <c r="F5248" s="12" t="inlineStr">
        <is>
          <t>MT-5: microturbine 1 MW (1 MW package class)</t>
        </is>
      </c>
      <c r="G5248" s="12" t="inlineStr"/>
      <c r="H5248" s="12" t="inlineStr">
        <is>
          <t>MT-4..6 480 V switchboard</t>
        </is>
      </c>
      <c r="I5248" s="12" t="inlineStr">
        <is>
          <t>LV 600 V</t>
        </is>
      </c>
      <c r="J5248" s="12" t="inlineStr">
        <is>
          <t>Type TC-ER 600 V 3/C Cu XHHW-2 + ground, PVC jacket</t>
        </is>
      </c>
      <c r="K5248" s="12" t="inlineStr">
        <is>
          <t>LV|3/C+G|350</t>
        </is>
      </c>
      <c r="L5248" s="12" t="inlineStr">
        <is>
          <t>3/C+G</t>
        </is>
      </c>
      <c r="M5248" s="12" t="inlineStr">
        <is>
          <t>350 kcmil</t>
        </is>
      </c>
      <c r="N5248" s="12" t="n">
        <v>6</v>
      </c>
      <c r="O5248" s="12" t="n">
        <v>1</v>
      </c>
      <c r="P5248" s="12" t="n">
        <v>480</v>
      </c>
      <c r="Q5248" s="12" t="n">
        <v>1000</v>
      </c>
      <c r="R5248" s="12" t="n">
        <v>1266.2</v>
      </c>
      <c r="S5248" s="12" t="inlineStr">
        <is>
          <t>Duct bank</t>
        </is>
      </c>
      <c r="T5248" s="15" t="n">
        <v>42</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I-P-0085</t>
        </is>
      </c>
      <c r="B5249" s="12" t="inlineStr">
        <is>
          <t>I</t>
        </is>
      </c>
      <c r="C5249" s="12" t="inlineStr">
        <is>
          <t>Modular / portable power</t>
        </is>
      </c>
      <c r="D5249" s="12" t="inlineStr">
        <is>
          <t>MT-6 microturbine output to the site switchboard</t>
        </is>
      </c>
      <c r="E5249" s="12" t="inlineStr">
        <is>
          <t>MT-6</t>
        </is>
      </c>
      <c r="F5249" s="12" t="inlineStr">
        <is>
          <t>MT-6: microturbine 1 MW (1 MW package class)</t>
        </is>
      </c>
      <c r="G5249" s="12" t="inlineStr"/>
      <c r="H5249" s="12" t="inlineStr">
        <is>
          <t>MT-4..6 480 V switchboard</t>
        </is>
      </c>
      <c r="I5249" s="12" t="inlineStr">
        <is>
          <t>LV 600 V</t>
        </is>
      </c>
      <c r="J5249" s="12" t="inlineStr">
        <is>
          <t>Type TC-ER 600 V 3/C Cu XHHW-2 + ground, PVC jacket</t>
        </is>
      </c>
      <c r="K5249" s="12" t="inlineStr">
        <is>
          <t>LV|3/C+G|350</t>
        </is>
      </c>
      <c r="L5249" s="12" t="inlineStr">
        <is>
          <t>3/C+G</t>
        </is>
      </c>
      <c r="M5249" s="12" t="inlineStr">
        <is>
          <t>350 kcmil</t>
        </is>
      </c>
      <c r="N5249" s="12" t="n">
        <v>6</v>
      </c>
      <c r="O5249" s="12" t="n">
        <v>1</v>
      </c>
      <c r="P5249" s="12" t="n">
        <v>480</v>
      </c>
      <c r="Q5249" s="12" t="n">
        <v>1000</v>
      </c>
      <c r="R5249" s="12" t="n">
        <v>1266.2</v>
      </c>
      <c r="S5249" s="12" t="inlineStr">
        <is>
          <t>Tray</t>
        </is>
      </c>
      <c r="T5249" s="15" t="n">
        <v>6</v>
      </c>
      <c r="U5249" s="15" t="n">
        <v>37</v>
      </c>
      <c r="V5249" s="15">
        <f>ROUNDUP((T5249+U5249+2*'Read Me'!$B$13)*(1+'Read Me'!$B$12),-1)</f>
        <v/>
      </c>
      <c r="W5249" s="15">
        <f>V5249*N5249*O5249</f>
        <v/>
      </c>
      <c r="X5249" s="12">
        <f>IF(LEFT(I5249,2)="MV",2*N5249*IF(L5249="1/C",O5249,1),0)</f>
        <v/>
      </c>
      <c r="Y5249" s="12">
        <f>IF(OR(LEFT(K5249,4)="LVAX",LEFT(K5249,6)="MV15AX",LEFT(K5249,4)="CTAX",LEFT(K5249,2)="W|"),2*N5249*O5249,0)</f>
        <v/>
      </c>
      <c r="Z5249" s="12" t="inlineStr">
        <is>
          <t>VD 0.1 %</t>
        </is>
      </c>
      <c r="AA5249" s="12">
        <f>N5249*O5249</f>
        <v/>
      </c>
    </row>
    <row r="5250">
      <c r="A5250" s="12" t="inlineStr">
        <is>
          <t>I-P-0086</t>
        </is>
      </c>
      <c r="B5250" s="12" t="inlineStr">
        <is>
          <t>I</t>
        </is>
      </c>
      <c r="C5250" s="12" t="inlineStr">
        <is>
          <t>Modular / portable power</t>
        </is>
      </c>
      <c r="D5250" s="12" t="inlineStr">
        <is>
          <t>Microturbine site switchboard to MT-TX 480 V secondary</t>
        </is>
      </c>
      <c r="E5250" s="12" t="inlineStr"/>
      <c r="F5250" s="12" t="inlineStr">
        <is>
          <t>MT-4..6 480 V switchboard</t>
        </is>
      </c>
      <c r="G5250" s="12" t="inlineStr">
        <is>
          <t>MT-TX</t>
        </is>
      </c>
      <c r="H5250" s="12" t="inlineStr">
        <is>
          <t>MT-TX: 480 V : 13.8 kV, ~3.75 MVA pad-mount (microturbine site)</t>
        </is>
      </c>
      <c r="I5250" s="12" t="inlineStr">
        <is>
          <t>LV 600 V</t>
        </is>
      </c>
      <c r="J5250" s="12" t="inlineStr">
        <is>
          <t>XHHW-2 600 V 1/C Cu (feeder sets in tray / duct)</t>
        </is>
      </c>
      <c r="K5250" s="12" t="inlineStr">
        <is>
          <t>LV1C|1/C|750</t>
        </is>
      </c>
      <c r="L5250" s="12" t="inlineStr">
        <is>
          <t>1/C</t>
        </is>
      </c>
      <c r="M5250" s="12" t="inlineStr">
        <is>
          <t>750 kcmil</t>
        </is>
      </c>
      <c r="N5250" s="12" t="n">
        <v>11</v>
      </c>
      <c r="O5250" s="12" t="n">
        <v>4</v>
      </c>
      <c r="P5250" s="12" t="n">
        <v>480</v>
      </c>
      <c r="Q5250" s="12" t="n">
        <v>3000</v>
      </c>
      <c r="R5250" s="12" t="n">
        <v>3798</v>
      </c>
      <c r="S5250" s="12" t="inlineStr">
        <is>
          <t>Duct bank</t>
        </is>
      </c>
      <c r="T5250" s="15" t="n">
        <v>0</v>
      </c>
      <c r="U5250" s="15" t="n">
        <v>36</v>
      </c>
      <c r="V5250" s="15">
        <f>ROUNDUP((T5250+U5250+2*'Read Me'!$B$13)*(1+'Read Me'!$B$12),-1)</f>
        <v/>
      </c>
      <c r="W5250" s="15">
        <f>V5250*N5250*O5250</f>
        <v/>
      </c>
      <c r="X5250" s="12">
        <f>IF(LEFT(I5250,2)="MV",2*N5250*IF(L5250="1/C",O5250,1),0)</f>
        <v/>
      </c>
      <c r="Y5250" s="12">
        <f>IF(OR(LEFT(K5250,4)="LVAX",LEFT(K5250,6)="MV15AX",LEFT(K5250,4)="CTAX",LEFT(K5250,2)="W|"),2*N5250*O5250,0)</f>
        <v/>
      </c>
      <c r="Z5250" s="12" t="inlineStr">
        <is>
          <t>11 sets of 4 x 1/C, short run</t>
        </is>
      </c>
      <c r="AA5250" s="12">
        <f>N5250*O5250</f>
        <v/>
      </c>
    </row>
    <row r="5251">
      <c r="A5251" s="12" t="inlineStr">
        <is>
          <t>I-P-0087</t>
        </is>
      </c>
      <c r="B5251" s="12" t="inlineStr">
        <is>
          <t>I</t>
        </is>
      </c>
      <c r="C5251" s="12" t="inlineStr">
        <is>
          <t>Modular / portable power</t>
        </is>
      </c>
      <c r="D5251" s="12" t="inlineStr">
        <is>
          <t>MTG-1 480 V auxiliaries (lube-oil pumps, cooler fans, enclosure ventilation)</t>
        </is>
      </c>
      <c r="E5251" s="12" t="inlineStr">
        <is>
          <t>MTG-CB</t>
        </is>
      </c>
      <c r="F5251" s="12" t="inlineStr">
        <is>
          <t>MTG-CB: control and MCC building (unit controls, 480 V MCC)</t>
        </is>
      </c>
      <c r="G5251" s="12" t="inlineStr">
        <is>
          <t>MTG-1</t>
        </is>
      </c>
      <c r="H5251" s="12" t="inlineStr">
        <is>
          <t xml:space="preserve">MTG-1: mid-size industrial gas-turbine generator package ~16 MW, 13.8 </t>
        </is>
      </c>
      <c r="I5251" s="12" t="inlineStr">
        <is>
          <t>LV 600 V</t>
        </is>
      </c>
      <c r="J5251" s="12" t="inlineStr">
        <is>
          <t>Type TC-ER 600 V 3/C Cu XHHW-2 + ground, PVC jacket</t>
        </is>
      </c>
      <c r="K5251" s="12" t="inlineStr">
        <is>
          <t>LV|3/C+G|250</t>
        </is>
      </c>
      <c r="L5251" s="12" t="inlineStr">
        <is>
          <t>3/C+G</t>
        </is>
      </c>
      <c r="M5251" s="12" t="inlineStr">
        <is>
          <t>250 kcmil</t>
        </is>
      </c>
      <c r="N5251" s="12" t="n">
        <v>1</v>
      </c>
      <c r="O5251" s="12" t="n">
        <v>1</v>
      </c>
      <c r="P5251" s="12" t="n">
        <v>480</v>
      </c>
      <c r="Q5251" s="12" t="n">
        <v>120</v>
      </c>
      <c r="R5251" s="12" t="n">
        <v>170</v>
      </c>
      <c r="S5251" s="12" t="inlineStr">
        <is>
          <t>Duct bank</t>
        </is>
      </c>
      <c r="T5251" s="15" t="n">
        <v>10</v>
      </c>
      <c r="U5251" s="15" t="n">
        <v>36</v>
      </c>
      <c r="V5251" s="15">
        <f>ROUNDUP((T5251+U5251+2*'Read Me'!$B$13)*(1+'Read Me'!$B$12),-1)</f>
        <v/>
      </c>
      <c r="W5251" s="15">
        <f>V5251*N5251*O5251</f>
        <v/>
      </c>
      <c r="X5251" s="12">
        <f>IF(LEFT(I5251,2)="MV",2*N5251*IF(L5251="1/C",O5251,1),0)</f>
        <v/>
      </c>
      <c r="Y5251" s="12">
        <f>IF(OR(LEFT(K5251,4)="LVAX",LEFT(K5251,6)="MV15AX",LEFT(K5251,4)="CTAX",LEFT(K5251,2)="W|"),2*N5251*O5251,0)</f>
        <v/>
      </c>
      <c r="Z5251" s="12" t="inlineStr"/>
      <c r="AA5251" s="12">
        <f>N5251*O5251</f>
        <v/>
      </c>
    </row>
    <row r="5252">
      <c r="A5252" s="12" t="inlineStr">
        <is>
          <t>I-P-0088</t>
        </is>
      </c>
      <c r="B5252" s="12" t="inlineStr">
        <is>
          <t>I</t>
        </is>
      </c>
      <c r="C5252" s="12" t="inlineStr">
        <is>
          <t>Modular / portable power</t>
        </is>
      </c>
      <c r="D5252" s="12" t="inlineStr">
        <is>
          <t>MTG-2 480 V auxiliaries (lube-oil pumps, cooler fans, enclosure ventilation)</t>
        </is>
      </c>
      <c r="E5252" s="12" t="inlineStr">
        <is>
          <t>MTG-CB</t>
        </is>
      </c>
      <c r="F5252" s="12" t="inlineStr">
        <is>
          <t>MTG-CB: control and MCC building (unit controls, 480 V MCC)</t>
        </is>
      </c>
      <c r="G5252" s="12" t="inlineStr">
        <is>
          <t>MTG-2</t>
        </is>
      </c>
      <c r="H5252" s="12" t="inlineStr">
        <is>
          <t xml:space="preserve">MTG-2: mid-size industrial gas-turbine generator package ~16 MW, 13.8 </t>
        </is>
      </c>
      <c r="I5252" s="12" t="inlineStr">
        <is>
          <t>LV 600 V</t>
        </is>
      </c>
      <c r="J5252" s="12" t="inlineStr">
        <is>
          <t>Type TC-ER 600 V 3/C Cu XHHW-2 + ground, PVC jacket</t>
        </is>
      </c>
      <c r="K5252" s="12" t="inlineStr">
        <is>
          <t>LV|3/C+G|250</t>
        </is>
      </c>
      <c r="L5252" s="12" t="inlineStr">
        <is>
          <t>3/C+G</t>
        </is>
      </c>
      <c r="M5252" s="12" t="inlineStr">
        <is>
          <t>250 kcmil</t>
        </is>
      </c>
      <c r="N5252" s="12" t="n">
        <v>1</v>
      </c>
      <c r="O5252" s="12" t="n">
        <v>1</v>
      </c>
      <c r="P5252" s="12" t="n">
        <v>480</v>
      </c>
      <c r="Q5252" s="12" t="n">
        <v>120</v>
      </c>
      <c r="R5252" s="12" t="n">
        <v>170</v>
      </c>
      <c r="S5252" s="12" t="inlineStr">
        <is>
          <t>Duct bank</t>
        </is>
      </c>
      <c r="T5252" s="15" t="n">
        <v>43</v>
      </c>
      <c r="U5252" s="15" t="n">
        <v>37</v>
      </c>
      <c r="V5252" s="15">
        <f>ROUNDUP((T5252+U5252+2*'Read Me'!$B$13)*(1+'Read Me'!$B$12),-1)</f>
        <v/>
      </c>
      <c r="W5252" s="15">
        <f>V5252*N5252*O5252</f>
        <v/>
      </c>
      <c r="X5252" s="12">
        <f>IF(LEFT(I5252,2)="MV",2*N5252*IF(L5252="1/C",O5252,1),0)</f>
        <v/>
      </c>
      <c r="Y5252" s="12">
        <f>IF(OR(LEFT(K5252,4)="LVAX",LEFT(K5252,6)="MV15AX",LEFT(K5252,4)="CTAX",LEFT(K5252,2)="W|"),2*N5252*O5252,0)</f>
        <v/>
      </c>
      <c r="Z5252" s="12" t="inlineStr"/>
      <c r="AA5252" s="12">
        <f>N5252*O5252</f>
        <v/>
      </c>
    </row>
    <row r="5253">
      <c r="A5253" s="12" t="inlineStr">
        <is>
          <t>I-P-0089</t>
        </is>
      </c>
      <c r="B5253" s="12" t="inlineStr">
        <is>
          <t>I</t>
        </is>
      </c>
      <c r="C5253" s="12" t="inlineStr">
        <is>
          <t>Modular / portable power</t>
        </is>
      </c>
      <c r="D5253" s="12" t="inlineStr">
        <is>
          <t>MTG-CB 480 V MCC from MTG-AUX</t>
        </is>
      </c>
      <c r="E5253" s="12" t="inlineStr">
        <is>
          <t>MTG-AUX</t>
        </is>
      </c>
      <c r="F5253" s="12" t="inlineStr">
        <is>
          <t>MTG-AUX: 13.8 / 0.48 kV auxiliary transformer</t>
        </is>
      </c>
      <c r="G5253" s="12" t="inlineStr">
        <is>
          <t>MTG-CB</t>
        </is>
      </c>
      <c r="H5253" s="12" t="inlineStr">
        <is>
          <t>MTG-CB: control and MCC building (unit controls, 480 V MCC)</t>
        </is>
      </c>
      <c r="I5253" s="12" t="inlineStr">
        <is>
          <t>LV 600 V</t>
        </is>
      </c>
      <c r="J5253" s="12" t="inlineStr">
        <is>
          <t>Type TC-ER 600 V 3/C Cu XHHW-2 + ground, PVC jacket</t>
        </is>
      </c>
      <c r="K5253" s="12" t="inlineStr">
        <is>
          <t>LV|3/C+G|500</t>
        </is>
      </c>
      <c r="L5253" s="12" t="inlineStr">
        <is>
          <t>3/C+G</t>
        </is>
      </c>
      <c r="M5253" s="12" t="inlineStr">
        <is>
          <t>500 kcmil</t>
        </is>
      </c>
      <c r="N5253" s="12" t="n">
        <v>3</v>
      </c>
      <c r="O5253" s="12" t="n">
        <v>1</v>
      </c>
      <c r="P5253" s="12" t="n">
        <v>480</v>
      </c>
      <c r="Q5253" s="12" t="n">
        <v>600</v>
      </c>
      <c r="R5253" s="12" t="n">
        <v>759.7</v>
      </c>
      <c r="S5253" s="12" t="inlineStr">
        <is>
          <t>Duct bank</t>
        </is>
      </c>
      <c r="T5253" s="15" t="n">
        <v>58</v>
      </c>
      <c r="U5253" s="15" t="n">
        <v>32</v>
      </c>
      <c r="V5253" s="15">
        <f>ROUNDUP((T5253+U5253+2*'Read Me'!$B$13)*(1+'Read Me'!$B$12),-1)</f>
        <v/>
      </c>
      <c r="W5253" s="15">
        <f>V5253*N5253*O5253</f>
        <v/>
      </c>
      <c r="X5253" s="12">
        <f>IF(LEFT(I5253,2)="MV",2*N5253*IF(L5253="1/C",O5253,1),0)</f>
        <v/>
      </c>
      <c r="Y5253" s="12">
        <f>IF(OR(LEFT(K5253,4)="LVAX",LEFT(K5253,6)="MV15AX",LEFT(K5253,4)="CTAX",LEFT(K5253,2)="W|"),2*N5253*O5253,0)</f>
        <v/>
      </c>
      <c r="Z5253" s="12" t="inlineStr">
        <is>
          <t>VD 0.2 %</t>
        </is>
      </c>
      <c r="AA5253" s="12">
        <f>N5253*O5253</f>
        <v/>
      </c>
    </row>
    <row r="5254">
      <c r="A5254" s="12" t="inlineStr">
        <is>
          <t>I-P-0090</t>
        </is>
      </c>
      <c r="B5254" s="12" t="inlineStr">
        <is>
          <t>I</t>
        </is>
      </c>
      <c r="C5254" s="12" t="inlineStr">
        <is>
          <t>Modular / portable power</t>
        </is>
      </c>
      <c r="D5254" s="12" t="inlineStr">
        <is>
          <t>MTG-FG gas heater and skid power (Class I Div 2)</t>
        </is>
      </c>
      <c r="E5254" s="12" t="inlineStr">
        <is>
          <t>MTG-CB</t>
        </is>
      </c>
      <c r="F5254" s="12" t="inlineStr">
        <is>
          <t>MTG-CB: control and MCC building (unit controls, 480 V MCC)</t>
        </is>
      </c>
      <c r="G5254" s="12" t="inlineStr">
        <is>
          <t>MTG-FG</t>
        </is>
      </c>
      <c r="H5254" s="12" t="inlineStr">
        <is>
          <t>MTG-FG: fuel-gas conditioning skid (scrubber, filter-separator, heater</t>
        </is>
      </c>
      <c r="I5254" s="12" t="inlineStr">
        <is>
          <t>LV 600 V</t>
        </is>
      </c>
      <c r="J5254" s="12" t="inlineStr">
        <is>
          <t>ARMOR-X MC-HL 600 V 3/C Cu XHHW-2 + ground, CWA, black PVC (Class I Div 2)</t>
        </is>
      </c>
      <c r="K5254" s="12" t="inlineStr">
        <is>
          <t>LVAX|3/C+G|2</t>
        </is>
      </c>
      <c r="L5254" s="12" t="inlineStr">
        <is>
          <t>3/C+G</t>
        </is>
      </c>
      <c r="M5254" s="12" t="inlineStr">
        <is>
          <t>2</t>
        </is>
      </c>
      <c r="N5254" s="12" t="n">
        <v>1</v>
      </c>
      <c r="O5254" s="12" t="n">
        <v>1</v>
      </c>
      <c r="P5254" s="12" t="n">
        <v>480</v>
      </c>
      <c r="Q5254" s="12" t="n">
        <v>60</v>
      </c>
      <c r="R5254" s="12" t="n">
        <v>84.90000000000001</v>
      </c>
      <c r="S5254" s="12" t="inlineStr">
        <is>
          <t>Duct bank</t>
        </is>
      </c>
      <c r="T5254" s="15" t="n">
        <v>36</v>
      </c>
      <c r="U5254" s="15" t="n">
        <v>102</v>
      </c>
      <c r="V5254" s="15">
        <f>ROUNDUP((T5254+U5254+2*'Read Me'!$B$13)*(1+'Read Me'!$B$12),-1)</f>
        <v/>
      </c>
      <c r="W5254" s="15">
        <f>V5254*N5254*O5254</f>
        <v/>
      </c>
      <c r="X5254" s="12">
        <f>IF(LEFT(I5254,2)="MV",2*N5254*IF(L5254="1/C",O5254,1),0)</f>
        <v/>
      </c>
      <c r="Y5254" s="12">
        <f>IF(OR(LEFT(K5254,4)="LVAX",LEFT(K5254,6)="MV15AX",LEFT(K5254,4)="CTAX",LEFT(K5254,2)="W|"),2*N5254*O5254,0)</f>
        <v/>
      </c>
      <c r="Z5254" s="12" t="inlineStr">
        <is>
          <t>VD 0.9 %</t>
        </is>
      </c>
      <c r="AA5254" s="12">
        <f>N5254*O5254</f>
        <v/>
      </c>
    </row>
    <row r="5255">
      <c r="A5255" s="12" t="inlineStr">
        <is>
          <t>I-P-0091</t>
        </is>
      </c>
      <c r="B5255" s="12" t="inlineStr">
        <is>
          <t>I</t>
        </is>
      </c>
      <c r="C5255" s="12" t="inlineStr">
        <is>
          <t>Modular / portable power</t>
        </is>
      </c>
      <c r="D5255" s="12" t="inlineStr">
        <is>
          <t>MTG-SWG station service: DC charger, heaters, HVAC, lighting</t>
        </is>
      </c>
      <c r="E5255" s="12" t="inlineStr">
        <is>
          <t>MTG-CB</t>
        </is>
      </c>
      <c r="F5255" s="12" t="inlineStr">
        <is>
          <t>MTG-CB: control and MCC building (unit controls, 480 V MCC)</t>
        </is>
      </c>
      <c r="G5255" s="12" t="inlineStr">
        <is>
          <t>MTG-SWG</t>
        </is>
      </c>
      <c r="H5255" s="12" t="inlineStr">
        <is>
          <t>MTG-SWG: 13.8 kV switchgear e-house (2 generator breakers, site feeder</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45</v>
      </c>
      <c r="R5255" s="12" t="n">
        <v>57</v>
      </c>
      <c r="S5255" s="12" t="inlineStr">
        <is>
          <t>Duct bank</t>
        </is>
      </c>
      <c r="T5255" s="15" t="n">
        <v>44</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0.5 %</t>
        </is>
      </c>
      <c r="AA5255" s="12">
        <f>N5255*O5255</f>
        <v/>
      </c>
    </row>
    <row r="5256">
      <c r="A5256" s="12" t="inlineStr">
        <is>
          <t>I-P-0092</t>
        </is>
      </c>
      <c r="B5256" s="12" t="inlineStr">
        <is>
          <t>I</t>
        </is>
      </c>
      <c r="C5256" s="12" t="inlineStr">
        <is>
          <t>Modular / portable power</t>
        </is>
      </c>
      <c r="D5256" s="12" t="inlineStr">
        <is>
          <t>PAD-EH station service: DC charger, heaters, HVAC, lighting</t>
        </is>
      </c>
      <c r="E5256" s="12" t="inlineStr">
        <is>
          <t>PAD-LV</t>
        </is>
      </c>
      <c r="F5256" s="12" t="inlineStr">
        <is>
          <t>PAD-LV 480 V paralleling switchboard</t>
        </is>
      </c>
      <c r="G5256" s="12" t="inlineStr">
        <is>
          <t>PAD-EH</t>
        </is>
      </c>
      <c r="H5256" s="12" t="inlineStr">
        <is>
          <t>PAD-EH 13.8 kV switchgear e-house</t>
        </is>
      </c>
      <c r="I5256" s="12" t="inlineStr">
        <is>
          <t>LV 600 V</t>
        </is>
      </c>
      <c r="J5256" s="12" t="inlineStr">
        <is>
          <t>Type TC-ER 600 V 3/C Cu XHHW-2 + ground, PVC jacket</t>
        </is>
      </c>
      <c r="K5256" s="12" t="inlineStr">
        <is>
          <t>LV|3/C+G|2</t>
        </is>
      </c>
      <c r="L5256" s="12" t="inlineStr">
        <is>
          <t>3/C+G</t>
        </is>
      </c>
      <c r="M5256" s="12" t="inlineStr">
        <is>
          <t>2</t>
        </is>
      </c>
      <c r="N5256" s="12" t="n">
        <v>1</v>
      </c>
      <c r="O5256" s="12" t="n">
        <v>1</v>
      </c>
      <c r="P5256" s="12" t="n">
        <v>480</v>
      </c>
      <c r="Q5256" s="12" t="n">
        <v>60</v>
      </c>
      <c r="R5256" s="12" t="n">
        <v>76</v>
      </c>
      <c r="S5256" s="12" t="inlineStr">
        <is>
          <t>Duct bank</t>
        </is>
      </c>
      <c r="T5256" s="15" t="n">
        <v>40</v>
      </c>
      <c r="U5256" s="15" t="n">
        <v>32</v>
      </c>
      <c r="V5256" s="15">
        <f>ROUNDUP((T5256+U5256+2*'Read Me'!$B$13)*(1+'Read Me'!$B$12),-1)</f>
        <v/>
      </c>
      <c r="W5256" s="15">
        <f>V5256*N5256*O5256</f>
        <v/>
      </c>
      <c r="X5256" s="12">
        <f>IF(LEFT(I5256,2)="MV",2*N5256*IF(L5256="1/C",O5256,1),0)</f>
        <v/>
      </c>
      <c r="Y5256" s="12">
        <f>IF(OR(LEFT(K5256,4)="LVAX",LEFT(K5256,6)="MV15AX",LEFT(K5256,4)="CTAX",LEFT(K5256,2)="W|"),2*N5256*O5256,0)</f>
        <v/>
      </c>
      <c r="Z5256" s="12" t="inlineStr">
        <is>
          <t>VD 0.4 %</t>
        </is>
      </c>
      <c r="AA5256" s="12">
        <f>N5256*O5256</f>
        <v/>
      </c>
    </row>
    <row r="5257">
      <c r="A5257" s="12" t="inlineStr">
        <is>
          <t>I-P-0093</t>
        </is>
      </c>
      <c r="B5257" s="12" t="inlineStr">
        <is>
          <t>I</t>
        </is>
      </c>
      <c r="C5257" s="12" t="inlineStr">
        <is>
          <t>Modular / portable power</t>
        </is>
      </c>
      <c r="D5257" s="12" t="inlineStr">
        <is>
          <t>LGN-INV 480 V AC to PAD-LV</t>
        </is>
      </c>
      <c r="E5257" s="12" t="inlineStr">
        <is>
          <t>LGN-INV</t>
        </is>
      </c>
      <c r="F5257" s="12" t="inlineStr">
        <is>
          <t>LGN-INV: linear generator inverter / AC cabinet (480 V)</t>
        </is>
      </c>
      <c r="G5257" s="12" t="inlineStr">
        <is>
          <t>PAD-LV</t>
        </is>
      </c>
      <c r="H5257" s="12" t="inlineStr">
        <is>
          <t>PAD-LV 480 V paralleling switchboard</t>
        </is>
      </c>
      <c r="I5257" s="12" t="inlineStr">
        <is>
          <t>LV 600 V</t>
        </is>
      </c>
      <c r="J5257" s="12" t="inlineStr">
        <is>
          <t>Type TC-ER 600 V 3/C Cu XHHW-2 + ground, PVC jacket</t>
        </is>
      </c>
      <c r="K5257" s="12" t="inlineStr">
        <is>
          <t>LV|3/C+G|350</t>
        </is>
      </c>
      <c r="L5257" s="12" t="inlineStr">
        <is>
          <t>3/C+G</t>
        </is>
      </c>
      <c r="M5257" s="12" t="inlineStr">
        <is>
          <t>350 kcmil</t>
        </is>
      </c>
      <c r="N5257" s="12" t="n">
        <v>6</v>
      </c>
      <c r="O5257" s="12" t="n">
        <v>1</v>
      </c>
      <c r="P5257" s="12" t="n">
        <v>480</v>
      </c>
      <c r="Q5257" s="12" t="n">
        <v>1000</v>
      </c>
      <c r="R5257" s="12" t="n">
        <v>1266.2</v>
      </c>
      <c r="S5257" s="12" t="inlineStr">
        <is>
          <t>Duct bank</t>
        </is>
      </c>
      <c r="T5257" s="15" t="n">
        <v>33</v>
      </c>
      <c r="U5257" s="15" t="n">
        <v>32</v>
      </c>
      <c r="V5257" s="15">
        <f>ROUNDUP((T5257+U5257+2*'Read Me'!$B$13)*(1+'Read Me'!$B$12),-1)</f>
        <v/>
      </c>
      <c r="W5257" s="15">
        <f>V5257*N5257*O5257</f>
        <v/>
      </c>
      <c r="X5257" s="12">
        <f>IF(LEFT(I5257,2)="MV",2*N5257*IF(L5257="1/C",O5257,1),0)</f>
        <v/>
      </c>
      <c r="Y5257" s="12">
        <f>IF(OR(LEFT(K5257,4)="LVAX",LEFT(K5257,6)="MV15AX",LEFT(K5257,4)="CTAX",LEFT(K5257,2)="W|"),2*N5257*O5257,0)</f>
        <v/>
      </c>
      <c r="Z5257" s="12" t="inlineStr">
        <is>
          <t>VD 0.2 %</t>
        </is>
      </c>
      <c r="AA5257" s="12">
        <f>N5257*O5257</f>
        <v/>
      </c>
    </row>
    <row r="5258">
      <c r="A5258" s="12" t="inlineStr">
        <is>
          <t>I-P-0094</t>
        </is>
      </c>
      <c r="B5258" s="12" t="inlineStr">
        <is>
          <t>I</t>
        </is>
      </c>
      <c r="C5258" s="12" t="inlineStr">
        <is>
          <t>Modular / portable power</t>
        </is>
      </c>
      <c r="D5258" s="12" t="inlineStr">
        <is>
          <t>Fuel-cell AC cabinet to PAD-LV</t>
        </is>
      </c>
      <c r="E5258" s="12" t="inlineStr"/>
      <c r="F5258" s="12" t="inlineStr">
        <is>
          <t>FC-5..8 inverter / AC cabinet / desulfurizer</t>
        </is>
      </c>
      <c r="G5258" s="12" t="inlineStr">
        <is>
          <t>PAD-LV</t>
        </is>
      </c>
      <c r="H5258" s="12" t="inlineStr">
        <is>
          <t>PAD-LV 480 V paralleling switchboard</t>
        </is>
      </c>
      <c r="I5258" s="12" t="inlineStr">
        <is>
          <t>LV 600 V</t>
        </is>
      </c>
      <c r="J5258" s="12" t="inlineStr">
        <is>
          <t>Type TC-ER 600 V 3/C Cu XHHW-2 + ground, PVC jacket</t>
        </is>
      </c>
      <c r="K5258" s="12" t="inlineStr">
        <is>
          <t>LV|3/C+G|350</t>
        </is>
      </c>
      <c r="L5258" s="12" t="inlineStr">
        <is>
          <t>3/C+G</t>
        </is>
      </c>
      <c r="M5258" s="12" t="inlineStr">
        <is>
          <t>350 kcmil</t>
        </is>
      </c>
      <c r="N5258" s="12" t="n">
        <v>6</v>
      </c>
      <c r="O5258" s="12" t="n">
        <v>1</v>
      </c>
      <c r="P5258" s="12" t="n">
        <v>480</v>
      </c>
      <c r="Q5258" s="12" t="n">
        <v>1000</v>
      </c>
      <c r="R5258" s="12" t="n">
        <v>1266.2</v>
      </c>
      <c r="S5258" s="12" t="inlineStr">
        <is>
          <t>Surface</t>
        </is>
      </c>
      <c r="T5258" s="15" t="n">
        <v>157</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VD 0.6 %</t>
        </is>
      </c>
      <c r="AA5258" s="12">
        <f>N5258*O5258</f>
        <v/>
      </c>
    </row>
    <row r="5259">
      <c r="A5259" s="12" t="inlineStr">
        <is>
          <t>I-P-0095</t>
        </is>
      </c>
      <c r="B5259" s="12" t="inlineStr">
        <is>
          <t>I</t>
        </is>
      </c>
      <c r="C5259" s="12" t="inlineStr">
        <is>
          <t>Modular / portable power</t>
        </is>
      </c>
      <c r="D5259" s="12" t="inlineStr">
        <is>
          <t>PAD-LV to PAD-TX</t>
        </is>
      </c>
      <c r="E5259" s="12" t="inlineStr">
        <is>
          <t>PAD-LV</t>
        </is>
      </c>
      <c r="F5259" s="12" t="inlineStr">
        <is>
          <t>PAD-LV 480 V paralleling switchboard</t>
        </is>
      </c>
      <c r="G5259" s="12" t="inlineStr">
        <is>
          <t>PAD-TX</t>
        </is>
      </c>
      <c r="H5259" s="12" t="inlineStr">
        <is>
          <t>PAD-TX 480 V : 13.8 kV</t>
        </is>
      </c>
      <c r="I5259" s="12" t="inlineStr">
        <is>
          <t>LV 600 V</t>
        </is>
      </c>
      <c r="J5259" s="12" t="inlineStr">
        <is>
          <t>XHHW-2 600 V 1/C Cu (feeder sets in tray / duct)</t>
        </is>
      </c>
      <c r="K5259" s="12" t="inlineStr">
        <is>
          <t>LV1C|1/C|500</t>
        </is>
      </c>
      <c r="L5259" s="12" t="inlineStr">
        <is>
          <t>1/C</t>
        </is>
      </c>
      <c r="M5259" s="12" t="inlineStr">
        <is>
          <t>500 kcmil</t>
        </is>
      </c>
      <c r="N5259" s="12" t="n">
        <v>8</v>
      </c>
      <c r="O5259" s="12" t="n">
        <v>4</v>
      </c>
      <c r="P5259" s="12" t="n">
        <v>480</v>
      </c>
      <c r="Q5259" s="12" t="n">
        <v>2000</v>
      </c>
      <c r="R5259" s="12" t="n">
        <v>2400</v>
      </c>
      <c r="S5259" s="12" t="inlineStr">
        <is>
          <t>Surface</t>
        </is>
      </c>
      <c r="T5259" s="15" t="n">
        <v>25</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8 sets of 4 x 1/C (fuel-cell and linear-generator outputs)</t>
        </is>
      </c>
      <c r="AA5259" s="12">
        <f>N5259*O5259</f>
        <v/>
      </c>
    </row>
    <row r="5260">
      <c r="A5260" s="12" t="inlineStr">
        <is>
          <t>I-P-0096</t>
        </is>
      </c>
      <c r="B5260" s="12" t="inlineStr">
        <is>
          <t>I</t>
        </is>
      </c>
      <c r="C5260" s="12" t="inlineStr">
        <is>
          <t>Modular / portable power</t>
        </is>
      </c>
      <c r="D5260" s="12" t="inlineStr">
        <is>
          <t>LV panel / distribution feeder</t>
        </is>
      </c>
      <c r="E5260" s="12" t="inlineStr"/>
      <c r="F5260" s="12" t="inlineStr">
        <is>
          <t>PCM: power control module</t>
        </is>
      </c>
      <c r="G5260" s="12" t="inlineStr"/>
      <c r="H5260" s="12" t="inlineStr">
        <is>
          <t>PCM: power control module</t>
        </is>
      </c>
      <c r="I5260" s="12" t="inlineStr">
        <is>
          <t>LV 600 V</t>
        </is>
      </c>
      <c r="J5260" s="12" t="inlineStr">
        <is>
          <t>Type TC-ER 600 V 3/C Cu XHHW-2 + ground, PVC jacket</t>
        </is>
      </c>
      <c r="K5260" s="12" t="inlineStr">
        <is>
          <t>LV|3/C+G|4</t>
        </is>
      </c>
      <c r="L5260" s="12" t="inlineStr">
        <is>
          <t>3/C+G</t>
        </is>
      </c>
      <c r="M5260" s="12" t="inlineStr">
        <is>
          <t>4</t>
        </is>
      </c>
      <c r="N5260" s="12" t="n">
        <v>1</v>
      </c>
      <c r="O5260" s="12" t="n">
        <v>1</v>
      </c>
      <c r="P5260" s="12" t="n">
        <v>480</v>
      </c>
      <c r="Q5260" s="12" t="n">
        <v>38</v>
      </c>
      <c r="R5260" s="12" t="n">
        <v>53.8</v>
      </c>
      <c r="S5260" s="12" t="inlineStr">
        <is>
          <t>Tray</t>
        </is>
      </c>
      <c r="T5260" s="15" t="n">
        <v>0</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VD 0.2 %</t>
        </is>
      </c>
      <c r="AA5260" s="12">
        <f>N5260*O5260</f>
        <v/>
      </c>
    </row>
    <row r="5261">
      <c r="A5261" s="12" t="inlineStr">
        <is>
          <t>I-P-0097</t>
        </is>
      </c>
      <c r="B5261" s="12" t="inlineStr">
        <is>
          <t>I</t>
        </is>
      </c>
      <c r="C5261" s="12" t="inlineStr">
        <is>
          <t>Modular / portable power</t>
        </is>
      </c>
      <c r="D5261" s="12" t="inlineStr">
        <is>
          <t>PGS-1 480 V generator leads to the paralleling switchgear</t>
        </is>
      </c>
      <c r="E5261" s="12" t="inlineStr">
        <is>
          <t>PGS-1</t>
        </is>
      </c>
      <c r="F5261" s="12" t="inlineStr">
        <is>
          <t>PGS-1: enclosed gas genset 1 MW, 480 V (paralleled, unit 1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Riser</t>
        </is>
      </c>
      <c r="T5261" s="15" t="n">
        <v>4</v>
      </c>
      <c r="U5261" s="15" t="n">
        <v>27</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I-P-0098</t>
        </is>
      </c>
      <c r="B5262" s="12" t="inlineStr">
        <is>
          <t>I</t>
        </is>
      </c>
      <c r="C5262" s="12" t="inlineStr">
        <is>
          <t>Modular / portable power</t>
        </is>
      </c>
      <c r="D5262" s="12" t="inlineStr">
        <is>
          <t>PGS-2 480 V generator leads to the paralleling switchgear</t>
        </is>
      </c>
      <c r="E5262" s="12" t="inlineStr">
        <is>
          <t>PGS-2</t>
        </is>
      </c>
      <c r="F5262" s="12" t="inlineStr">
        <is>
          <t>PGS-2: enclosed gas genset 1 MW, 480 V (paralleled, unit 2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Riser</t>
        </is>
      </c>
      <c r="T5262" s="15" t="n">
        <v>4</v>
      </c>
      <c r="U5262" s="15" t="n">
        <v>27</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I-P-0099</t>
        </is>
      </c>
      <c r="B5263" s="12" t="inlineStr">
        <is>
          <t>I</t>
        </is>
      </c>
      <c r="C5263" s="12" t="inlineStr">
        <is>
          <t>Modular / portable power</t>
        </is>
      </c>
      <c r="D5263" s="12" t="inlineStr">
        <is>
          <t>PGS-3 480 V generator leads to the paralleling switchgear</t>
        </is>
      </c>
      <c r="E5263" s="12" t="inlineStr">
        <is>
          <t>PGS-3</t>
        </is>
      </c>
      <c r="F5263" s="12" t="inlineStr">
        <is>
          <t>PGS-3: enclosed gas genset 1 MW, 480 V (paralleled, unit 3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Riser</t>
        </is>
      </c>
      <c r="T5263" s="15" t="n">
        <v>4</v>
      </c>
      <c r="U5263" s="15" t="n">
        <v>27</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I-P-0100</t>
        </is>
      </c>
      <c r="B5264" s="12" t="inlineStr">
        <is>
          <t>I</t>
        </is>
      </c>
      <c r="C5264" s="12" t="inlineStr">
        <is>
          <t>Modular / portable power</t>
        </is>
      </c>
      <c r="D5264" s="12" t="inlineStr">
        <is>
          <t>PGS-4 480 V generator leads to the paralleling switchgear</t>
        </is>
      </c>
      <c r="E5264" s="12" t="inlineStr">
        <is>
          <t>PGS-4</t>
        </is>
      </c>
      <c r="F5264" s="12" t="inlineStr">
        <is>
          <t>PGS-4: enclosed gas genset 1 MW, 480 V (paralleled, unit 4 of 8)</t>
        </is>
      </c>
      <c r="G5264" s="12" t="inlineStr">
        <is>
          <t>PGS-SWG</t>
        </is>
      </c>
      <c r="H5264" s="12" t="inlineStr">
        <is>
          <t>PGS-SWG: 480 V paralleling switchgear (8 generator breakers, 2 transfo</t>
        </is>
      </c>
      <c r="I5264" s="12" t="inlineStr">
        <is>
          <t>LV 600 V</t>
        </is>
      </c>
      <c r="J5264" s="12" t="inlineStr">
        <is>
          <t>XHHW-2 600 V 1/C Cu (feeder sets in tray / duct)</t>
        </is>
      </c>
      <c r="K5264" s="12" t="inlineStr">
        <is>
          <t>LV1C|1/C|500</t>
        </is>
      </c>
      <c r="L5264" s="12" t="inlineStr">
        <is>
          <t>1/C</t>
        </is>
      </c>
      <c r="M5264" s="12" t="inlineStr">
        <is>
          <t>500 kcmil</t>
        </is>
      </c>
      <c r="N5264" s="12" t="n">
        <v>4</v>
      </c>
      <c r="O5264" s="12" t="n">
        <v>4</v>
      </c>
      <c r="P5264" s="12" t="n">
        <v>480</v>
      </c>
      <c r="Q5264" s="12" t="n">
        <v>1000</v>
      </c>
      <c r="R5264" s="12" t="n">
        <v>1203</v>
      </c>
      <c r="S5264" s="12" t="inlineStr">
        <is>
          <t>Riser</t>
        </is>
      </c>
      <c r="T5264" s="15" t="n">
        <v>4</v>
      </c>
      <c r="U5264" s="15" t="n">
        <v>27</v>
      </c>
      <c r="V5264" s="15">
        <f>ROUNDUP((T5264+U5264+2*'Read Me'!$B$13)*(1+'Read Me'!$B$12),-1)</f>
        <v/>
      </c>
      <c r="W5264" s="15">
        <f>V5264*N5264*O5264</f>
        <v/>
      </c>
      <c r="X5264" s="12">
        <f>IF(LEFT(I5264,2)="MV",2*N5264*IF(L5264="1/C",O5264,1),0)</f>
        <v/>
      </c>
      <c r="Y5264" s="12">
        <f>IF(OR(LEFT(K5264,4)="LVAX",LEFT(K5264,6)="MV15AX",LEFT(K5264,4)="CTAX",LEFT(K5264,2)="W|"),2*N5264*O5264,0)</f>
        <v/>
      </c>
      <c r="Z5264" s="12" t="inlineStr">
        <is>
          <t>4 sets of 4 x 1/C</t>
        </is>
      </c>
      <c r="AA5264" s="12">
        <f>N5264*O5264</f>
        <v/>
      </c>
    </row>
    <row r="5265">
      <c r="A5265" s="12" t="inlineStr">
        <is>
          <t>I-P-0101</t>
        </is>
      </c>
      <c r="B5265" s="12" t="inlineStr">
        <is>
          <t>I</t>
        </is>
      </c>
      <c r="C5265" s="12" t="inlineStr">
        <is>
          <t>Modular / portable power</t>
        </is>
      </c>
      <c r="D5265" s="12" t="inlineStr">
        <is>
          <t>PGS-5 480 V generator leads to the paralleling switchgear</t>
        </is>
      </c>
      <c r="E5265" s="12" t="inlineStr">
        <is>
          <t>PGS-5</t>
        </is>
      </c>
      <c r="F5265" s="12" t="inlineStr">
        <is>
          <t>PGS-5: enclosed gas genset 1 MW, 480 V (paralleled, unit 5 of 8)</t>
        </is>
      </c>
      <c r="G5265" s="12" t="inlineStr">
        <is>
          <t>PGS-SWG</t>
        </is>
      </c>
      <c r="H5265" s="12" t="inlineStr">
        <is>
          <t>PGS-SWG: 480 V paralleling switchgear (8 generator breakers, 2 transfo</t>
        </is>
      </c>
      <c r="I5265" s="12" t="inlineStr">
        <is>
          <t>LV 600 V</t>
        </is>
      </c>
      <c r="J5265" s="12" t="inlineStr">
        <is>
          <t>XHHW-2 600 V 1/C Cu (feeder sets in tray / duct)</t>
        </is>
      </c>
      <c r="K5265" s="12" t="inlineStr">
        <is>
          <t>LV1C|1/C|500</t>
        </is>
      </c>
      <c r="L5265" s="12" t="inlineStr">
        <is>
          <t>1/C</t>
        </is>
      </c>
      <c r="M5265" s="12" t="inlineStr">
        <is>
          <t>500 kcmil</t>
        </is>
      </c>
      <c r="N5265" s="12" t="n">
        <v>4</v>
      </c>
      <c r="O5265" s="12" t="n">
        <v>4</v>
      </c>
      <c r="P5265" s="12" t="n">
        <v>480</v>
      </c>
      <c r="Q5265" s="12" t="n">
        <v>1000</v>
      </c>
      <c r="R5265" s="12" t="n">
        <v>1203</v>
      </c>
      <c r="S5265" s="12" t="inlineStr">
        <is>
          <t>Duct bank</t>
        </is>
      </c>
      <c r="T5265" s="15" t="n">
        <v>16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4 sets of 4 x 1/C</t>
        </is>
      </c>
      <c r="AA5265" s="12">
        <f>N5265*O5265</f>
        <v/>
      </c>
    </row>
    <row r="5266">
      <c r="A5266" s="12" t="inlineStr">
        <is>
          <t>I-P-0102</t>
        </is>
      </c>
      <c r="B5266" s="12" t="inlineStr">
        <is>
          <t>I</t>
        </is>
      </c>
      <c r="C5266" s="12" t="inlineStr">
        <is>
          <t>Modular / portable power</t>
        </is>
      </c>
      <c r="D5266" s="12" t="inlineStr">
        <is>
          <t>PGS-6 480 V generator leads to the paralleling switchgear</t>
        </is>
      </c>
      <c r="E5266" s="12" t="inlineStr">
        <is>
          <t>PGS-6</t>
        </is>
      </c>
      <c r="F5266" s="12" t="inlineStr">
        <is>
          <t>PGS-6: enclosed gas genset 1 MW, 480 V (paralleled, unit 6 of 8)</t>
        </is>
      </c>
      <c r="G5266" s="12" t="inlineStr">
        <is>
          <t>PGS-SWG</t>
        </is>
      </c>
      <c r="H5266" s="12" t="inlineStr">
        <is>
          <t>PGS-SWG: 480 V paralleling switchgear (8 generator breakers, 2 transfo</t>
        </is>
      </c>
      <c r="I5266" s="12" t="inlineStr">
        <is>
          <t>LV 600 V</t>
        </is>
      </c>
      <c r="J5266" s="12" t="inlineStr">
        <is>
          <t>XHHW-2 600 V 1/C Cu (feeder sets in tray / duct)</t>
        </is>
      </c>
      <c r="K5266" s="12" t="inlineStr">
        <is>
          <t>LV1C|1/C|500</t>
        </is>
      </c>
      <c r="L5266" s="12" t="inlineStr">
        <is>
          <t>1/C</t>
        </is>
      </c>
      <c r="M5266" s="12" t="inlineStr">
        <is>
          <t>500 kcmil</t>
        </is>
      </c>
      <c r="N5266" s="12" t="n">
        <v>4</v>
      </c>
      <c r="O5266" s="12" t="n">
        <v>4</v>
      </c>
      <c r="P5266" s="12" t="n">
        <v>480</v>
      </c>
      <c r="Q5266" s="12" t="n">
        <v>1000</v>
      </c>
      <c r="R5266" s="12" t="n">
        <v>1203</v>
      </c>
      <c r="S5266" s="12" t="inlineStr">
        <is>
          <t>Duct bank</t>
        </is>
      </c>
      <c r="T5266" s="15" t="n">
        <v>28</v>
      </c>
      <c r="U5266" s="15" t="n">
        <v>32</v>
      </c>
      <c r="V5266" s="15">
        <f>ROUNDUP((T5266+U5266+2*'Read Me'!$B$13)*(1+'Read Me'!$B$12),-1)</f>
        <v/>
      </c>
      <c r="W5266" s="15">
        <f>V5266*N5266*O5266</f>
        <v/>
      </c>
      <c r="X5266" s="12">
        <f>IF(LEFT(I5266,2)="MV",2*N5266*IF(L5266="1/C",O5266,1),0)</f>
        <v/>
      </c>
      <c r="Y5266" s="12">
        <f>IF(OR(LEFT(K5266,4)="LVAX",LEFT(K5266,6)="MV15AX",LEFT(K5266,4)="CTAX",LEFT(K5266,2)="W|"),2*N5266*O5266,0)</f>
        <v/>
      </c>
      <c r="Z5266" s="12" t="inlineStr">
        <is>
          <t>4 sets of 4 x 1/C</t>
        </is>
      </c>
      <c r="AA5266" s="12">
        <f>N5266*O5266</f>
        <v/>
      </c>
    </row>
    <row r="5267">
      <c r="A5267" s="12" t="inlineStr">
        <is>
          <t>I-P-0103</t>
        </is>
      </c>
      <c r="B5267" s="12" t="inlineStr">
        <is>
          <t>I</t>
        </is>
      </c>
      <c r="C5267" s="12" t="inlineStr">
        <is>
          <t>Modular / portable power</t>
        </is>
      </c>
      <c r="D5267" s="12" t="inlineStr">
        <is>
          <t>PGS-7 480 V generator leads to the paralleling switchgear</t>
        </is>
      </c>
      <c r="E5267" s="12" t="inlineStr">
        <is>
          <t>PGS-7</t>
        </is>
      </c>
      <c r="F5267" s="12" t="inlineStr">
        <is>
          <t>PGS-7: enclosed gas genset 1 MW, 480 V (paralleled, unit 7 of 8)</t>
        </is>
      </c>
      <c r="G5267" s="12" t="inlineStr">
        <is>
          <t>PGS-SWG</t>
        </is>
      </c>
      <c r="H5267" s="12" t="inlineStr">
        <is>
          <t>PGS-SWG: 480 V paralleling switchgear (8 generator breakers, 2 transfo</t>
        </is>
      </c>
      <c r="I5267" s="12" t="inlineStr">
        <is>
          <t>LV 600 V</t>
        </is>
      </c>
      <c r="J5267" s="12" t="inlineStr">
        <is>
          <t>XHHW-2 600 V 1/C Cu (feeder sets in tray / duct)</t>
        </is>
      </c>
      <c r="K5267" s="12" t="inlineStr">
        <is>
          <t>LV1C|1/C|500</t>
        </is>
      </c>
      <c r="L5267" s="12" t="inlineStr">
        <is>
          <t>1/C</t>
        </is>
      </c>
      <c r="M5267" s="12" t="inlineStr">
        <is>
          <t>500 kcmil</t>
        </is>
      </c>
      <c r="N5267" s="12" t="n">
        <v>4</v>
      </c>
      <c r="O5267" s="12" t="n">
        <v>4</v>
      </c>
      <c r="P5267" s="12" t="n">
        <v>480</v>
      </c>
      <c r="Q5267" s="12" t="n">
        <v>1000</v>
      </c>
      <c r="R5267" s="12" t="n">
        <v>1203</v>
      </c>
      <c r="S5267" s="12" t="inlineStr">
        <is>
          <t>Duct bank</t>
        </is>
      </c>
      <c r="T5267" s="15" t="n">
        <v>40</v>
      </c>
      <c r="U5267" s="15" t="n">
        <v>32</v>
      </c>
      <c r="V5267" s="15">
        <f>ROUNDUP((T5267+U5267+2*'Read Me'!$B$13)*(1+'Read Me'!$B$12),-1)</f>
        <v/>
      </c>
      <c r="W5267" s="15">
        <f>V5267*N5267*O5267</f>
        <v/>
      </c>
      <c r="X5267" s="12">
        <f>IF(LEFT(I5267,2)="MV",2*N5267*IF(L5267="1/C",O5267,1),0)</f>
        <v/>
      </c>
      <c r="Y5267" s="12">
        <f>IF(OR(LEFT(K5267,4)="LVAX",LEFT(K5267,6)="MV15AX",LEFT(K5267,4)="CTAX",LEFT(K5267,2)="W|"),2*N5267*O5267,0)</f>
        <v/>
      </c>
      <c r="Z5267" s="12" t="inlineStr">
        <is>
          <t>4 sets of 4 x 1/C</t>
        </is>
      </c>
      <c r="AA5267" s="12">
        <f>N5267*O5267</f>
        <v/>
      </c>
    </row>
    <row r="5268">
      <c r="A5268" s="12" t="inlineStr">
        <is>
          <t>I-P-0104</t>
        </is>
      </c>
      <c r="B5268" s="12" t="inlineStr">
        <is>
          <t>I</t>
        </is>
      </c>
      <c r="C5268" s="12" t="inlineStr">
        <is>
          <t>Modular / portable power</t>
        </is>
      </c>
      <c r="D5268" s="12" t="inlineStr">
        <is>
          <t>PGS-8 480 V generator leads to the paralleling switchgear</t>
        </is>
      </c>
      <c r="E5268" s="12" t="inlineStr">
        <is>
          <t>PGS-8</t>
        </is>
      </c>
      <c r="F5268" s="12" t="inlineStr">
        <is>
          <t>PGS-8: enclosed gas genset 1 MW, 480 V (paralleled, unit 8 of 8)</t>
        </is>
      </c>
      <c r="G5268" s="12" t="inlineStr">
        <is>
          <t>PGS-SWG</t>
        </is>
      </c>
      <c r="H5268" s="12" t="inlineStr">
        <is>
          <t>PGS-SWG: 480 V paralleling switchgear (8 generator breakers, 2 transfo</t>
        </is>
      </c>
      <c r="I5268" s="12" t="inlineStr">
        <is>
          <t>LV 600 V</t>
        </is>
      </c>
      <c r="J5268" s="12" t="inlineStr">
        <is>
          <t>XHHW-2 600 V 1/C Cu (feeder sets in tray / duct)</t>
        </is>
      </c>
      <c r="K5268" s="12" t="inlineStr">
        <is>
          <t>LV1C|1/C|500</t>
        </is>
      </c>
      <c r="L5268" s="12" t="inlineStr">
        <is>
          <t>1/C</t>
        </is>
      </c>
      <c r="M5268" s="12" t="inlineStr">
        <is>
          <t>500 kcmil</t>
        </is>
      </c>
      <c r="N5268" s="12" t="n">
        <v>4</v>
      </c>
      <c r="O5268" s="12" t="n">
        <v>4</v>
      </c>
      <c r="P5268" s="12" t="n">
        <v>480</v>
      </c>
      <c r="Q5268" s="12" t="n">
        <v>1000</v>
      </c>
      <c r="R5268" s="12" t="n">
        <v>1203</v>
      </c>
      <c r="S5268" s="12" t="inlineStr">
        <is>
          <t>Duct bank</t>
        </is>
      </c>
      <c r="T5268" s="15" t="n">
        <v>52</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4 sets of 4 x 1/C</t>
        </is>
      </c>
      <c r="AA5268" s="12">
        <f>N5268*O5268</f>
        <v/>
      </c>
    </row>
    <row r="5269">
      <c r="A5269" s="12" t="inlineStr">
        <is>
          <t>I-P-0105</t>
        </is>
      </c>
      <c r="B5269" s="12" t="inlineStr">
        <is>
          <t>I</t>
        </is>
      </c>
      <c r="C5269" s="12" t="inlineStr">
        <is>
          <t>Modular / portable power</t>
        </is>
      </c>
      <c r="D5269" s="12" t="inlineStr">
        <is>
          <t>PGS-SWG main 1 to PGS-TX1 480 V secondary</t>
        </is>
      </c>
      <c r="E5269" s="12" t="inlineStr">
        <is>
          <t>PGS-SWG</t>
        </is>
      </c>
      <c r="F5269" s="12" t="inlineStr">
        <is>
          <t>PGS-SWG: 480 V paralleling switchgear (8 generator breakers, 2 transfo</t>
        </is>
      </c>
      <c r="G5269" s="12" t="inlineStr">
        <is>
          <t>PGS-TX1</t>
        </is>
      </c>
      <c r="H5269" s="12" t="inlineStr">
        <is>
          <t>PGS-TX1: 480 V : 34.5 kV, ~5 MVA loop-feed pad-mount (gensets 1-4)</t>
        </is>
      </c>
      <c r="I5269" s="12" t="inlineStr">
        <is>
          <t>LV 600 V</t>
        </is>
      </c>
      <c r="J5269" s="12" t="inlineStr">
        <is>
          <t>XHHW-2 600 V 1/C Cu (feeder sets in tray / duct)</t>
        </is>
      </c>
      <c r="K5269" s="12" t="inlineStr">
        <is>
          <t>LV1C|1/C|600</t>
        </is>
      </c>
      <c r="L5269" s="12" t="inlineStr">
        <is>
          <t>1/C</t>
        </is>
      </c>
      <c r="M5269" s="12" t="inlineStr">
        <is>
          <t>600 kcmil</t>
        </is>
      </c>
      <c r="N5269" s="12" t="n">
        <v>12</v>
      </c>
      <c r="O5269" s="12" t="n">
        <v>4</v>
      </c>
      <c r="P5269" s="12" t="n">
        <v>480</v>
      </c>
      <c r="Q5269" s="12" t="n">
        <v>4000</v>
      </c>
      <c r="R5269" s="12" t="n">
        <v>4811</v>
      </c>
      <c r="S5269" s="12" t="inlineStr">
        <is>
          <t>Surface</t>
        </is>
      </c>
      <c r="T5269" s="15" t="n">
        <v>75</v>
      </c>
      <c r="U5269" s="15" t="n">
        <v>32</v>
      </c>
      <c r="V5269" s="15">
        <f>ROUNDUP((T5269+U5269+2*'Read Me'!$B$13)*(1+'Read Me'!$B$12),-1)</f>
        <v/>
      </c>
      <c r="W5269" s="15">
        <f>V5269*N5269*O5269</f>
        <v/>
      </c>
      <c r="X5269" s="12">
        <f>IF(LEFT(I5269,2)="MV",2*N5269*IF(L5269="1/C",O5269,1),0)</f>
        <v/>
      </c>
      <c r="Y5269" s="12">
        <f>IF(OR(LEFT(K5269,4)="LVAX",LEFT(K5269,6)="MV15AX",LEFT(K5269,4)="CTAX",LEFT(K5269,2)="W|"),2*N5269*O5269,0)</f>
        <v/>
      </c>
      <c r="Z5269" s="12" t="inlineStr">
        <is>
          <t>12 sets of 4 x 1/C</t>
        </is>
      </c>
      <c r="AA5269" s="12">
        <f>N5269*O5269</f>
        <v/>
      </c>
    </row>
    <row r="5270">
      <c r="A5270" s="12" t="inlineStr">
        <is>
          <t>I-P-0106</t>
        </is>
      </c>
      <c r="B5270" s="12" t="inlineStr">
        <is>
          <t>I</t>
        </is>
      </c>
      <c r="C5270" s="12" t="inlineStr">
        <is>
          <t>Modular / portable power</t>
        </is>
      </c>
      <c r="D5270" s="12" t="inlineStr">
        <is>
          <t>PGS-SWG main 2 to PGS-TX2 480 V secondary</t>
        </is>
      </c>
      <c r="E5270" s="12" t="inlineStr">
        <is>
          <t>PGS-SWG</t>
        </is>
      </c>
      <c r="F5270" s="12" t="inlineStr">
        <is>
          <t>PGS-SWG: 480 V paralleling switchgear (8 generator breakers, 2 transfo</t>
        </is>
      </c>
      <c r="G5270" s="12" t="inlineStr">
        <is>
          <t>PGS-TX2</t>
        </is>
      </c>
      <c r="H5270" s="12" t="inlineStr">
        <is>
          <t>PGS-TX2: 480 V : 34.5 kV, ~5 MVA loop-feed pad-mount (gensets 5-8)</t>
        </is>
      </c>
      <c r="I5270" s="12" t="inlineStr">
        <is>
          <t>LV 600 V</t>
        </is>
      </c>
      <c r="J5270" s="12" t="inlineStr">
        <is>
          <t>XHHW-2 600 V 1/C Cu (feeder sets in tray / duct)</t>
        </is>
      </c>
      <c r="K5270" s="12" t="inlineStr">
        <is>
          <t>LV1C|1/C|600</t>
        </is>
      </c>
      <c r="L5270" s="12" t="inlineStr">
        <is>
          <t>1/C</t>
        </is>
      </c>
      <c r="M5270" s="12" t="inlineStr">
        <is>
          <t>600 kcmil</t>
        </is>
      </c>
      <c r="N5270" s="12" t="n">
        <v>12</v>
      </c>
      <c r="O5270" s="12" t="n">
        <v>4</v>
      </c>
      <c r="P5270" s="12" t="n">
        <v>480</v>
      </c>
      <c r="Q5270" s="12" t="n">
        <v>4000</v>
      </c>
      <c r="R5270" s="12" t="n">
        <v>4811</v>
      </c>
      <c r="S5270" s="12" t="inlineStr">
        <is>
          <t>Surface</t>
        </is>
      </c>
      <c r="T5270" s="15" t="n">
        <v>46</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12 sets of 4 x 1/C</t>
        </is>
      </c>
      <c r="AA5270" s="12">
        <f>N5270*O5270</f>
        <v/>
      </c>
    </row>
    <row r="5271">
      <c r="A5271" s="12" t="inlineStr">
        <is>
          <t>I-P-0107</t>
        </is>
      </c>
      <c r="B5271" s="12" t="inlineStr">
        <is>
          <t>I</t>
        </is>
      </c>
      <c r="C5271" s="12" t="inlineStr">
        <is>
          <t>Modular / portable power</t>
        </is>
      </c>
      <c r="D5271" s="12" t="inlineStr">
        <is>
          <t>Motor 1 of 1, 15 kW</t>
        </is>
      </c>
      <c r="E5271" s="12" t="inlineStr"/>
      <c r="F5271" s="12" t="inlineStr">
        <is>
          <t>PCM: power control module</t>
        </is>
      </c>
      <c r="G5271" s="12" t="inlineStr"/>
      <c r="H5271" s="12" t="inlineStr">
        <is>
          <t>RICE 1 SCR + oxidation catalyst and stack</t>
        </is>
      </c>
      <c r="I5271" s="12" t="inlineStr">
        <is>
          <t>LV 600 V</t>
        </is>
      </c>
      <c r="J5271" s="12" t="inlineStr">
        <is>
          <t>Type TC-ER 600 V 3/C Cu XHHW-2 + ground, PVC jacket</t>
        </is>
      </c>
      <c r="K5271" s="12" t="inlineStr">
        <is>
          <t>LV|3/C+G|6</t>
        </is>
      </c>
      <c r="L5271" s="12" t="inlineStr">
        <is>
          <t>3/C+G</t>
        </is>
      </c>
      <c r="M5271" s="12" t="inlineStr">
        <is>
          <t>6</t>
        </is>
      </c>
      <c r="N5271" s="12" t="n">
        <v>1</v>
      </c>
      <c r="O5271" s="12" t="n">
        <v>1</v>
      </c>
      <c r="P5271" s="12" t="n">
        <v>480</v>
      </c>
      <c r="Q5271" s="12" t="n">
        <v>15</v>
      </c>
      <c r="R5271" s="12" t="n">
        <v>21.2</v>
      </c>
      <c r="S5271" s="12" t="inlineStr">
        <is>
          <t>Duct bank</t>
        </is>
      </c>
      <c r="T5271" s="15" t="n">
        <v>436</v>
      </c>
      <c r="U5271" s="15" t="n">
        <v>160</v>
      </c>
      <c r="V5271" s="15">
        <f>ROUNDUP((T5271+U5271+2*'Read Me'!$B$13)*(1+'Read Me'!$B$12),-1)</f>
        <v/>
      </c>
      <c r="W5271" s="15">
        <f>V5271*N5271*O5271</f>
        <v/>
      </c>
      <c r="X5271" s="12">
        <f>IF(LEFT(I5271,2)="MV",2*N5271*IF(L5271="1/C",O5271,1),0)</f>
        <v/>
      </c>
      <c r="Y5271" s="12">
        <f>IF(OR(LEFT(K5271,4)="LVAX",LEFT(K5271,6)="MV15AX",LEFT(K5271,4)="CTAX",LEFT(K5271,2)="W|"),2*N5271*O5271,0)</f>
        <v/>
      </c>
      <c r="Z5271" s="12" t="inlineStr">
        <is>
          <t>VD 2.5 %</t>
        </is>
      </c>
      <c r="AA5271" s="12">
        <f>N5271*O5271</f>
        <v/>
      </c>
    </row>
    <row r="5272">
      <c r="A5272" s="12" t="inlineStr">
        <is>
          <t>I-P-0108</t>
        </is>
      </c>
      <c r="B5272" s="12" t="inlineStr">
        <is>
          <t>I</t>
        </is>
      </c>
      <c r="C5272" s="12" t="inlineStr">
        <is>
          <t>Modular / portable power</t>
        </is>
      </c>
      <c r="D5272" s="12" t="inlineStr">
        <is>
          <t>Area / platform lighting circuit 1 (6 fixtures)</t>
        </is>
      </c>
      <c r="E5272" s="12" t="inlineStr"/>
      <c r="F5272" s="12" t="inlineStr">
        <is>
          <t>PCM: power control module</t>
        </is>
      </c>
      <c r="G5272" s="12" t="inlineStr"/>
      <c r="H5272" s="12" t="inlineStr">
        <is>
          <t>RICE 1 SCR + oxidation catalyst and stack</t>
        </is>
      </c>
      <c r="I5272" s="12" t="inlineStr">
        <is>
          <t>LV 600 V</t>
        </is>
      </c>
      <c r="J5272" s="12" t="inlineStr">
        <is>
          <t>Type TC-ER 600 V 3/C Cu XHHW-2 + ground, PVC jacket</t>
        </is>
      </c>
      <c r="K5272" s="12" t="inlineStr">
        <is>
          <t>LV|3/C+G|10</t>
        </is>
      </c>
      <c r="L5272" s="12" t="inlineStr">
        <is>
          <t>3/C+G</t>
        </is>
      </c>
      <c r="M5272" s="12" t="inlineStr">
        <is>
          <t>10</t>
        </is>
      </c>
      <c r="N5272" s="12" t="n">
        <v>1</v>
      </c>
      <c r="O5272" s="12" t="n">
        <v>1</v>
      </c>
      <c r="P5272" s="12" t="n">
        <v>480</v>
      </c>
      <c r="Q5272" s="12" t="n">
        <v>3</v>
      </c>
      <c r="R5272" s="12" t="n">
        <v>5</v>
      </c>
      <c r="S5272" s="12" t="inlineStr">
        <is>
          <t>Duct bank</t>
        </is>
      </c>
      <c r="T5272" s="15" t="n">
        <v>736</v>
      </c>
      <c r="U5272" s="15" t="n">
        <v>160</v>
      </c>
      <c r="V5272" s="15">
        <f>ROUNDUP((T5272+U5272+2*'Read Me'!$B$13)*(1+'Read Me'!$B$12),-1)</f>
        <v/>
      </c>
      <c r="W5272" s="15">
        <f>V5272*N5272*O5272</f>
        <v/>
      </c>
      <c r="X5272" s="12">
        <f>IF(LEFT(I5272,2)="MV",2*N5272*IF(L5272="1/C",O5272,1),0)</f>
        <v/>
      </c>
      <c r="Y5272" s="12">
        <f>IF(OR(LEFT(K5272,4)="LVAX",LEFT(K5272,6)="MV15AX",LEFT(K5272,4)="CTAX",LEFT(K5272,2)="W|"),2*N5272*O5272,0)</f>
        <v/>
      </c>
      <c r="Z5272" s="12" t="inlineStr">
        <is>
          <t>fixture-to-fixture run included</t>
        </is>
      </c>
      <c r="AA5272" s="12">
        <f>N5272*O5272</f>
        <v/>
      </c>
    </row>
    <row r="5273">
      <c r="A5273" s="12" t="inlineStr">
        <is>
          <t>I-P-0109</t>
        </is>
      </c>
      <c r="B5273" s="12" t="inlineStr">
        <is>
          <t>I</t>
        </is>
      </c>
      <c r="C5273" s="12" t="inlineStr">
        <is>
          <t>Modular / portable power</t>
        </is>
      </c>
      <c r="D5273" s="12" t="inlineStr">
        <is>
          <t>Motor 1 of 5, 30 kW (VFD output)</t>
        </is>
      </c>
      <c r="E5273" s="12" t="inlineStr"/>
      <c r="F5273" s="12" t="inlineStr">
        <is>
          <t>PCM: power control module</t>
        </is>
      </c>
      <c r="G5273" s="12" t="inlineStr"/>
      <c r="H5273" s="12" t="inlineStr">
        <is>
          <t>RICE 1 radiators (5)</t>
        </is>
      </c>
      <c r="I5273" s="12" t="inlineStr">
        <is>
          <t>LV 600 V</t>
        </is>
      </c>
      <c r="J5273" s="12" t="inlineStr">
        <is>
          <t>VFD cable 600 V 3/C Cu XHHW-2, 3 symmetrical grounds, overall Cu tape shield, TC-ER</t>
        </is>
      </c>
      <c r="K5273" s="12" t="inlineStr">
        <is>
          <t>VFD|3/C+3G|1</t>
        </is>
      </c>
      <c r="L5273" s="12" t="inlineStr">
        <is>
          <t>3/C+3G</t>
        </is>
      </c>
      <c r="M5273" s="12" t="inlineStr">
        <is>
          <t>1</t>
        </is>
      </c>
      <c r="N5273" s="12" t="n">
        <v>1</v>
      </c>
      <c r="O5273" s="12" t="n">
        <v>1</v>
      </c>
      <c r="P5273" s="12" t="n">
        <v>480</v>
      </c>
      <c r="Q5273" s="12" t="n">
        <v>30</v>
      </c>
      <c r="R5273" s="12" t="n">
        <v>42</v>
      </c>
      <c r="S5273" s="12" t="inlineStr">
        <is>
          <t>Duct bank</t>
        </is>
      </c>
      <c r="T5273" s="15" t="n">
        <v>791</v>
      </c>
      <c r="U5273" s="15" t="n">
        <v>139</v>
      </c>
      <c r="V5273" s="15">
        <f>ROUNDUP((T5273+U5273+2*'Read Me'!$B$13)*(1+'Read Me'!$B$12),-1)</f>
        <v/>
      </c>
      <c r="W5273" s="15">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I-P-0110</t>
        </is>
      </c>
      <c r="B5274" s="12" t="inlineStr">
        <is>
          <t>I</t>
        </is>
      </c>
      <c r="C5274" s="12" t="inlineStr">
        <is>
          <t>Modular / portable power</t>
        </is>
      </c>
      <c r="D5274" s="12" t="inlineStr">
        <is>
          <t>Motor 2 of 5, 30 kW (VFD output)</t>
        </is>
      </c>
      <c r="E5274" s="12" t="inlineStr"/>
      <c r="F5274" s="12" t="inlineStr">
        <is>
          <t>PCM: power control module</t>
        </is>
      </c>
      <c r="G5274" s="12" t="inlineStr"/>
      <c r="H5274" s="12" t="inlineStr">
        <is>
          <t>RICE 1 radiators (5)</t>
        </is>
      </c>
      <c r="I5274" s="12" t="inlineStr">
        <is>
          <t>LV 600 V</t>
        </is>
      </c>
      <c r="J5274" s="12" t="inlineStr">
        <is>
          <t>VFD cable 600 V 3/C Cu XHHW-2, 3 symmetrical grounds, overall Cu tape shield, TC-ER</t>
        </is>
      </c>
      <c r="K5274" s="12" t="inlineStr">
        <is>
          <t>VFD|3/C+3G|1</t>
        </is>
      </c>
      <c r="L5274" s="12" t="inlineStr">
        <is>
          <t>3/C+3G</t>
        </is>
      </c>
      <c r="M5274" s="12" t="inlineStr">
        <is>
          <t>1</t>
        </is>
      </c>
      <c r="N5274" s="12" t="n">
        <v>1</v>
      </c>
      <c r="O5274" s="12" t="n">
        <v>1</v>
      </c>
      <c r="P5274" s="12" t="n">
        <v>480</v>
      </c>
      <c r="Q5274" s="12" t="n">
        <v>30</v>
      </c>
      <c r="R5274" s="12" t="n">
        <v>42</v>
      </c>
      <c r="S5274" s="12" t="inlineStr">
        <is>
          <t>Duct bank</t>
        </is>
      </c>
      <c r="T5274" s="15" t="n">
        <v>791</v>
      </c>
      <c r="U5274" s="15" t="n">
        <v>139</v>
      </c>
      <c r="V5274" s="15">
        <f>ROUNDUP((T5274+U5274+2*'Read Me'!$B$13)*(1+'Read Me'!$B$12),-1)</f>
        <v/>
      </c>
      <c r="W5274" s="15">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I-P-0111</t>
        </is>
      </c>
      <c r="B5275" s="12" t="inlineStr">
        <is>
          <t>I</t>
        </is>
      </c>
      <c r="C5275" s="12" t="inlineStr">
        <is>
          <t>Modular / portable power</t>
        </is>
      </c>
      <c r="D5275" s="12" t="inlineStr">
        <is>
          <t>Motor 3 of 5, 30 kW (VFD output)</t>
        </is>
      </c>
      <c r="E5275" s="12" t="inlineStr"/>
      <c r="F5275" s="12" t="inlineStr">
        <is>
          <t>PCM: power control module</t>
        </is>
      </c>
      <c r="G5275" s="12" t="inlineStr"/>
      <c r="H5275" s="12" t="inlineStr">
        <is>
          <t>RICE 1 radiators (5)</t>
        </is>
      </c>
      <c r="I5275" s="12" t="inlineStr">
        <is>
          <t>LV 600 V</t>
        </is>
      </c>
      <c r="J5275" s="12" t="inlineStr">
        <is>
          <t>VFD cable 600 V 3/C Cu XHHW-2, 3 symmetrical grounds, overall Cu tape shield, TC-ER</t>
        </is>
      </c>
      <c r="K5275" s="12" t="inlineStr">
        <is>
          <t>VFD|3/C+3G|1</t>
        </is>
      </c>
      <c r="L5275" s="12" t="inlineStr">
        <is>
          <t>3/C+3G</t>
        </is>
      </c>
      <c r="M5275" s="12" t="inlineStr">
        <is>
          <t>1</t>
        </is>
      </c>
      <c r="N5275" s="12" t="n">
        <v>1</v>
      </c>
      <c r="O5275" s="12" t="n">
        <v>1</v>
      </c>
      <c r="P5275" s="12" t="n">
        <v>480</v>
      </c>
      <c r="Q5275" s="12" t="n">
        <v>30</v>
      </c>
      <c r="R5275" s="12" t="n">
        <v>42</v>
      </c>
      <c r="S5275" s="12" t="inlineStr">
        <is>
          <t>Duct bank</t>
        </is>
      </c>
      <c r="T5275" s="15" t="n">
        <v>791</v>
      </c>
      <c r="U5275" s="15" t="n">
        <v>139</v>
      </c>
      <c r="V5275" s="15">
        <f>ROUNDUP((T5275+U5275+2*'Read Me'!$B$13)*(1+'Read Me'!$B$12),-1)</f>
        <v/>
      </c>
      <c r="W5275" s="15">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I-P-0112</t>
        </is>
      </c>
      <c r="B5276" s="12" t="inlineStr">
        <is>
          <t>I</t>
        </is>
      </c>
      <c r="C5276" s="12" t="inlineStr">
        <is>
          <t>Modular / portable power</t>
        </is>
      </c>
      <c r="D5276" s="12" t="inlineStr">
        <is>
          <t>Motor 4 of 5, 30 kW (VFD output)</t>
        </is>
      </c>
      <c r="E5276" s="12" t="inlineStr"/>
      <c r="F5276" s="12" t="inlineStr">
        <is>
          <t>PCM: power control module</t>
        </is>
      </c>
      <c r="G5276" s="12" t="inlineStr"/>
      <c r="H5276" s="12" t="inlineStr">
        <is>
          <t>RICE 1 radiators (5)</t>
        </is>
      </c>
      <c r="I5276" s="12" t="inlineStr">
        <is>
          <t>LV 600 V</t>
        </is>
      </c>
      <c r="J5276" s="12" t="inlineStr">
        <is>
          <t>VFD cable 600 V 3/C Cu XHHW-2, 3 symmetrical grounds, overall Cu tape shield, TC-ER</t>
        </is>
      </c>
      <c r="K5276" s="12" t="inlineStr">
        <is>
          <t>VFD|3/C+3G|1</t>
        </is>
      </c>
      <c r="L5276" s="12" t="inlineStr">
        <is>
          <t>3/C+3G</t>
        </is>
      </c>
      <c r="M5276" s="12" t="inlineStr">
        <is>
          <t>1</t>
        </is>
      </c>
      <c r="N5276" s="12" t="n">
        <v>1</v>
      </c>
      <c r="O5276" s="12" t="n">
        <v>1</v>
      </c>
      <c r="P5276" s="12" t="n">
        <v>480</v>
      </c>
      <c r="Q5276" s="12" t="n">
        <v>30</v>
      </c>
      <c r="R5276" s="12" t="n">
        <v>42</v>
      </c>
      <c r="S5276" s="12" t="inlineStr">
        <is>
          <t>Duct bank</t>
        </is>
      </c>
      <c r="T5276" s="15" t="n">
        <v>791</v>
      </c>
      <c r="U5276" s="15" t="n">
        <v>139</v>
      </c>
      <c r="V5276" s="15">
        <f>ROUNDUP((T5276+U5276+2*'Read Me'!$B$13)*(1+'Read Me'!$B$12),-1)</f>
        <v/>
      </c>
      <c r="W5276" s="15">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I-P-0113</t>
        </is>
      </c>
      <c r="B5277" s="12" t="inlineStr">
        <is>
          <t>I</t>
        </is>
      </c>
      <c r="C5277" s="12" t="inlineStr">
        <is>
          <t>Modular / portable power</t>
        </is>
      </c>
      <c r="D5277" s="12" t="inlineStr">
        <is>
          <t>Motor 5 of 5, 30 kW (VFD output)</t>
        </is>
      </c>
      <c r="E5277" s="12" t="inlineStr"/>
      <c r="F5277" s="12" t="inlineStr">
        <is>
          <t>PCM: power control module</t>
        </is>
      </c>
      <c r="G5277" s="12" t="inlineStr"/>
      <c r="H5277" s="12" t="inlineStr">
        <is>
          <t>RICE 1 radiators (5)</t>
        </is>
      </c>
      <c r="I5277" s="12" t="inlineStr">
        <is>
          <t>LV 600 V</t>
        </is>
      </c>
      <c r="J5277" s="12" t="inlineStr">
        <is>
          <t>VFD cable 600 V 3/C Cu XHHW-2, 3 symmetrical grounds, overall Cu tape shield, TC-ER</t>
        </is>
      </c>
      <c r="K5277" s="12" t="inlineStr">
        <is>
          <t>VFD|3/C+3G|1</t>
        </is>
      </c>
      <c r="L5277" s="12" t="inlineStr">
        <is>
          <t>3/C+3G</t>
        </is>
      </c>
      <c r="M5277" s="12" t="inlineStr">
        <is>
          <t>1</t>
        </is>
      </c>
      <c r="N5277" s="12" t="n">
        <v>1</v>
      </c>
      <c r="O5277" s="12" t="n">
        <v>1</v>
      </c>
      <c r="P5277" s="12" t="n">
        <v>480</v>
      </c>
      <c r="Q5277" s="12" t="n">
        <v>30</v>
      </c>
      <c r="R5277" s="12" t="n">
        <v>42</v>
      </c>
      <c r="S5277" s="12" t="inlineStr">
        <is>
          <t>Duct bank</t>
        </is>
      </c>
      <c r="T5277" s="15" t="n">
        <v>791</v>
      </c>
      <c r="U5277" s="15" t="n">
        <v>139</v>
      </c>
      <c r="V5277" s="15">
        <f>ROUNDUP((T5277+U5277+2*'Read Me'!$B$13)*(1+'Read Me'!$B$12),-1)</f>
        <v/>
      </c>
      <c r="W5277" s="15">
        <f>V5277*N5277*O5277</f>
        <v/>
      </c>
      <c r="X5277" s="12">
        <f>IF(LEFT(I5277,2)="MV",2*N5277*IF(L5277="1/C",O5277,1),0)</f>
        <v/>
      </c>
      <c r="Y5277" s="12">
        <f>IF(OR(LEFT(K5277,4)="LVAX",LEFT(K5277,6)="MV15AX",LEFT(K5277,4)="CTAX",LEFT(K5277,2)="W|"),2*N5277*O5277,0)</f>
        <v/>
      </c>
      <c r="Z5277" s="12" t="inlineStr">
        <is>
          <t>VD 2.4 %</t>
        </is>
      </c>
      <c r="AA5277" s="12">
        <f>N5277*O5277</f>
        <v/>
      </c>
    </row>
    <row r="5278">
      <c r="A5278" s="12" t="inlineStr">
        <is>
          <t>I-P-0114</t>
        </is>
      </c>
      <c r="B5278" s="12" t="inlineStr">
        <is>
          <t>I</t>
        </is>
      </c>
      <c r="C5278" s="12" t="inlineStr">
        <is>
          <t>Modular / portable power</t>
        </is>
      </c>
      <c r="D5278" s="12" t="inlineStr">
        <is>
          <t>Motor 1 of 1, 15 kW</t>
        </is>
      </c>
      <c r="E5278" s="12" t="inlineStr"/>
      <c r="F5278" s="12" t="inlineStr">
        <is>
          <t>PCM: power control module</t>
        </is>
      </c>
      <c r="G5278" s="12" t="inlineStr"/>
      <c r="H5278" s="12" t="inlineStr">
        <is>
          <t>RICE 2 SCR + oxidation catalyst and stack</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15</v>
      </c>
      <c r="R5278" s="12" t="n">
        <v>21.2</v>
      </c>
      <c r="S5278" s="12" t="inlineStr">
        <is>
          <t>Duct bank</t>
        </is>
      </c>
      <c r="T5278" s="15" t="n">
        <v>436</v>
      </c>
      <c r="U5278" s="15" t="n">
        <v>132</v>
      </c>
      <c r="V5278" s="15">
        <f>ROUNDUP((T5278+U5278+2*'Read Me'!$B$13)*(1+'Read Me'!$B$12),-1)</f>
        <v/>
      </c>
      <c r="W5278" s="15">
        <f>V5278*N5278*O5278</f>
        <v/>
      </c>
      <c r="X5278" s="12">
        <f>IF(LEFT(I5278,2)="MV",2*N5278*IF(L5278="1/C",O5278,1),0)</f>
        <v/>
      </c>
      <c r="Y5278" s="12">
        <f>IF(OR(LEFT(K5278,4)="LVAX",LEFT(K5278,6)="MV15AX",LEFT(K5278,4)="CTAX",LEFT(K5278,2)="W|"),2*N5278*O5278,0)</f>
        <v/>
      </c>
      <c r="Z5278" s="12" t="inlineStr">
        <is>
          <t>VD 2.3 %</t>
        </is>
      </c>
      <c r="AA5278" s="12">
        <f>N5278*O5278</f>
        <v/>
      </c>
    </row>
    <row r="5279">
      <c r="A5279" s="12" t="inlineStr">
        <is>
          <t>I-P-0115</t>
        </is>
      </c>
      <c r="B5279" s="12" t="inlineStr">
        <is>
          <t>I</t>
        </is>
      </c>
      <c r="C5279" s="12" t="inlineStr">
        <is>
          <t>Modular / portable power</t>
        </is>
      </c>
      <c r="D5279" s="12" t="inlineStr">
        <is>
          <t>Area / platform lighting circuit 1 (6 fixtures)</t>
        </is>
      </c>
      <c r="E5279" s="12" t="inlineStr"/>
      <c r="F5279" s="12" t="inlineStr">
        <is>
          <t>PCM: power control module</t>
        </is>
      </c>
      <c r="G5279" s="12" t="inlineStr"/>
      <c r="H5279" s="12" t="inlineStr">
        <is>
          <t>RICE 2 SCR + oxidation catalyst and stack</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5" t="n">
        <v>736</v>
      </c>
      <c r="U5279" s="15" t="n">
        <v>132</v>
      </c>
      <c r="V5279" s="15">
        <f>ROUNDUP((T5279+U5279+2*'Read Me'!$B$13)*(1+'Read Me'!$B$12),-1)</f>
        <v/>
      </c>
      <c r="W5279" s="15">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I-P-0116</t>
        </is>
      </c>
      <c r="B5280" s="12" t="inlineStr">
        <is>
          <t>I</t>
        </is>
      </c>
      <c r="C5280" s="12" t="inlineStr">
        <is>
          <t>Modular / portable power</t>
        </is>
      </c>
      <c r="D5280" s="12" t="inlineStr">
        <is>
          <t>Motor 1 of 5, 30 kW (VFD output)</t>
        </is>
      </c>
      <c r="E5280" s="12" t="inlineStr"/>
      <c r="F5280" s="12" t="inlineStr">
        <is>
          <t>PCM: power control module</t>
        </is>
      </c>
      <c r="G5280" s="12" t="inlineStr"/>
      <c r="H5280" s="12" t="inlineStr">
        <is>
          <t>RICE 2 radiators (5)</t>
        </is>
      </c>
      <c r="I5280" s="12" t="inlineStr">
        <is>
          <t>LV 600 V</t>
        </is>
      </c>
      <c r="J5280" s="12" t="inlineStr">
        <is>
          <t>VFD cable 600 V 3/C Cu XHHW-2, 3 symmetrical grounds, overall Cu tape shield, TC-ER</t>
        </is>
      </c>
      <c r="K5280" s="12" t="inlineStr">
        <is>
          <t>VFD|3/C+3G|2</t>
        </is>
      </c>
      <c r="L5280" s="12" t="inlineStr">
        <is>
          <t>3/C+3G</t>
        </is>
      </c>
      <c r="M5280" s="12" t="inlineStr">
        <is>
          <t>2</t>
        </is>
      </c>
      <c r="N5280" s="12" t="n">
        <v>1</v>
      </c>
      <c r="O5280" s="12" t="n">
        <v>1</v>
      </c>
      <c r="P5280" s="12" t="n">
        <v>480</v>
      </c>
      <c r="Q5280" s="12" t="n">
        <v>30</v>
      </c>
      <c r="R5280" s="12" t="n">
        <v>42</v>
      </c>
      <c r="S5280" s="12" t="inlineStr">
        <is>
          <t>Duct bank</t>
        </is>
      </c>
      <c r="T5280" s="15" t="n">
        <v>596</v>
      </c>
      <c r="U5280" s="15" t="n">
        <v>192</v>
      </c>
      <c r="V5280" s="15">
        <f>ROUNDUP((T5280+U5280+2*'Read Me'!$B$13)*(1+'Read Me'!$B$12),-1)</f>
        <v/>
      </c>
      <c r="W5280" s="15">
        <f>V5280*N5280*O5280</f>
        <v/>
      </c>
      <c r="X5280" s="12">
        <f>IF(LEFT(I5280,2)="MV",2*N5280*IF(L5280="1/C",O5280,1),0)</f>
        <v/>
      </c>
      <c r="Y5280" s="12">
        <f>IF(OR(LEFT(K5280,4)="LVAX",LEFT(K5280,6)="MV15AX",LEFT(K5280,4)="CTAX",LEFT(K5280,2)="W|"),2*N5280*O5280,0)</f>
        <v/>
      </c>
      <c r="Z5280" s="12" t="inlineStr">
        <is>
          <t>VD 2.6 %</t>
        </is>
      </c>
      <c r="AA5280" s="12">
        <f>N5280*O5280</f>
        <v/>
      </c>
    </row>
    <row r="5281">
      <c r="A5281" s="12" t="inlineStr">
        <is>
          <t>I-P-0117</t>
        </is>
      </c>
      <c r="B5281" s="12" t="inlineStr">
        <is>
          <t>I</t>
        </is>
      </c>
      <c r="C5281" s="12" t="inlineStr">
        <is>
          <t>Modular / portable power</t>
        </is>
      </c>
      <c r="D5281" s="12" t="inlineStr">
        <is>
          <t>Motor 2 of 5, 30 kW (VFD output)</t>
        </is>
      </c>
      <c r="E5281" s="12" t="inlineStr"/>
      <c r="F5281" s="12" t="inlineStr">
        <is>
          <t>PCM: power control module</t>
        </is>
      </c>
      <c r="G5281" s="12" t="inlineStr"/>
      <c r="H5281" s="12" t="inlineStr">
        <is>
          <t>RICE 2 radiators (5)</t>
        </is>
      </c>
      <c r="I5281" s="12" t="inlineStr">
        <is>
          <t>LV 600 V</t>
        </is>
      </c>
      <c r="J5281" s="12" t="inlineStr">
        <is>
          <t>VFD cable 600 V 3/C Cu XHHW-2, 3 symmetrical grounds, overall Cu tape shield, TC-ER</t>
        </is>
      </c>
      <c r="K5281" s="12" t="inlineStr">
        <is>
          <t>VFD|3/C+3G|2</t>
        </is>
      </c>
      <c r="L5281" s="12" t="inlineStr">
        <is>
          <t>3/C+3G</t>
        </is>
      </c>
      <c r="M5281" s="12" t="inlineStr">
        <is>
          <t>2</t>
        </is>
      </c>
      <c r="N5281" s="12" t="n">
        <v>1</v>
      </c>
      <c r="O5281" s="12" t="n">
        <v>1</v>
      </c>
      <c r="P5281" s="12" t="n">
        <v>480</v>
      </c>
      <c r="Q5281" s="12" t="n">
        <v>30</v>
      </c>
      <c r="R5281" s="12" t="n">
        <v>42</v>
      </c>
      <c r="S5281" s="12" t="inlineStr">
        <is>
          <t>Duct bank</t>
        </is>
      </c>
      <c r="T5281" s="15" t="n">
        <v>596</v>
      </c>
      <c r="U5281" s="15" t="n">
        <v>192</v>
      </c>
      <c r="V5281" s="15">
        <f>ROUNDUP((T5281+U5281+2*'Read Me'!$B$13)*(1+'Read Me'!$B$12),-1)</f>
        <v/>
      </c>
      <c r="W5281" s="15">
        <f>V5281*N5281*O5281</f>
        <v/>
      </c>
      <c r="X5281" s="12">
        <f>IF(LEFT(I5281,2)="MV",2*N5281*IF(L5281="1/C",O5281,1),0)</f>
        <v/>
      </c>
      <c r="Y5281" s="12">
        <f>IF(OR(LEFT(K5281,4)="LVAX",LEFT(K5281,6)="MV15AX",LEFT(K5281,4)="CTAX",LEFT(K5281,2)="W|"),2*N5281*O5281,0)</f>
        <v/>
      </c>
      <c r="Z5281" s="12" t="inlineStr">
        <is>
          <t>VD 2.6 %</t>
        </is>
      </c>
      <c r="AA5281" s="12">
        <f>N5281*O5281</f>
        <v/>
      </c>
    </row>
    <row r="5282">
      <c r="A5282" s="12" t="inlineStr">
        <is>
          <t>I-P-0118</t>
        </is>
      </c>
      <c r="B5282" s="12" t="inlineStr">
        <is>
          <t>I</t>
        </is>
      </c>
      <c r="C5282" s="12" t="inlineStr">
        <is>
          <t>Modular / portable power</t>
        </is>
      </c>
      <c r="D5282" s="12" t="inlineStr">
        <is>
          <t>Motor 3 of 5, 30 kW (VFD output)</t>
        </is>
      </c>
      <c r="E5282" s="12" t="inlineStr"/>
      <c r="F5282" s="12" t="inlineStr">
        <is>
          <t>PCM: power control module</t>
        </is>
      </c>
      <c r="G5282" s="12" t="inlineStr"/>
      <c r="H5282" s="12" t="inlineStr">
        <is>
          <t>RICE 2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596</v>
      </c>
      <c r="U5282" s="15" t="n">
        <v>192</v>
      </c>
      <c r="V5282" s="15">
        <f>ROUNDUP((T5282+U5282+2*'Read Me'!$B$13)*(1+'Read Me'!$B$12),-1)</f>
        <v/>
      </c>
      <c r="W5282" s="15">
        <f>V5282*N5282*O5282</f>
        <v/>
      </c>
      <c r="X5282" s="12">
        <f>IF(LEFT(I5282,2)="MV",2*N5282*IF(L5282="1/C",O5282,1),0)</f>
        <v/>
      </c>
      <c r="Y5282" s="12">
        <f>IF(OR(LEFT(K5282,4)="LVAX",LEFT(K5282,6)="MV15AX",LEFT(K5282,4)="CTAX",LEFT(K5282,2)="W|"),2*N5282*O5282,0)</f>
        <v/>
      </c>
      <c r="Z5282" s="12" t="inlineStr">
        <is>
          <t>VD 2.6 %</t>
        </is>
      </c>
      <c r="AA5282" s="12">
        <f>N5282*O5282</f>
        <v/>
      </c>
    </row>
    <row r="5283">
      <c r="A5283" s="12" t="inlineStr">
        <is>
          <t>I-P-0119</t>
        </is>
      </c>
      <c r="B5283" s="12" t="inlineStr">
        <is>
          <t>I</t>
        </is>
      </c>
      <c r="C5283" s="12" t="inlineStr">
        <is>
          <t>Modular / portable power</t>
        </is>
      </c>
      <c r="D5283" s="12" t="inlineStr">
        <is>
          <t>Motor 4 of 5, 30 kW (VFD output)</t>
        </is>
      </c>
      <c r="E5283" s="12" t="inlineStr"/>
      <c r="F5283" s="12" t="inlineStr">
        <is>
          <t>PCM: power control module</t>
        </is>
      </c>
      <c r="G5283" s="12" t="inlineStr"/>
      <c r="H5283" s="12" t="inlineStr">
        <is>
          <t>RICE 2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596</v>
      </c>
      <c r="U5283" s="15" t="n">
        <v>192</v>
      </c>
      <c r="V5283" s="15">
        <f>ROUNDUP((T5283+U5283+2*'Read Me'!$B$13)*(1+'Read Me'!$B$12),-1)</f>
        <v/>
      </c>
      <c r="W5283" s="15">
        <f>V5283*N5283*O5283</f>
        <v/>
      </c>
      <c r="X5283" s="12">
        <f>IF(LEFT(I5283,2)="MV",2*N5283*IF(L5283="1/C",O5283,1),0)</f>
        <v/>
      </c>
      <c r="Y5283" s="12">
        <f>IF(OR(LEFT(K5283,4)="LVAX",LEFT(K5283,6)="MV15AX",LEFT(K5283,4)="CTAX",LEFT(K5283,2)="W|"),2*N5283*O5283,0)</f>
        <v/>
      </c>
      <c r="Z5283" s="12" t="inlineStr">
        <is>
          <t>VD 2.6 %</t>
        </is>
      </c>
      <c r="AA5283" s="12">
        <f>N5283*O5283</f>
        <v/>
      </c>
    </row>
    <row r="5284">
      <c r="A5284" s="12" t="inlineStr">
        <is>
          <t>I-P-0120</t>
        </is>
      </c>
      <c r="B5284" s="12" t="inlineStr">
        <is>
          <t>I</t>
        </is>
      </c>
      <c r="C5284" s="12" t="inlineStr">
        <is>
          <t>Modular / portable power</t>
        </is>
      </c>
      <c r="D5284" s="12" t="inlineStr">
        <is>
          <t>Motor 5 of 5, 30 kW (VFD output)</t>
        </is>
      </c>
      <c r="E5284" s="12" t="inlineStr"/>
      <c r="F5284" s="12" t="inlineStr">
        <is>
          <t>PCM: power control module</t>
        </is>
      </c>
      <c r="G5284" s="12" t="inlineStr"/>
      <c r="H5284" s="12" t="inlineStr">
        <is>
          <t>RICE 2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596</v>
      </c>
      <c r="U5284" s="15" t="n">
        <v>192</v>
      </c>
      <c r="V5284" s="15">
        <f>ROUNDUP((T5284+U5284+2*'Read Me'!$B$13)*(1+'Read Me'!$B$12),-1)</f>
        <v/>
      </c>
      <c r="W5284" s="15">
        <f>V5284*N5284*O5284</f>
        <v/>
      </c>
      <c r="X5284" s="12">
        <f>IF(LEFT(I5284,2)="MV",2*N5284*IF(L5284="1/C",O5284,1),0)</f>
        <v/>
      </c>
      <c r="Y5284" s="12">
        <f>IF(OR(LEFT(K5284,4)="LVAX",LEFT(K5284,6)="MV15AX",LEFT(K5284,4)="CTAX",LEFT(K5284,2)="W|"),2*N5284*O5284,0)</f>
        <v/>
      </c>
      <c r="Z5284" s="12" t="inlineStr">
        <is>
          <t>VD 2.6 %</t>
        </is>
      </c>
      <c r="AA5284" s="12">
        <f>N5284*O5284</f>
        <v/>
      </c>
    </row>
    <row r="5285">
      <c r="A5285" s="12" t="inlineStr">
        <is>
          <t>I-P-0121</t>
        </is>
      </c>
      <c r="B5285" s="12" t="inlineStr">
        <is>
          <t>I</t>
        </is>
      </c>
      <c r="C5285" s="12" t="inlineStr">
        <is>
          <t>Modular / portable power</t>
        </is>
      </c>
      <c r="D5285" s="12" t="inlineStr">
        <is>
          <t>Motor 1 of 1, 15 kW</t>
        </is>
      </c>
      <c r="E5285" s="12" t="inlineStr"/>
      <c r="F5285" s="12" t="inlineStr">
        <is>
          <t>PCM: power control module</t>
        </is>
      </c>
      <c r="G5285" s="12" t="inlineStr"/>
      <c r="H5285" s="12" t="inlineStr">
        <is>
          <t>RICE 3 SCR + oxidation catalyst and stack</t>
        </is>
      </c>
      <c r="I5285" s="12" t="inlineStr">
        <is>
          <t>LV 600 V</t>
        </is>
      </c>
      <c r="J5285" s="12" t="inlineStr">
        <is>
          <t>Type TC-ER 600 V 3/C Cu XHHW-2 + ground, PVC jacket</t>
        </is>
      </c>
      <c r="K5285" s="12" t="inlineStr">
        <is>
          <t>LV|3/C+G|6</t>
        </is>
      </c>
      <c r="L5285" s="12" t="inlineStr">
        <is>
          <t>3/C+G</t>
        </is>
      </c>
      <c r="M5285" s="12" t="inlineStr">
        <is>
          <t>6</t>
        </is>
      </c>
      <c r="N5285" s="12" t="n">
        <v>1</v>
      </c>
      <c r="O5285" s="12" t="n">
        <v>1</v>
      </c>
      <c r="P5285" s="12" t="n">
        <v>480</v>
      </c>
      <c r="Q5285" s="12" t="n">
        <v>15</v>
      </c>
      <c r="R5285" s="12" t="n">
        <v>21.2</v>
      </c>
      <c r="S5285" s="12" t="inlineStr">
        <is>
          <t>Duct bank</t>
        </is>
      </c>
      <c r="T5285" s="15" t="n">
        <v>436</v>
      </c>
      <c r="U5285" s="15" t="n">
        <v>104</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I-P-0122</t>
        </is>
      </c>
      <c r="B5286" s="12" t="inlineStr">
        <is>
          <t>I</t>
        </is>
      </c>
      <c r="C5286" s="12" t="inlineStr">
        <is>
          <t>Modular / portable power</t>
        </is>
      </c>
      <c r="D5286" s="12" t="inlineStr">
        <is>
          <t>Area / platform lighting circuit 1 (6 fixtures)</t>
        </is>
      </c>
      <c r="E5286" s="12" t="inlineStr"/>
      <c r="F5286" s="12" t="inlineStr">
        <is>
          <t>PCM: power control module</t>
        </is>
      </c>
      <c r="G5286" s="12" t="inlineStr"/>
      <c r="H5286" s="12" t="inlineStr">
        <is>
          <t>RICE 3 SCR + oxidation catalyst and stack</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3</v>
      </c>
      <c r="R5286" s="12" t="n">
        <v>5</v>
      </c>
      <c r="S5286" s="12" t="inlineStr">
        <is>
          <t>Duct bank</t>
        </is>
      </c>
      <c r="T5286" s="15" t="n">
        <v>736</v>
      </c>
      <c r="U5286" s="15" t="n">
        <v>104</v>
      </c>
      <c r="V5286" s="15">
        <f>ROUNDUP((T5286+U5286+2*'Read Me'!$B$13)*(1+'Read Me'!$B$12),-1)</f>
        <v/>
      </c>
      <c r="W5286" s="15">
        <f>V5286*N5286*O5286</f>
        <v/>
      </c>
      <c r="X5286" s="12">
        <f>IF(LEFT(I5286,2)="MV",2*N5286*IF(L5286="1/C",O5286,1),0)</f>
        <v/>
      </c>
      <c r="Y5286" s="12">
        <f>IF(OR(LEFT(K5286,4)="LVAX",LEFT(K5286,6)="MV15AX",LEFT(K5286,4)="CTAX",LEFT(K5286,2)="W|"),2*N5286*O5286,0)</f>
        <v/>
      </c>
      <c r="Z5286" s="12" t="inlineStr">
        <is>
          <t>fixture-to-fixture run included</t>
        </is>
      </c>
      <c r="AA5286" s="12">
        <f>N5286*O5286</f>
        <v/>
      </c>
    </row>
    <row r="5287">
      <c r="A5287" s="12" t="inlineStr">
        <is>
          <t>I-P-0123</t>
        </is>
      </c>
      <c r="B5287" s="12" t="inlineStr">
        <is>
          <t>I</t>
        </is>
      </c>
      <c r="C5287" s="12" t="inlineStr">
        <is>
          <t>Modular / portable power</t>
        </is>
      </c>
      <c r="D5287" s="12" t="inlineStr">
        <is>
          <t>Motor 1 of 5, 30 kW (VFD output)</t>
        </is>
      </c>
      <c r="E5287" s="12" t="inlineStr"/>
      <c r="F5287" s="12" t="inlineStr">
        <is>
          <t>PCM: power control module</t>
        </is>
      </c>
      <c r="G5287" s="12" t="inlineStr"/>
      <c r="H5287" s="12" t="inlineStr">
        <is>
          <t>RICE 3 radiators (5)</t>
        </is>
      </c>
      <c r="I5287" s="12" t="inlineStr">
        <is>
          <t>LV 600 V</t>
        </is>
      </c>
      <c r="J5287" s="12" t="inlineStr">
        <is>
          <t>VFD cable 600 V 3/C Cu XHHW-2, 3 symmetrical grounds, overall Cu tape shield, TC-ER</t>
        </is>
      </c>
      <c r="K5287" s="12" t="inlineStr">
        <is>
          <t>VFD|3/C+3G|2</t>
        </is>
      </c>
      <c r="L5287" s="12" t="inlineStr">
        <is>
          <t>3/C+3G</t>
        </is>
      </c>
      <c r="M5287" s="12" t="inlineStr">
        <is>
          <t>2</t>
        </is>
      </c>
      <c r="N5287" s="12" t="n">
        <v>1</v>
      </c>
      <c r="O5287" s="12" t="n">
        <v>1</v>
      </c>
      <c r="P5287" s="12" t="n">
        <v>480</v>
      </c>
      <c r="Q5287" s="12" t="n">
        <v>30</v>
      </c>
      <c r="R5287" s="12" t="n">
        <v>42</v>
      </c>
      <c r="S5287" s="12" t="inlineStr">
        <is>
          <t>Duct bank</t>
        </is>
      </c>
      <c r="T5287" s="15" t="n">
        <v>424</v>
      </c>
      <c r="U5287" s="15" t="n">
        <v>240</v>
      </c>
      <c r="V5287" s="15">
        <f>ROUNDUP((T5287+U5287+2*'Read Me'!$B$13)*(1+'Read Me'!$B$12),-1)</f>
        <v/>
      </c>
      <c r="W5287" s="15">
        <f>V5287*N5287*O5287</f>
        <v/>
      </c>
      <c r="X5287" s="12">
        <f>IF(LEFT(I5287,2)="MV",2*N5287*IF(L5287="1/C",O5287,1),0)</f>
        <v/>
      </c>
      <c r="Y5287" s="12">
        <f>IF(OR(LEFT(K5287,4)="LVAX",LEFT(K5287,6)="MV15AX",LEFT(K5287,4)="CTAX",LEFT(K5287,2)="W|"),2*N5287*O5287,0)</f>
        <v/>
      </c>
      <c r="Z5287" s="12" t="inlineStr">
        <is>
          <t>VD 2.2 %</t>
        </is>
      </c>
      <c r="AA5287" s="12">
        <f>N5287*O5287</f>
        <v/>
      </c>
    </row>
    <row r="5288">
      <c r="A5288" s="12" t="inlineStr">
        <is>
          <t>I-P-0124</t>
        </is>
      </c>
      <c r="B5288" s="12" t="inlineStr">
        <is>
          <t>I</t>
        </is>
      </c>
      <c r="C5288" s="12" t="inlineStr">
        <is>
          <t>Modular / portable power</t>
        </is>
      </c>
      <c r="D5288" s="12" t="inlineStr">
        <is>
          <t>Motor 2 of 5, 30 kW (VFD output)</t>
        </is>
      </c>
      <c r="E5288" s="12" t="inlineStr"/>
      <c r="F5288" s="12" t="inlineStr">
        <is>
          <t>PCM: power control module</t>
        </is>
      </c>
      <c r="G5288" s="12" t="inlineStr"/>
      <c r="H5288" s="12" t="inlineStr">
        <is>
          <t>RICE 3 radiators (5)</t>
        </is>
      </c>
      <c r="I5288" s="12" t="inlineStr">
        <is>
          <t>LV 600 V</t>
        </is>
      </c>
      <c r="J5288" s="12" t="inlineStr">
        <is>
          <t>VFD cable 600 V 3/C Cu XHHW-2, 3 symmetrical grounds, overall Cu tape shield, TC-ER</t>
        </is>
      </c>
      <c r="K5288" s="12" t="inlineStr">
        <is>
          <t>VFD|3/C+3G|2</t>
        </is>
      </c>
      <c r="L5288" s="12" t="inlineStr">
        <is>
          <t>3/C+3G</t>
        </is>
      </c>
      <c r="M5288" s="12" t="inlineStr">
        <is>
          <t>2</t>
        </is>
      </c>
      <c r="N5288" s="12" t="n">
        <v>1</v>
      </c>
      <c r="O5288" s="12" t="n">
        <v>1</v>
      </c>
      <c r="P5288" s="12" t="n">
        <v>480</v>
      </c>
      <c r="Q5288" s="12" t="n">
        <v>30</v>
      </c>
      <c r="R5288" s="12" t="n">
        <v>42</v>
      </c>
      <c r="S5288" s="12" t="inlineStr">
        <is>
          <t>Duct bank</t>
        </is>
      </c>
      <c r="T5288" s="15" t="n">
        <v>424</v>
      </c>
      <c r="U5288" s="15" t="n">
        <v>240</v>
      </c>
      <c r="V5288" s="15">
        <f>ROUNDUP((T5288+U5288+2*'Read Me'!$B$13)*(1+'Read Me'!$B$12),-1)</f>
        <v/>
      </c>
      <c r="W5288" s="15">
        <f>V5288*N5288*O5288</f>
        <v/>
      </c>
      <c r="X5288" s="12">
        <f>IF(LEFT(I5288,2)="MV",2*N5288*IF(L5288="1/C",O5288,1),0)</f>
        <v/>
      </c>
      <c r="Y5288" s="12">
        <f>IF(OR(LEFT(K5288,4)="LVAX",LEFT(K5288,6)="MV15AX",LEFT(K5288,4)="CTAX",LEFT(K5288,2)="W|"),2*N5288*O5288,0)</f>
        <v/>
      </c>
      <c r="Z5288" s="12" t="inlineStr">
        <is>
          <t>VD 2.2 %</t>
        </is>
      </c>
      <c r="AA5288" s="12">
        <f>N5288*O5288</f>
        <v/>
      </c>
    </row>
    <row r="5289">
      <c r="A5289" s="12" t="inlineStr">
        <is>
          <t>I-P-0125</t>
        </is>
      </c>
      <c r="B5289" s="12" t="inlineStr">
        <is>
          <t>I</t>
        </is>
      </c>
      <c r="C5289" s="12" t="inlineStr">
        <is>
          <t>Modular / portable power</t>
        </is>
      </c>
      <c r="D5289" s="12" t="inlineStr">
        <is>
          <t>Motor 3 of 5, 30 kW (VFD output)</t>
        </is>
      </c>
      <c r="E5289" s="12" t="inlineStr"/>
      <c r="F5289" s="12" t="inlineStr">
        <is>
          <t>PCM: power control module</t>
        </is>
      </c>
      <c r="G5289" s="12" t="inlineStr"/>
      <c r="H5289" s="12" t="inlineStr">
        <is>
          <t>RICE 3 radiators (5)</t>
        </is>
      </c>
      <c r="I5289" s="12" t="inlineStr">
        <is>
          <t>LV 600 V</t>
        </is>
      </c>
      <c r="J5289" s="12" t="inlineStr">
        <is>
          <t>VFD cable 600 V 3/C Cu XHHW-2, 3 symmetrical grounds, overall Cu tape shield, TC-ER</t>
        </is>
      </c>
      <c r="K5289" s="12" t="inlineStr">
        <is>
          <t>VFD|3/C+3G|2</t>
        </is>
      </c>
      <c r="L5289" s="12" t="inlineStr">
        <is>
          <t>3/C+3G</t>
        </is>
      </c>
      <c r="M5289" s="12" t="inlineStr">
        <is>
          <t>2</t>
        </is>
      </c>
      <c r="N5289" s="12" t="n">
        <v>1</v>
      </c>
      <c r="O5289" s="12" t="n">
        <v>1</v>
      </c>
      <c r="P5289" s="12" t="n">
        <v>480</v>
      </c>
      <c r="Q5289" s="12" t="n">
        <v>30</v>
      </c>
      <c r="R5289" s="12" t="n">
        <v>42</v>
      </c>
      <c r="S5289" s="12" t="inlineStr">
        <is>
          <t>Duct bank</t>
        </is>
      </c>
      <c r="T5289" s="15" t="n">
        <v>424</v>
      </c>
      <c r="U5289" s="15" t="n">
        <v>240</v>
      </c>
      <c r="V5289" s="15">
        <f>ROUNDUP((T5289+U5289+2*'Read Me'!$B$13)*(1+'Read Me'!$B$12),-1)</f>
        <v/>
      </c>
      <c r="W5289" s="15">
        <f>V5289*N5289*O5289</f>
        <v/>
      </c>
      <c r="X5289" s="12">
        <f>IF(LEFT(I5289,2)="MV",2*N5289*IF(L5289="1/C",O5289,1),0)</f>
        <v/>
      </c>
      <c r="Y5289" s="12">
        <f>IF(OR(LEFT(K5289,4)="LVAX",LEFT(K5289,6)="MV15AX",LEFT(K5289,4)="CTAX",LEFT(K5289,2)="W|"),2*N5289*O5289,0)</f>
        <v/>
      </c>
      <c r="Z5289" s="12" t="inlineStr">
        <is>
          <t>VD 2.2 %</t>
        </is>
      </c>
      <c r="AA5289" s="12">
        <f>N5289*O5289</f>
        <v/>
      </c>
    </row>
    <row r="5290">
      <c r="A5290" s="12" t="inlineStr">
        <is>
          <t>I-P-0126</t>
        </is>
      </c>
      <c r="B5290" s="12" t="inlineStr">
        <is>
          <t>I</t>
        </is>
      </c>
      <c r="C5290" s="12" t="inlineStr">
        <is>
          <t>Modular / portable power</t>
        </is>
      </c>
      <c r="D5290" s="12" t="inlineStr">
        <is>
          <t>Motor 4 of 5, 30 kW (VFD output)</t>
        </is>
      </c>
      <c r="E5290" s="12" t="inlineStr"/>
      <c r="F5290" s="12" t="inlineStr">
        <is>
          <t>PCM: power control module</t>
        </is>
      </c>
      <c r="G5290" s="12" t="inlineStr"/>
      <c r="H5290" s="12" t="inlineStr">
        <is>
          <t>RICE 3 radiators (5)</t>
        </is>
      </c>
      <c r="I5290" s="12" t="inlineStr">
        <is>
          <t>LV 600 V</t>
        </is>
      </c>
      <c r="J5290" s="12" t="inlineStr">
        <is>
          <t>VFD cable 600 V 3/C Cu XHHW-2, 3 symmetrical grounds, overall Cu tape shield, TC-ER</t>
        </is>
      </c>
      <c r="K5290" s="12" t="inlineStr">
        <is>
          <t>VFD|3/C+3G|2</t>
        </is>
      </c>
      <c r="L5290" s="12" t="inlineStr">
        <is>
          <t>3/C+3G</t>
        </is>
      </c>
      <c r="M5290" s="12" t="inlineStr">
        <is>
          <t>2</t>
        </is>
      </c>
      <c r="N5290" s="12" t="n">
        <v>1</v>
      </c>
      <c r="O5290" s="12" t="n">
        <v>1</v>
      </c>
      <c r="P5290" s="12" t="n">
        <v>480</v>
      </c>
      <c r="Q5290" s="12" t="n">
        <v>30</v>
      </c>
      <c r="R5290" s="12" t="n">
        <v>42</v>
      </c>
      <c r="S5290" s="12" t="inlineStr">
        <is>
          <t>Duct bank</t>
        </is>
      </c>
      <c r="T5290" s="15" t="n">
        <v>424</v>
      </c>
      <c r="U5290" s="15" t="n">
        <v>240</v>
      </c>
      <c r="V5290" s="15">
        <f>ROUNDUP((T5290+U5290+2*'Read Me'!$B$13)*(1+'Read Me'!$B$12),-1)</f>
        <v/>
      </c>
      <c r="W5290" s="15">
        <f>V5290*N5290*O5290</f>
        <v/>
      </c>
      <c r="X5290" s="12">
        <f>IF(LEFT(I5290,2)="MV",2*N5290*IF(L5290="1/C",O5290,1),0)</f>
        <v/>
      </c>
      <c r="Y5290" s="12">
        <f>IF(OR(LEFT(K5290,4)="LVAX",LEFT(K5290,6)="MV15AX",LEFT(K5290,4)="CTAX",LEFT(K5290,2)="W|"),2*N5290*O5290,0)</f>
        <v/>
      </c>
      <c r="Z5290" s="12" t="inlineStr">
        <is>
          <t>VD 2.2 %</t>
        </is>
      </c>
      <c r="AA5290" s="12">
        <f>N5290*O5290</f>
        <v/>
      </c>
    </row>
    <row r="5291">
      <c r="A5291" s="12" t="inlineStr">
        <is>
          <t>I-P-0127</t>
        </is>
      </c>
      <c r="B5291" s="12" t="inlineStr">
        <is>
          <t>I</t>
        </is>
      </c>
      <c r="C5291" s="12" t="inlineStr">
        <is>
          <t>Modular / portable power</t>
        </is>
      </c>
      <c r="D5291" s="12" t="inlineStr">
        <is>
          <t>Motor 5 of 5, 30 kW (VFD output)</t>
        </is>
      </c>
      <c r="E5291" s="12" t="inlineStr"/>
      <c r="F5291" s="12" t="inlineStr">
        <is>
          <t>PCM: power control module</t>
        </is>
      </c>
      <c r="G5291" s="12" t="inlineStr"/>
      <c r="H5291" s="12" t="inlineStr">
        <is>
          <t>RICE 3 radiators (5)</t>
        </is>
      </c>
      <c r="I5291" s="12" t="inlineStr">
        <is>
          <t>LV 600 V</t>
        </is>
      </c>
      <c r="J5291" s="12" t="inlineStr">
        <is>
          <t>VFD cable 600 V 3/C Cu XHHW-2, 3 symmetrical grounds, overall Cu tape shield, TC-ER</t>
        </is>
      </c>
      <c r="K5291" s="12" t="inlineStr">
        <is>
          <t>VFD|3/C+3G|2</t>
        </is>
      </c>
      <c r="L5291" s="12" t="inlineStr">
        <is>
          <t>3/C+3G</t>
        </is>
      </c>
      <c r="M5291" s="12" t="inlineStr">
        <is>
          <t>2</t>
        </is>
      </c>
      <c r="N5291" s="12" t="n">
        <v>1</v>
      </c>
      <c r="O5291" s="12" t="n">
        <v>1</v>
      </c>
      <c r="P5291" s="12" t="n">
        <v>480</v>
      </c>
      <c r="Q5291" s="12" t="n">
        <v>30</v>
      </c>
      <c r="R5291" s="12" t="n">
        <v>42</v>
      </c>
      <c r="S5291" s="12" t="inlineStr">
        <is>
          <t>Duct bank</t>
        </is>
      </c>
      <c r="T5291" s="15" t="n">
        <v>424</v>
      </c>
      <c r="U5291" s="15" t="n">
        <v>240</v>
      </c>
      <c r="V5291" s="15">
        <f>ROUNDUP((T5291+U5291+2*'Read Me'!$B$13)*(1+'Read Me'!$B$12),-1)</f>
        <v/>
      </c>
      <c r="W5291" s="15">
        <f>V5291*N5291*O5291</f>
        <v/>
      </c>
      <c r="X5291" s="12">
        <f>IF(LEFT(I5291,2)="MV",2*N5291*IF(L5291="1/C",O5291,1),0)</f>
        <v/>
      </c>
      <c r="Y5291" s="12">
        <f>IF(OR(LEFT(K5291,4)="LVAX",LEFT(K5291,6)="MV15AX",LEFT(K5291,4)="CTAX",LEFT(K5291,2)="W|"),2*N5291*O5291,0)</f>
        <v/>
      </c>
      <c r="Z5291" s="12" t="inlineStr">
        <is>
          <t>VD 2.2 %</t>
        </is>
      </c>
      <c r="AA5291" s="12">
        <f>N5291*O5291</f>
        <v/>
      </c>
    </row>
    <row r="5292">
      <c r="A5292" s="12" t="inlineStr">
        <is>
          <t>I-P-0128</t>
        </is>
      </c>
      <c r="B5292" s="12" t="inlineStr">
        <is>
          <t>I</t>
        </is>
      </c>
      <c r="C5292" s="12" t="inlineStr">
        <is>
          <t>Modular / portable power</t>
        </is>
      </c>
      <c r="D5292" s="12" t="inlineStr">
        <is>
          <t>Motor 1 of 1, 15 kW</t>
        </is>
      </c>
      <c r="E5292" s="12" t="inlineStr"/>
      <c r="F5292" s="12" t="inlineStr">
        <is>
          <t>PCM: power control module</t>
        </is>
      </c>
      <c r="G5292" s="12" t="inlineStr"/>
      <c r="H5292" s="12" t="inlineStr">
        <is>
          <t>RICE 4 SCR + oxidation catalyst and stack</t>
        </is>
      </c>
      <c r="I5292" s="12" t="inlineStr">
        <is>
          <t>LV 600 V</t>
        </is>
      </c>
      <c r="J5292" s="12" t="inlineStr">
        <is>
          <t>Type TC-ER 600 V 3/C Cu XHHW-2 + ground, PVC jacket</t>
        </is>
      </c>
      <c r="K5292" s="12" t="inlineStr">
        <is>
          <t>LV|3/C+G|6</t>
        </is>
      </c>
      <c r="L5292" s="12" t="inlineStr">
        <is>
          <t>3/C+G</t>
        </is>
      </c>
      <c r="M5292" s="12" t="inlineStr">
        <is>
          <t>6</t>
        </is>
      </c>
      <c r="N5292" s="12" t="n">
        <v>1</v>
      </c>
      <c r="O5292" s="12" t="n">
        <v>1</v>
      </c>
      <c r="P5292" s="12" t="n">
        <v>480</v>
      </c>
      <c r="Q5292" s="12" t="n">
        <v>15</v>
      </c>
      <c r="R5292" s="12" t="n">
        <v>21.2</v>
      </c>
      <c r="S5292" s="12" t="inlineStr">
        <is>
          <t>Duct bank</t>
        </is>
      </c>
      <c r="T5292" s="15" t="n">
        <v>436</v>
      </c>
      <c r="U5292" s="15" t="n">
        <v>76</v>
      </c>
      <c r="V5292" s="15">
        <f>ROUNDUP((T5292+U5292+2*'Read Me'!$B$13)*(1+'Read Me'!$B$12),-1)</f>
        <v/>
      </c>
      <c r="W5292" s="15">
        <f>V5292*N5292*O5292</f>
        <v/>
      </c>
      <c r="X5292" s="12">
        <f>IF(LEFT(I5292,2)="MV",2*N5292*IF(L5292="1/C",O5292,1),0)</f>
        <v/>
      </c>
      <c r="Y5292" s="12">
        <f>IF(OR(LEFT(K5292,4)="LVAX",LEFT(K5292,6)="MV15AX",LEFT(K5292,4)="CTAX",LEFT(K5292,2)="W|"),2*N5292*O5292,0)</f>
        <v/>
      </c>
      <c r="Z5292" s="12" t="inlineStr">
        <is>
          <t>VD 2.1 %</t>
        </is>
      </c>
      <c r="AA5292" s="12">
        <f>N5292*O5292</f>
        <v/>
      </c>
    </row>
    <row r="5293">
      <c r="A5293" s="12" t="inlineStr">
        <is>
          <t>I-P-0129</t>
        </is>
      </c>
      <c r="B5293" s="12" t="inlineStr">
        <is>
          <t>I</t>
        </is>
      </c>
      <c r="C5293" s="12" t="inlineStr">
        <is>
          <t>Modular / portable power</t>
        </is>
      </c>
      <c r="D5293" s="12" t="inlineStr">
        <is>
          <t>Area / platform lighting circuit 1 (6 fixtures)</t>
        </is>
      </c>
      <c r="E5293" s="12" t="inlineStr"/>
      <c r="F5293" s="12" t="inlineStr">
        <is>
          <t>PCM: power control module</t>
        </is>
      </c>
      <c r="G5293" s="12" t="inlineStr"/>
      <c r="H5293" s="12" t="inlineStr">
        <is>
          <t>RICE 4 SCR + oxidation catalyst and stack</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3</v>
      </c>
      <c r="R5293" s="12" t="n">
        <v>5</v>
      </c>
      <c r="S5293" s="12" t="inlineStr">
        <is>
          <t>Duct bank</t>
        </is>
      </c>
      <c r="T5293" s="15" t="n">
        <v>736</v>
      </c>
      <c r="U5293" s="15" t="n">
        <v>76</v>
      </c>
      <c r="V5293" s="15">
        <f>ROUNDUP((T5293+U5293+2*'Read Me'!$B$13)*(1+'Read Me'!$B$12),-1)</f>
        <v/>
      </c>
      <c r="W5293" s="15">
        <f>V5293*N5293*O5293</f>
        <v/>
      </c>
      <c r="X5293" s="12">
        <f>IF(LEFT(I5293,2)="MV",2*N5293*IF(L5293="1/C",O5293,1),0)</f>
        <v/>
      </c>
      <c r="Y5293" s="12">
        <f>IF(OR(LEFT(K5293,4)="LVAX",LEFT(K5293,6)="MV15AX",LEFT(K5293,4)="CTAX",LEFT(K5293,2)="W|"),2*N5293*O5293,0)</f>
        <v/>
      </c>
      <c r="Z5293" s="12" t="inlineStr">
        <is>
          <t>fixture-to-fixture run included</t>
        </is>
      </c>
      <c r="AA5293" s="12">
        <f>N5293*O5293</f>
        <v/>
      </c>
    </row>
    <row r="5294">
      <c r="A5294" s="12" t="inlineStr">
        <is>
          <t>I-P-0130</t>
        </is>
      </c>
      <c r="B5294" s="12" t="inlineStr">
        <is>
          <t>I</t>
        </is>
      </c>
      <c r="C5294" s="12" t="inlineStr">
        <is>
          <t>Modular / portable power</t>
        </is>
      </c>
      <c r="D5294" s="12" t="inlineStr">
        <is>
          <t>Motor 1 of 5, 30 kW (VFD output)</t>
        </is>
      </c>
      <c r="E5294" s="12" t="inlineStr"/>
      <c r="F5294" s="12" t="inlineStr">
        <is>
          <t>PCM: power control module</t>
        </is>
      </c>
      <c r="G5294" s="12" t="inlineStr"/>
      <c r="H5294" s="12" t="inlineStr">
        <is>
          <t>RICE 4 radiators (5)</t>
        </is>
      </c>
      <c r="I5294" s="12" t="inlineStr">
        <is>
          <t>LV 600 V</t>
        </is>
      </c>
      <c r="J5294" s="12" t="inlineStr">
        <is>
          <t>VFD cable 600 V 3/C Cu XHHW-2, 3 symmetrical grounds, overall Cu tape shield, TC-ER</t>
        </is>
      </c>
      <c r="K5294" s="12" t="inlineStr">
        <is>
          <t>VFD|3/C+3G|6</t>
        </is>
      </c>
      <c r="L5294" s="12" t="inlineStr">
        <is>
          <t>3/C+3G</t>
        </is>
      </c>
      <c r="M5294" s="12" t="inlineStr">
        <is>
          <t>6</t>
        </is>
      </c>
      <c r="N5294" s="12" t="n">
        <v>1</v>
      </c>
      <c r="O5294" s="12" t="n">
        <v>1</v>
      </c>
      <c r="P5294" s="12" t="n">
        <v>480</v>
      </c>
      <c r="Q5294" s="12" t="n">
        <v>30</v>
      </c>
      <c r="R5294" s="12" t="n">
        <v>42</v>
      </c>
      <c r="S5294" s="12" t="inlineStr">
        <is>
          <t>Tray</t>
        </is>
      </c>
      <c r="T5294" s="15" t="n">
        <v>80</v>
      </c>
      <c r="U5294" s="15" t="n">
        <v>206</v>
      </c>
      <c r="V5294" s="15">
        <f>ROUNDUP((T5294+U5294+2*'Read Me'!$B$13)*(1+'Read Me'!$B$12),-1)</f>
        <v/>
      </c>
      <c r="W5294" s="15">
        <f>V5294*N5294*O5294</f>
        <v/>
      </c>
      <c r="X5294" s="12">
        <f>IF(LEFT(I5294,2)="MV",2*N5294*IF(L5294="1/C",O5294,1),0)</f>
        <v/>
      </c>
      <c r="Y5294" s="12">
        <f>IF(OR(LEFT(K5294,4)="LVAX",LEFT(K5294,6)="MV15AX",LEFT(K5294,4)="CTAX",LEFT(K5294,2)="W|"),2*N5294*O5294,0)</f>
        <v/>
      </c>
      <c r="Z5294" s="12" t="inlineStr">
        <is>
          <t>VD 2.4 %</t>
        </is>
      </c>
      <c r="AA5294" s="12">
        <f>N5294*O5294</f>
        <v/>
      </c>
    </row>
    <row r="5295">
      <c r="A5295" s="12" t="inlineStr">
        <is>
          <t>I-P-0131</t>
        </is>
      </c>
      <c r="B5295" s="12" t="inlineStr">
        <is>
          <t>I</t>
        </is>
      </c>
      <c r="C5295" s="12" t="inlineStr">
        <is>
          <t>Modular / portable power</t>
        </is>
      </c>
      <c r="D5295" s="12" t="inlineStr">
        <is>
          <t>Motor 2 of 5, 30 kW (VFD output)</t>
        </is>
      </c>
      <c r="E5295" s="12" t="inlineStr"/>
      <c r="F5295" s="12" t="inlineStr">
        <is>
          <t>PCM: power control module</t>
        </is>
      </c>
      <c r="G5295" s="12" t="inlineStr"/>
      <c r="H5295" s="12" t="inlineStr">
        <is>
          <t>RICE 4 radiators (5)</t>
        </is>
      </c>
      <c r="I5295" s="12" t="inlineStr">
        <is>
          <t>LV 600 V</t>
        </is>
      </c>
      <c r="J5295" s="12" t="inlineStr">
        <is>
          <t>VFD cable 600 V 3/C Cu XHHW-2, 3 symmetrical grounds, overall Cu tape shield, TC-ER</t>
        </is>
      </c>
      <c r="K5295" s="12" t="inlineStr">
        <is>
          <t>VFD|3/C+3G|6</t>
        </is>
      </c>
      <c r="L5295" s="12" t="inlineStr">
        <is>
          <t>3/C+3G</t>
        </is>
      </c>
      <c r="M5295" s="12" t="inlineStr">
        <is>
          <t>6</t>
        </is>
      </c>
      <c r="N5295" s="12" t="n">
        <v>1</v>
      </c>
      <c r="O5295" s="12" t="n">
        <v>1</v>
      </c>
      <c r="P5295" s="12" t="n">
        <v>480</v>
      </c>
      <c r="Q5295" s="12" t="n">
        <v>30</v>
      </c>
      <c r="R5295" s="12" t="n">
        <v>42</v>
      </c>
      <c r="S5295" s="12" t="inlineStr">
        <is>
          <t>Tray</t>
        </is>
      </c>
      <c r="T5295" s="15" t="n">
        <v>80</v>
      </c>
      <c r="U5295" s="15" t="n">
        <v>206</v>
      </c>
      <c r="V5295" s="15">
        <f>ROUNDUP((T5295+U5295+2*'Read Me'!$B$13)*(1+'Read Me'!$B$12),-1)</f>
        <v/>
      </c>
      <c r="W5295" s="15">
        <f>V5295*N5295*O5295</f>
        <v/>
      </c>
      <c r="X5295" s="12">
        <f>IF(LEFT(I5295,2)="MV",2*N5295*IF(L5295="1/C",O5295,1),0)</f>
        <v/>
      </c>
      <c r="Y5295" s="12">
        <f>IF(OR(LEFT(K5295,4)="LVAX",LEFT(K5295,6)="MV15AX",LEFT(K5295,4)="CTAX",LEFT(K5295,2)="W|"),2*N5295*O5295,0)</f>
        <v/>
      </c>
      <c r="Z5295" s="12" t="inlineStr">
        <is>
          <t>VD 2.4 %</t>
        </is>
      </c>
      <c r="AA5295" s="12">
        <f>N5295*O5295</f>
        <v/>
      </c>
    </row>
    <row r="5296">
      <c r="A5296" s="12" t="inlineStr">
        <is>
          <t>I-P-0132</t>
        </is>
      </c>
      <c r="B5296" s="12" t="inlineStr">
        <is>
          <t>I</t>
        </is>
      </c>
      <c r="C5296" s="12" t="inlineStr">
        <is>
          <t>Modular / portable power</t>
        </is>
      </c>
      <c r="D5296" s="12" t="inlineStr">
        <is>
          <t>Motor 3 of 5, 30 kW (VFD output)</t>
        </is>
      </c>
      <c r="E5296" s="12" t="inlineStr"/>
      <c r="F5296" s="12" t="inlineStr">
        <is>
          <t>PCM: power control module</t>
        </is>
      </c>
      <c r="G5296" s="12" t="inlineStr"/>
      <c r="H5296" s="12" t="inlineStr">
        <is>
          <t>RICE 4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206</v>
      </c>
      <c r="V5296" s="15">
        <f>ROUNDUP((T5296+U5296+2*'Read Me'!$B$13)*(1+'Read Me'!$B$12),-1)</f>
        <v/>
      </c>
      <c r="W5296" s="15">
        <f>V5296*N5296*O5296</f>
        <v/>
      </c>
      <c r="X5296" s="12">
        <f>IF(LEFT(I5296,2)="MV",2*N5296*IF(L5296="1/C",O5296,1),0)</f>
        <v/>
      </c>
      <c r="Y5296" s="12">
        <f>IF(OR(LEFT(K5296,4)="LVAX",LEFT(K5296,6)="MV15AX",LEFT(K5296,4)="CTAX",LEFT(K5296,2)="W|"),2*N5296*O5296,0)</f>
        <v/>
      </c>
      <c r="Z5296" s="12" t="inlineStr">
        <is>
          <t>VD 2.4 %</t>
        </is>
      </c>
      <c r="AA5296" s="12">
        <f>N5296*O5296</f>
        <v/>
      </c>
    </row>
    <row r="5297">
      <c r="A5297" s="12" t="inlineStr">
        <is>
          <t>I-P-0133</t>
        </is>
      </c>
      <c r="B5297" s="12" t="inlineStr">
        <is>
          <t>I</t>
        </is>
      </c>
      <c r="C5297" s="12" t="inlineStr">
        <is>
          <t>Modular / portable power</t>
        </is>
      </c>
      <c r="D5297" s="12" t="inlineStr">
        <is>
          <t>Motor 4 of 5, 30 kW (VFD output)</t>
        </is>
      </c>
      <c r="E5297" s="12" t="inlineStr"/>
      <c r="F5297" s="12" t="inlineStr">
        <is>
          <t>PCM: power control module</t>
        </is>
      </c>
      <c r="G5297" s="12" t="inlineStr"/>
      <c r="H5297" s="12" t="inlineStr">
        <is>
          <t>RICE 4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206</v>
      </c>
      <c r="V5297" s="15">
        <f>ROUNDUP((T5297+U5297+2*'Read Me'!$B$13)*(1+'Read Me'!$B$12),-1)</f>
        <v/>
      </c>
      <c r="W5297" s="15">
        <f>V5297*N5297*O5297</f>
        <v/>
      </c>
      <c r="X5297" s="12">
        <f>IF(LEFT(I5297,2)="MV",2*N5297*IF(L5297="1/C",O5297,1),0)</f>
        <v/>
      </c>
      <c r="Y5297" s="12">
        <f>IF(OR(LEFT(K5297,4)="LVAX",LEFT(K5297,6)="MV15AX",LEFT(K5297,4)="CTAX",LEFT(K5297,2)="W|"),2*N5297*O5297,0)</f>
        <v/>
      </c>
      <c r="Z5297" s="12" t="inlineStr">
        <is>
          <t>VD 2.4 %</t>
        </is>
      </c>
      <c r="AA5297" s="12">
        <f>N5297*O5297</f>
        <v/>
      </c>
    </row>
    <row r="5298">
      <c r="A5298" s="12" t="inlineStr">
        <is>
          <t>I-P-0134</t>
        </is>
      </c>
      <c r="B5298" s="12" t="inlineStr">
        <is>
          <t>I</t>
        </is>
      </c>
      <c r="C5298" s="12" t="inlineStr">
        <is>
          <t>Modular / portable power</t>
        </is>
      </c>
      <c r="D5298" s="12" t="inlineStr">
        <is>
          <t>Motor 5 of 5, 30 kW (VFD output)</t>
        </is>
      </c>
      <c r="E5298" s="12" t="inlineStr"/>
      <c r="F5298" s="12" t="inlineStr">
        <is>
          <t>PCM: power control module</t>
        </is>
      </c>
      <c r="G5298" s="12" t="inlineStr"/>
      <c r="H5298" s="12" t="inlineStr">
        <is>
          <t>RICE 4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206</v>
      </c>
      <c r="V5298" s="15">
        <f>ROUNDUP((T5298+U5298+2*'Read Me'!$B$13)*(1+'Read Me'!$B$12),-1)</f>
        <v/>
      </c>
      <c r="W5298" s="15">
        <f>V5298*N5298*O5298</f>
        <v/>
      </c>
      <c r="X5298" s="12">
        <f>IF(LEFT(I5298,2)="MV",2*N5298*IF(L5298="1/C",O5298,1),0)</f>
        <v/>
      </c>
      <c r="Y5298" s="12">
        <f>IF(OR(LEFT(K5298,4)="LVAX",LEFT(K5298,6)="MV15AX",LEFT(K5298,4)="CTAX",LEFT(K5298,2)="W|"),2*N5298*O5298,0)</f>
        <v/>
      </c>
      <c r="Z5298" s="12" t="inlineStr">
        <is>
          <t>VD 2.4 %</t>
        </is>
      </c>
      <c r="AA5298" s="12">
        <f>N5298*O5298</f>
        <v/>
      </c>
    </row>
    <row r="5299">
      <c r="A5299" s="12" t="inlineStr">
        <is>
          <t>I-P-0135</t>
        </is>
      </c>
      <c r="B5299" s="12" t="inlineStr">
        <is>
          <t>I</t>
        </is>
      </c>
      <c r="C5299" s="12" t="inlineStr">
        <is>
          <t>Modular / portable power</t>
        </is>
      </c>
      <c r="D5299" s="12" t="inlineStr">
        <is>
          <t>Motor 1 of 1, 15 kW</t>
        </is>
      </c>
      <c r="E5299" s="12" t="inlineStr"/>
      <c r="F5299" s="12" t="inlineStr">
        <is>
          <t>PCM: power control module</t>
        </is>
      </c>
      <c r="G5299" s="12" t="inlineStr"/>
      <c r="H5299" s="12" t="inlineStr">
        <is>
          <t>RICE 5 SCR + oxidation catalyst and stack</t>
        </is>
      </c>
      <c r="I5299" s="12" t="inlineStr">
        <is>
          <t>LV 600 V</t>
        </is>
      </c>
      <c r="J5299" s="12" t="inlineStr">
        <is>
          <t>Type TC-ER 600 V 3/C Cu XHHW-2 + ground, PVC jacket</t>
        </is>
      </c>
      <c r="K5299" s="12" t="inlineStr">
        <is>
          <t>LV|3/C+G|8</t>
        </is>
      </c>
      <c r="L5299" s="12" t="inlineStr">
        <is>
          <t>3/C+G</t>
        </is>
      </c>
      <c r="M5299" s="12" t="inlineStr">
        <is>
          <t>8</t>
        </is>
      </c>
      <c r="N5299" s="12" t="n">
        <v>1</v>
      </c>
      <c r="O5299" s="12" t="n">
        <v>1</v>
      </c>
      <c r="P5299" s="12" t="n">
        <v>480</v>
      </c>
      <c r="Q5299" s="12" t="n">
        <v>15</v>
      </c>
      <c r="R5299" s="12" t="n">
        <v>21.2</v>
      </c>
      <c r="S5299" s="12" t="inlineStr">
        <is>
          <t>Duct bank</t>
        </is>
      </c>
      <c r="T5299" s="15" t="n">
        <v>158</v>
      </c>
      <c r="U5299" s="15" t="n">
        <v>164</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I-P-0136</t>
        </is>
      </c>
      <c r="B5300" s="12" t="inlineStr">
        <is>
          <t>I</t>
        </is>
      </c>
      <c r="C5300" s="12" t="inlineStr">
        <is>
          <t>Modular / portable power</t>
        </is>
      </c>
      <c r="D5300" s="12" t="inlineStr">
        <is>
          <t>Area / platform lighting circuit 1 (6 fixtures)</t>
        </is>
      </c>
      <c r="E5300" s="12" t="inlineStr"/>
      <c r="F5300" s="12" t="inlineStr">
        <is>
          <t>PCM: power control module</t>
        </is>
      </c>
      <c r="G5300" s="12" t="inlineStr"/>
      <c r="H5300" s="12" t="inlineStr">
        <is>
          <t>RICE 5 SCR + oxidation catalyst and stack</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3</v>
      </c>
      <c r="R5300" s="12" t="n">
        <v>5</v>
      </c>
      <c r="S5300" s="12" t="inlineStr">
        <is>
          <t>Duct bank</t>
        </is>
      </c>
      <c r="T5300" s="15" t="n">
        <v>458</v>
      </c>
      <c r="U5300" s="15" t="n">
        <v>164</v>
      </c>
      <c r="V5300" s="15">
        <f>ROUNDUP((T5300+U5300+2*'Read Me'!$B$13)*(1+'Read Me'!$B$12),-1)</f>
        <v/>
      </c>
      <c r="W5300" s="15">
        <f>V5300*N5300*O5300</f>
        <v/>
      </c>
      <c r="X5300" s="12">
        <f>IF(LEFT(I5300,2)="MV",2*N5300*IF(L5300="1/C",O5300,1),0)</f>
        <v/>
      </c>
      <c r="Y5300" s="12">
        <f>IF(OR(LEFT(K5300,4)="LVAX",LEFT(K5300,6)="MV15AX",LEFT(K5300,4)="CTAX",LEFT(K5300,2)="W|"),2*N5300*O5300,0)</f>
        <v/>
      </c>
      <c r="Z5300" s="12" t="inlineStr">
        <is>
          <t>fixture-to-fixture run included</t>
        </is>
      </c>
      <c r="AA5300" s="12">
        <f>N5300*O5300</f>
        <v/>
      </c>
    </row>
    <row r="5301">
      <c r="A5301" s="12" t="inlineStr">
        <is>
          <t>I-P-0137</t>
        </is>
      </c>
      <c r="B5301" s="12" t="inlineStr">
        <is>
          <t>I</t>
        </is>
      </c>
      <c r="C5301" s="12" t="inlineStr">
        <is>
          <t>Modular / portable power</t>
        </is>
      </c>
      <c r="D5301" s="12" t="inlineStr">
        <is>
          <t>Motor 1 of 5, 30 kW (VFD output)</t>
        </is>
      </c>
      <c r="E5301" s="12" t="inlineStr"/>
      <c r="F5301" s="12" t="inlineStr">
        <is>
          <t>PCM: power control module</t>
        </is>
      </c>
      <c r="G5301" s="12" t="inlineStr"/>
      <c r="H5301" s="12" t="inlineStr">
        <is>
          <t>RICE 5 radiators (5)</t>
        </is>
      </c>
      <c r="I5301" s="12" t="inlineStr">
        <is>
          <t>LV 600 V</t>
        </is>
      </c>
      <c r="J5301" s="12" t="inlineStr">
        <is>
          <t>VFD cable 600 V 3/C Cu XHHW-2, 3 symmetrical grounds, overall Cu tape shield, TC-ER</t>
        </is>
      </c>
      <c r="K5301" s="12" t="inlineStr">
        <is>
          <t>VFD|3/C+3G|6</t>
        </is>
      </c>
      <c r="L5301" s="12" t="inlineStr">
        <is>
          <t>3/C+3G</t>
        </is>
      </c>
      <c r="M5301" s="12" t="inlineStr">
        <is>
          <t>6</t>
        </is>
      </c>
      <c r="N5301" s="12" t="n">
        <v>1</v>
      </c>
      <c r="O5301" s="12" t="n">
        <v>1</v>
      </c>
      <c r="P5301" s="12" t="n">
        <v>480</v>
      </c>
      <c r="Q5301" s="12" t="n">
        <v>30</v>
      </c>
      <c r="R5301" s="12" t="n">
        <v>42</v>
      </c>
      <c r="S5301" s="12" t="inlineStr">
        <is>
          <t>Tray</t>
        </is>
      </c>
      <c r="T5301" s="15" t="n">
        <v>80</v>
      </c>
      <c r="U5301" s="15" t="n">
        <v>178</v>
      </c>
      <c r="V5301" s="15">
        <f>ROUNDUP((T5301+U5301+2*'Read Me'!$B$13)*(1+'Read Me'!$B$12),-1)</f>
        <v/>
      </c>
      <c r="W5301" s="15">
        <f>V5301*N5301*O5301</f>
        <v/>
      </c>
      <c r="X5301" s="12">
        <f>IF(LEFT(I5301,2)="MV",2*N5301*IF(L5301="1/C",O5301,1),0)</f>
        <v/>
      </c>
      <c r="Y5301" s="12">
        <f>IF(OR(LEFT(K5301,4)="LVAX",LEFT(K5301,6)="MV15AX",LEFT(K5301,4)="CTAX",LEFT(K5301,2)="W|"),2*N5301*O5301,0)</f>
        <v/>
      </c>
      <c r="Z5301" s="12" t="inlineStr">
        <is>
          <t>VD 2.1 %</t>
        </is>
      </c>
      <c r="AA5301" s="12">
        <f>N5301*O5301</f>
        <v/>
      </c>
    </row>
    <row r="5302">
      <c r="A5302" s="12" t="inlineStr">
        <is>
          <t>I-P-0138</t>
        </is>
      </c>
      <c r="B5302" s="12" t="inlineStr">
        <is>
          <t>I</t>
        </is>
      </c>
      <c r="C5302" s="12" t="inlineStr">
        <is>
          <t>Modular / portable power</t>
        </is>
      </c>
      <c r="D5302" s="12" t="inlineStr">
        <is>
          <t>Motor 2 of 5, 30 kW (VFD output)</t>
        </is>
      </c>
      <c r="E5302" s="12" t="inlineStr"/>
      <c r="F5302" s="12" t="inlineStr">
        <is>
          <t>PCM: power control module</t>
        </is>
      </c>
      <c r="G5302" s="12" t="inlineStr"/>
      <c r="H5302" s="12" t="inlineStr">
        <is>
          <t>RICE 5 radiators (5)</t>
        </is>
      </c>
      <c r="I5302" s="12" t="inlineStr">
        <is>
          <t>LV 600 V</t>
        </is>
      </c>
      <c r="J5302" s="12" t="inlineStr">
        <is>
          <t>VFD cable 600 V 3/C Cu XHHW-2, 3 symmetrical grounds, overall Cu tape shield, TC-ER</t>
        </is>
      </c>
      <c r="K5302" s="12" t="inlineStr">
        <is>
          <t>VFD|3/C+3G|6</t>
        </is>
      </c>
      <c r="L5302" s="12" t="inlineStr">
        <is>
          <t>3/C+3G</t>
        </is>
      </c>
      <c r="M5302" s="12" t="inlineStr">
        <is>
          <t>6</t>
        </is>
      </c>
      <c r="N5302" s="12" t="n">
        <v>1</v>
      </c>
      <c r="O5302" s="12" t="n">
        <v>1</v>
      </c>
      <c r="P5302" s="12" t="n">
        <v>480</v>
      </c>
      <c r="Q5302" s="12" t="n">
        <v>30</v>
      </c>
      <c r="R5302" s="12" t="n">
        <v>42</v>
      </c>
      <c r="S5302" s="12" t="inlineStr">
        <is>
          <t>Tray</t>
        </is>
      </c>
      <c r="T5302" s="15" t="n">
        <v>80</v>
      </c>
      <c r="U5302" s="15" t="n">
        <v>178</v>
      </c>
      <c r="V5302" s="15">
        <f>ROUNDUP((T5302+U5302+2*'Read Me'!$B$13)*(1+'Read Me'!$B$12),-1)</f>
        <v/>
      </c>
      <c r="W5302" s="15">
        <f>V5302*N5302*O5302</f>
        <v/>
      </c>
      <c r="X5302" s="12">
        <f>IF(LEFT(I5302,2)="MV",2*N5302*IF(L5302="1/C",O5302,1),0)</f>
        <v/>
      </c>
      <c r="Y5302" s="12">
        <f>IF(OR(LEFT(K5302,4)="LVAX",LEFT(K5302,6)="MV15AX",LEFT(K5302,4)="CTAX",LEFT(K5302,2)="W|"),2*N5302*O5302,0)</f>
        <v/>
      </c>
      <c r="Z5302" s="12" t="inlineStr">
        <is>
          <t>VD 2.1 %</t>
        </is>
      </c>
      <c r="AA5302" s="12">
        <f>N5302*O5302</f>
        <v/>
      </c>
    </row>
    <row r="5303">
      <c r="A5303" s="12" t="inlineStr">
        <is>
          <t>I-P-0139</t>
        </is>
      </c>
      <c r="B5303" s="12" t="inlineStr">
        <is>
          <t>I</t>
        </is>
      </c>
      <c r="C5303" s="12" t="inlineStr">
        <is>
          <t>Modular / portable power</t>
        </is>
      </c>
      <c r="D5303" s="12" t="inlineStr">
        <is>
          <t>Motor 3 of 5, 30 kW (VFD output)</t>
        </is>
      </c>
      <c r="E5303" s="12" t="inlineStr"/>
      <c r="F5303" s="12" t="inlineStr">
        <is>
          <t>PCM: power control module</t>
        </is>
      </c>
      <c r="G5303" s="12" t="inlineStr"/>
      <c r="H5303" s="12" t="inlineStr">
        <is>
          <t>RICE 5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178</v>
      </c>
      <c r="V5303" s="15">
        <f>ROUNDUP((T5303+U5303+2*'Read Me'!$B$13)*(1+'Read Me'!$B$12),-1)</f>
        <v/>
      </c>
      <c r="W5303" s="15">
        <f>V5303*N5303*O5303</f>
        <v/>
      </c>
      <c r="X5303" s="12">
        <f>IF(LEFT(I5303,2)="MV",2*N5303*IF(L5303="1/C",O5303,1),0)</f>
        <v/>
      </c>
      <c r="Y5303" s="12">
        <f>IF(OR(LEFT(K5303,4)="LVAX",LEFT(K5303,6)="MV15AX",LEFT(K5303,4)="CTAX",LEFT(K5303,2)="W|"),2*N5303*O5303,0)</f>
        <v/>
      </c>
      <c r="Z5303" s="12" t="inlineStr">
        <is>
          <t>VD 2.1 %</t>
        </is>
      </c>
      <c r="AA5303" s="12">
        <f>N5303*O5303</f>
        <v/>
      </c>
    </row>
    <row r="5304">
      <c r="A5304" s="12" t="inlineStr">
        <is>
          <t>I-P-0140</t>
        </is>
      </c>
      <c r="B5304" s="12" t="inlineStr">
        <is>
          <t>I</t>
        </is>
      </c>
      <c r="C5304" s="12" t="inlineStr">
        <is>
          <t>Modular / portable power</t>
        </is>
      </c>
      <c r="D5304" s="12" t="inlineStr">
        <is>
          <t>Motor 4 of 5, 30 kW (VFD output)</t>
        </is>
      </c>
      <c r="E5304" s="12" t="inlineStr"/>
      <c r="F5304" s="12" t="inlineStr">
        <is>
          <t>PCM: power control module</t>
        </is>
      </c>
      <c r="G5304" s="12" t="inlineStr"/>
      <c r="H5304" s="12" t="inlineStr">
        <is>
          <t>RICE 5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178</v>
      </c>
      <c r="V5304" s="15">
        <f>ROUNDUP((T5304+U5304+2*'Read Me'!$B$13)*(1+'Read Me'!$B$12),-1)</f>
        <v/>
      </c>
      <c r="W5304" s="15">
        <f>V5304*N5304*O5304</f>
        <v/>
      </c>
      <c r="X5304" s="12">
        <f>IF(LEFT(I5304,2)="MV",2*N5304*IF(L5304="1/C",O5304,1),0)</f>
        <v/>
      </c>
      <c r="Y5304" s="12">
        <f>IF(OR(LEFT(K5304,4)="LVAX",LEFT(K5304,6)="MV15AX",LEFT(K5304,4)="CTAX",LEFT(K5304,2)="W|"),2*N5304*O5304,0)</f>
        <v/>
      </c>
      <c r="Z5304" s="12" t="inlineStr">
        <is>
          <t>VD 2.1 %</t>
        </is>
      </c>
      <c r="AA5304" s="12">
        <f>N5304*O5304</f>
        <v/>
      </c>
    </row>
    <row r="5305">
      <c r="A5305" s="12" t="inlineStr">
        <is>
          <t>I-P-0141</t>
        </is>
      </c>
      <c r="B5305" s="12" t="inlineStr">
        <is>
          <t>I</t>
        </is>
      </c>
      <c r="C5305" s="12" t="inlineStr">
        <is>
          <t>Modular / portable power</t>
        </is>
      </c>
      <c r="D5305" s="12" t="inlineStr">
        <is>
          <t>Motor 5 of 5, 30 kW (VFD output)</t>
        </is>
      </c>
      <c r="E5305" s="12" t="inlineStr"/>
      <c r="F5305" s="12" t="inlineStr">
        <is>
          <t>PCM: power control module</t>
        </is>
      </c>
      <c r="G5305" s="12" t="inlineStr"/>
      <c r="H5305" s="12" t="inlineStr">
        <is>
          <t>RICE 5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178</v>
      </c>
      <c r="V5305" s="15">
        <f>ROUNDUP((T5305+U5305+2*'Read Me'!$B$13)*(1+'Read Me'!$B$12),-1)</f>
        <v/>
      </c>
      <c r="W5305" s="15">
        <f>V5305*N5305*O5305</f>
        <v/>
      </c>
      <c r="X5305" s="12">
        <f>IF(LEFT(I5305,2)="MV",2*N5305*IF(L5305="1/C",O5305,1),0)</f>
        <v/>
      </c>
      <c r="Y5305" s="12">
        <f>IF(OR(LEFT(K5305,4)="LVAX",LEFT(K5305,6)="MV15AX",LEFT(K5305,4)="CTAX",LEFT(K5305,2)="W|"),2*N5305*O5305,0)</f>
        <v/>
      </c>
      <c r="Z5305" s="12" t="inlineStr">
        <is>
          <t>VD 2.1 %</t>
        </is>
      </c>
      <c r="AA5305" s="12">
        <f>N5305*O5305</f>
        <v/>
      </c>
    </row>
    <row r="5306">
      <c r="A5306" s="12" t="inlineStr">
        <is>
          <t>I-P-0142</t>
        </is>
      </c>
      <c r="B5306" s="12" t="inlineStr">
        <is>
          <t>I</t>
        </is>
      </c>
      <c r="C5306" s="12" t="inlineStr">
        <is>
          <t>Modular / portable power</t>
        </is>
      </c>
      <c r="D5306" s="12" t="inlineStr">
        <is>
          <t>Motor 1 of 1, 15 kW</t>
        </is>
      </c>
      <c r="E5306" s="12" t="inlineStr"/>
      <c r="F5306" s="12" t="inlineStr">
        <is>
          <t>PCM: power control module</t>
        </is>
      </c>
      <c r="G5306" s="12" t="inlineStr"/>
      <c r="H5306" s="12" t="inlineStr">
        <is>
          <t>RICE 6 SCR + oxidation catalyst and stack</t>
        </is>
      </c>
      <c r="I5306" s="12" t="inlineStr">
        <is>
          <t>LV 600 V</t>
        </is>
      </c>
      <c r="J5306" s="12" t="inlineStr">
        <is>
          <t>Type TC-ER 600 V 3/C Cu XHHW-2 + ground, PVC jacket</t>
        </is>
      </c>
      <c r="K5306" s="12" t="inlineStr">
        <is>
          <t>LV|3/C+G|10</t>
        </is>
      </c>
      <c r="L5306" s="12" t="inlineStr">
        <is>
          <t>3/C+G</t>
        </is>
      </c>
      <c r="M5306" s="12" t="inlineStr">
        <is>
          <t>10</t>
        </is>
      </c>
      <c r="N5306" s="12" t="n">
        <v>1</v>
      </c>
      <c r="O5306" s="12" t="n">
        <v>1</v>
      </c>
      <c r="P5306" s="12" t="n">
        <v>480</v>
      </c>
      <c r="Q5306" s="12" t="n">
        <v>15</v>
      </c>
      <c r="R5306" s="12" t="n">
        <v>21.2</v>
      </c>
      <c r="S5306" s="12" t="inlineStr">
        <is>
          <t>Duct bank</t>
        </is>
      </c>
      <c r="T5306" s="15" t="n">
        <v>113</v>
      </c>
      <c r="U5306" s="15" t="n">
        <v>153</v>
      </c>
      <c r="V5306" s="15">
        <f>ROUNDUP((T5306+U5306+2*'Read Me'!$B$13)*(1+'Read Me'!$B$12),-1)</f>
        <v/>
      </c>
      <c r="W5306" s="15">
        <f>V5306*N5306*O5306</f>
        <v/>
      </c>
      <c r="X5306" s="12">
        <f>IF(LEFT(I5306,2)="MV",2*N5306*IF(L5306="1/C",O5306,1),0)</f>
        <v/>
      </c>
      <c r="Y5306" s="12">
        <f>IF(OR(LEFT(K5306,4)="LVAX",LEFT(K5306,6)="MV15AX",LEFT(K5306,4)="CTAX",LEFT(K5306,2)="W|"),2*N5306*O5306,0)</f>
        <v/>
      </c>
      <c r="Z5306" s="12" t="inlineStr">
        <is>
          <t>VD 2.7 %</t>
        </is>
      </c>
      <c r="AA5306" s="12">
        <f>N5306*O5306</f>
        <v/>
      </c>
    </row>
    <row r="5307">
      <c r="A5307" s="12" t="inlineStr">
        <is>
          <t>I-P-0143</t>
        </is>
      </c>
      <c r="B5307" s="12" t="inlineStr">
        <is>
          <t>I</t>
        </is>
      </c>
      <c r="C5307" s="12" t="inlineStr">
        <is>
          <t>Modular / portable power</t>
        </is>
      </c>
      <c r="D5307" s="12" t="inlineStr">
        <is>
          <t>Area / platform lighting circuit 1 (6 fixtures)</t>
        </is>
      </c>
      <c r="E5307" s="12" t="inlineStr"/>
      <c r="F5307" s="12" t="inlineStr">
        <is>
          <t>PCM: power control module</t>
        </is>
      </c>
      <c r="G5307" s="12" t="inlineStr"/>
      <c r="H5307" s="12" t="inlineStr">
        <is>
          <t>RICE 6 SCR + oxidation catalyst and stack</t>
        </is>
      </c>
      <c r="I5307" s="12" t="inlineStr">
        <is>
          <t>LV 600 V</t>
        </is>
      </c>
      <c r="J5307" s="12" t="inlineStr">
        <is>
          <t>Type TC-ER 600 V 3/C Cu XHHW-2 + ground, PVC jacket</t>
        </is>
      </c>
      <c r="K5307" s="12" t="inlineStr">
        <is>
          <t>LV|3/C+G|10</t>
        </is>
      </c>
      <c r="L5307" s="12" t="inlineStr">
        <is>
          <t>3/C+G</t>
        </is>
      </c>
      <c r="M5307" s="12" t="inlineStr">
        <is>
          <t>10</t>
        </is>
      </c>
      <c r="N5307" s="12" t="n">
        <v>1</v>
      </c>
      <c r="O5307" s="12" t="n">
        <v>1</v>
      </c>
      <c r="P5307" s="12" t="n">
        <v>480</v>
      </c>
      <c r="Q5307" s="12" t="n">
        <v>3</v>
      </c>
      <c r="R5307" s="12" t="n">
        <v>5</v>
      </c>
      <c r="S5307" s="12" t="inlineStr">
        <is>
          <t>Duct bank</t>
        </is>
      </c>
      <c r="T5307" s="15" t="n">
        <v>413</v>
      </c>
      <c r="U5307" s="15" t="n">
        <v>153</v>
      </c>
      <c r="V5307" s="15">
        <f>ROUNDUP((T5307+U5307+2*'Read Me'!$B$13)*(1+'Read Me'!$B$12),-1)</f>
        <v/>
      </c>
      <c r="W5307" s="15">
        <f>V5307*N5307*O5307</f>
        <v/>
      </c>
      <c r="X5307" s="12">
        <f>IF(LEFT(I5307,2)="MV",2*N5307*IF(L5307="1/C",O5307,1),0)</f>
        <v/>
      </c>
      <c r="Y5307" s="12">
        <f>IF(OR(LEFT(K5307,4)="LVAX",LEFT(K5307,6)="MV15AX",LEFT(K5307,4)="CTAX",LEFT(K5307,2)="W|"),2*N5307*O5307,0)</f>
        <v/>
      </c>
      <c r="Z5307" s="12" t="inlineStr">
        <is>
          <t>fixture-to-fixture run included</t>
        </is>
      </c>
      <c r="AA5307" s="12">
        <f>N5307*O5307</f>
        <v/>
      </c>
    </row>
    <row r="5308">
      <c r="A5308" s="12" t="inlineStr">
        <is>
          <t>I-P-0144</t>
        </is>
      </c>
      <c r="B5308" s="12" t="inlineStr">
        <is>
          <t>I</t>
        </is>
      </c>
      <c r="C5308" s="12" t="inlineStr">
        <is>
          <t>Modular / portable power</t>
        </is>
      </c>
      <c r="D5308" s="12" t="inlineStr">
        <is>
          <t>Motor 1 of 5, 30 kW (VFD output)</t>
        </is>
      </c>
      <c r="E5308" s="12" t="inlineStr"/>
      <c r="F5308" s="12" t="inlineStr">
        <is>
          <t>PCM: power control module</t>
        </is>
      </c>
      <c r="G5308" s="12" t="inlineStr"/>
      <c r="H5308" s="12" t="inlineStr">
        <is>
          <t>RICE 6 radiators (5)</t>
        </is>
      </c>
      <c r="I5308" s="12" t="inlineStr">
        <is>
          <t>LV 600 V</t>
        </is>
      </c>
      <c r="J5308" s="12" t="inlineStr">
        <is>
          <t>VFD cable 600 V 3/C Cu XHHW-2, 3 symmetrical grounds, overall Cu tape shield, TC-ER</t>
        </is>
      </c>
      <c r="K5308" s="12" t="inlineStr">
        <is>
          <t>VFD|3/C+3G|6</t>
        </is>
      </c>
      <c r="L5308" s="12" t="inlineStr">
        <is>
          <t>3/C+3G</t>
        </is>
      </c>
      <c r="M5308" s="12" t="inlineStr">
        <is>
          <t>6</t>
        </is>
      </c>
      <c r="N5308" s="12" t="n">
        <v>1</v>
      </c>
      <c r="O5308" s="12" t="n">
        <v>1</v>
      </c>
      <c r="P5308" s="12" t="n">
        <v>480</v>
      </c>
      <c r="Q5308" s="12" t="n">
        <v>30</v>
      </c>
      <c r="R5308" s="12" t="n">
        <v>42</v>
      </c>
      <c r="S5308" s="12" t="inlineStr">
        <is>
          <t>Tray</t>
        </is>
      </c>
      <c r="T5308" s="15" t="n">
        <v>80</v>
      </c>
      <c r="U5308" s="15" t="n">
        <v>150</v>
      </c>
      <c r="V5308" s="15">
        <f>ROUNDUP((T5308+U5308+2*'Read Me'!$B$13)*(1+'Read Me'!$B$12),-1)</f>
        <v/>
      </c>
      <c r="W5308" s="15">
        <f>V5308*N5308*O5308</f>
        <v/>
      </c>
      <c r="X5308" s="12">
        <f>IF(LEFT(I5308,2)="MV",2*N5308*IF(L5308="1/C",O5308,1),0)</f>
        <v/>
      </c>
      <c r="Y5308" s="12">
        <f>IF(OR(LEFT(K5308,4)="LVAX",LEFT(K5308,6)="MV15AX",LEFT(K5308,4)="CTAX",LEFT(K5308,2)="W|"),2*N5308*O5308,0)</f>
        <v/>
      </c>
      <c r="Z5308" s="12" t="inlineStr">
        <is>
          <t>VD 1.9 %</t>
        </is>
      </c>
      <c r="AA5308" s="12">
        <f>N5308*O5308</f>
        <v/>
      </c>
    </row>
    <row r="5309">
      <c r="A5309" s="12" t="inlineStr">
        <is>
          <t>I-P-0145</t>
        </is>
      </c>
      <c r="B5309" s="12" t="inlineStr">
        <is>
          <t>I</t>
        </is>
      </c>
      <c r="C5309" s="12" t="inlineStr">
        <is>
          <t>Modular / portable power</t>
        </is>
      </c>
      <c r="D5309" s="12" t="inlineStr">
        <is>
          <t>Motor 2 of 5, 30 kW (VFD output)</t>
        </is>
      </c>
      <c r="E5309" s="12" t="inlineStr"/>
      <c r="F5309" s="12" t="inlineStr">
        <is>
          <t>PCM: power control module</t>
        </is>
      </c>
      <c r="G5309" s="12" t="inlineStr"/>
      <c r="H5309" s="12" t="inlineStr">
        <is>
          <t>RICE 6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150</v>
      </c>
      <c r="V5309" s="15">
        <f>ROUNDUP((T5309+U5309+2*'Read Me'!$B$13)*(1+'Read Me'!$B$12),-1)</f>
        <v/>
      </c>
      <c r="W5309" s="15">
        <f>V5309*N5309*O5309</f>
        <v/>
      </c>
      <c r="X5309" s="12">
        <f>IF(LEFT(I5309,2)="MV",2*N5309*IF(L5309="1/C",O5309,1),0)</f>
        <v/>
      </c>
      <c r="Y5309" s="12">
        <f>IF(OR(LEFT(K5309,4)="LVAX",LEFT(K5309,6)="MV15AX",LEFT(K5309,4)="CTAX",LEFT(K5309,2)="W|"),2*N5309*O5309,0)</f>
        <v/>
      </c>
      <c r="Z5309" s="12" t="inlineStr">
        <is>
          <t>VD 1.9 %</t>
        </is>
      </c>
      <c r="AA5309" s="12">
        <f>N5309*O5309</f>
        <v/>
      </c>
    </row>
    <row r="5310">
      <c r="A5310" s="12" t="inlineStr">
        <is>
          <t>I-P-0146</t>
        </is>
      </c>
      <c r="B5310" s="12" t="inlineStr">
        <is>
          <t>I</t>
        </is>
      </c>
      <c r="C5310" s="12" t="inlineStr">
        <is>
          <t>Modular / portable power</t>
        </is>
      </c>
      <c r="D5310" s="12" t="inlineStr">
        <is>
          <t>Motor 3 of 5, 30 kW (VFD output)</t>
        </is>
      </c>
      <c r="E5310" s="12" t="inlineStr"/>
      <c r="F5310" s="12" t="inlineStr">
        <is>
          <t>PCM: power control module</t>
        </is>
      </c>
      <c r="G5310" s="12" t="inlineStr"/>
      <c r="H5310" s="12" t="inlineStr">
        <is>
          <t>RICE 6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150</v>
      </c>
      <c r="V5310" s="15">
        <f>ROUNDUP((T5310+U5310+2*'Read Me'!$B$13)*(1+'Read Me'!$B$12),-1)</f>
        <v/>
      </c>
      <c r="W5310" s="15">
        <f>V5310*N5310*O5310</f>
        <v/>
      </c>
      <c r="X5310" s="12">
        <f>IF(LEFT(I5310,2)="MV",2*N5310*IF(L5310="1/C",O5310,1),0)</f>
        <v/>
      </c>
      <c r="Y5310" s="12">
        <f>IF(OR(LEFT(K5310,4)="LVAX",LEFT(K5310,6)="MV15AX",LEFT(K5310,4)="CTAX",LEFT(K5310,2)="W|"),2*N5310*O5310,0)</f>
        <v/>
      </c>
      <c r="Z5310" s="12" t="inlineStr">
        <is>
          <t>VD 1.9 %</t>
        </is>
      </c>
      <c r="AA5310" s="12">
        <f>N5310*O5310</f>
        <v/>
      </c>
    </row>
    <row r="5311">
      <c r="A5311" s="12" t="inlineStr">
        <is>
          <t>I-P-0147</t>
        </is>
      </c>
      <c r="B5311" s="12" t="inlineStr">
        <is>
          <t>I</t>
        </is>
      </c>
      <c r="C5311" s="12" t="inlineStr">
        <is>
          <t>Modular / portable power</t>
        </is>
      </c>
      <c r="D5311" s="12" t="inlineStr">
        <is>
          <t>Motor 4 of 5, 30 kW (VFD output)</t>
        </is>
      </c>
      <c r="E5311" s="12" t="inlineStr"/>
      <c r="F5311" s="12" t="inlineStr">
        <is>
          <t>PCM: power control module</t>
        </is>
      </c>
      <c r="G5311" s="12" t="inlineStr"/>
      <c r="H5311" s="12" t="inlineStr">
        <is>
          <t>RICE 6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150</v>
      </c>
      <c r="V5311" s="15">
        <f>ROUNDUP((T5311+U5311+2*'Read Me'!$B$13)*(1+'Read Me'!$B$12),-1)</f>
        <v/>
      </c>
      <c r="W5311" s="15">
        <f>V5311*N5311*O5311</f>
        <v/>
      </c>
      <c r="X5311" s="12">
        <f>IF(LEFT(I5311,2)="MV",2*N5311*IF(L5311="1/C",O5311,1),0)</f>
        <v/>
      </c>
      <c r="Y5311" s="12">
        <f>IF(OR(LEFT(K5311,4)="LVAX",LEFT(K5311,6)="MV15AX",LEFT(K5311,4)="CTAX",LEFT(K5311,2)="W|"),2*N5311*O5311,0)</f>
        <v/>
      </c>
      <c r="Z5311" s="12" t="inlineStr">
        <is>
          <t>VD 1.9 %</t>
        </is>
      </c>
      <c r="AA5311" s="12">
        <f>N5311*O5311</f>
        <v/>
      </c>
    </row>
    <row r="5312">
      <c r="A5312" s="12" t="inlineStr">
        <is>
          <t>I-P-0148</t>
        </is>
      </c>
      <c r="B5312" s="12" t="inlineStr">
        <is>
          <t>I</t>
        </is>
      </c>
      <c r="C5312" s="12" t="inlineStr">
        <is>
          <t>Modular / portable power</t>
        </is>
      </c>
      <c r="D5312" s="12" t="inlineStr">
        <is>
          <t>Motor 5 of 5, 30 kW (VFD output)</t>
        </is>
      </c>
      <c r="E5312" s="12" t="inlineStr"/>
      <c r="F5312" s="12" t="inlineStr">
        <is>
          <t>PCM: power control module</t>
        </is>
      </c>
      <c r="G5312" s="12" t="inlineStr"/>
      <c r="H5312" s="12" t="inlineStr">
        <is>
          <t>RICE 6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150</v>
      </c>
      <c r="V5312" s="15">
        <f>ROUNDUP((T5312+U5312+2*'Read Me'!$B$13)*(1+'Read Me'!$B$12),-1)</f>
        <v/>
      </c>
      <c r="W5312" s="15">
        <f>V5312*N5312*O5312</f>
        <v/>
      </c>
      <c r="X5312" s="12">
        <f>IF(LEFT(I5312,2)="MV",2*N5312*IF(L5312="1/C",O5312,1),0)</f>
        <v/>
      </c>
      <c r="Y5312" s="12">
        <f>IF(OR(LEFT(K5312,4)="LVAX",LEFT(K5312,6)="MV15AX",LEFT(K5312,4)="CTAX",LEFT(K5312,2)="W|"),2*N5312*O5312,0)</f>
        <v/>
      </c>
      <c r="Z5312" s="12" t="inlineStr">
        <is>
          <t>VD 1.9 %</t>
        </is>
      </c>
      <c r="AA5312" s="12">
        <f>N5312*O5312</f>
        <v/>
      </c>
    </row>
    <row r="5313">
      <c r="A5313" s="12" t="inlineStr">
        <is>
          <t>I-P-0149</t>
        </is>
      </c>
      <c r="B5313" s="12" t="inlineStr">
        <is>
          <t>I</t>
        </is>
      </c>
      <c r="C5313" s="12" t="inlineStr">
        <is>
          <t>Modular / portable power</t>
        </is>
      </c>
      <c r="D5313" s="12" t="inlineStr">
        <is>
          <t>Motor 1 of 1, 15 kW</t>
        </is>
      </c>
      <c r="E5313" s="12" t="inlineStr"/>
      <c r="F5313" s="12" t="inlineStr">
        <is>
          <t>PCM: power control module</t>
        </is>
      </c>
      <c r="G5313" s="12" t="inlineStr"/>
      <c r="H5313" s="12" t="inlineStr">
        <is>
          <t>RICE 7 SCR + oxidation catalyst and stack</t>
        </is>
      </c>
      <c r="I5313" s="12" t="inlineStr">
        <is>
          <t>LV 600 V</t>
        </is>
      </c>
      <c r="J5313" s="12" t="inlineStr">
        <is>
          <t>Type TC-ER 600 V 3/C Cu XHHW-2 + ground, PVC jacket</t>
        </is>
      </c>
      <c r="K5313" s="12" t="inlineStr">
        <is>
          <t>LV|3/C+G|10</t>
        </is>
      </c>
      <c r="L5313" s="12" t="inlineStr">
        <is>
          <t>3/C+G</t>
        </is>
      </c>
      <c r="M5313" s="12" t="inlineStr">
        <is>
          <t>10</t>
        </is>
      </c>
      <c r="N5313" s="12" t="n">
        <v>1</v>
      </c>
      <c r="O5313" s="12" t="n">
        <v>1</v>
      </c>
      <c r="P5313" s="12" t="n">
        <v>480</v>
      </c>
      <c r="Q5313" s="12" t="n">
        <v>15</v>
      </c>
      <c r="R5313" s="12" t="n">
        <v>21.2</v>
      </c>
      <c r="S5313" s="12" t="inlineStr">
        <is>
          <t>Duct bank</t>
        </is>
      </c>
      <c r="T5313" s="15" t="n">
        <v>113</v>
      </c>
      <c r="U5313" s="15" t="n">
        <v>125</v>
      </c>
      <c r="V5313" s="15">
        <f>ROUNDUP((T5313+U5313+2*'Read Me'!$B$13)*(1+'Read Me'!$B$12),-1)</f>
        <v/>
      </c>
      <c r="W5313" s="15">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I-P-0150</t>
        </is>
      </c>
      <c r="B5314" s="12" t="inlineStr">
        <is>
          <t>I</t>
        </is>
      </c>
      <c r="C5314" s="12" t="inlineStr">
        <is>
          <t>Modular / portable power</t>
        </is>
      </c>
      <c r="D5314" s="12" t="inlineStr">
        <is>
          <t>Area / platform lighting circuit 1 (6 fixtures)</t>
        </is>
      </c>
      <c r="E5314" s="12" t="inlineStr"/>
      <c r="F5314" s="12" t="inlineStr">
        <is>
          <t>PCM: power control module</t>
        </is>
      </c>
      <c r="G5314" s="12" t="inlineStr"/>
      <c r="H5314" s="12" t="inlineStr">
        <is>
          <t>RICE 7 SCR + oxidation catalyst and stack</t>
        </is>
      </c>
      <c r="I5314" s="12" t="inlineStr">
        <is>
          <t>LV 600 V</t>
        </is>
      </c>
      <c r="J5314" s="12" t="inlineStr">
        <is>
          <t>Type TC-ER 600 V 3/C Cu XHHW-2 + ground, PVC jacket</t>
        </is>
      </c>
      <c r="K5314" s="12" t="inlineStr">
        <is>
          <t>LV|3/C+G|10</t>
        </is>
      </c>
      <c r="L5314" s="12" t="inlineStr">
        <is>
          <t>3/C+G</t>
        </is>
      </c>
      <c r="M5314" s="12" t="inlineStr">
        <is>
          <t>10</t>
        </is>
      </c>
      <c r="N5314" s="12" t="n">
        <v>1</v>
      </c>
      <c r="O5314" s="12" t="n">
        <v>1</v>
      </c>
      <c r="P5314" s="12" t="n">
        <v>480</v>
      </c>
      <c r="Q5314" s="12" t="n">
        <v>3</v>
      </c>
      <c r="R5314" s="12" t="n">
        <v>5</v>
      </c>
      <c r="S5314" s="12" t="inlineStr">
        <is>
          <t>Duct bank</t>
        </is>
      </c>
      <c r="T5314" s="15" t="n">
        <v>413</v>
      </c>
      <c r="U5314" s="15" t="n">
        <v>125</v>
      </c>
      <c r="V5314" s="15">
        <f>ROUNDUP((T5314+U5314+2*'Read Me'!$B$13)*(1+'Read Me'!$B$12),-1)</f>
        <v/>
      </c>
      <c r="W5314" s="15">
        <f>V5314*N5314*O5314</f>
        <v/>
      </c>
      <c r="X5314" s="12">
        <f>IF(LEFT(I5314,2)="MV",2*N5314*IF(L5314="1/C",O5314,1),0)</f>
        <v/>
      </c>
      <c r="Y5314" s="12">
        <f>IF(OR(LEFT(K5314,4)="LVAX",LEFT(K5314,6)="MV15AX",LEFT(K5314,4)="CTAX",LEFT(K5314,2)="W|"),2*N5314*O5314,0)</f>
        <v/>
      </c>
      <c r="Z5314" s="12" t="inlineStr">
        <is>
          <t>fixture-to-fixture run included</t>
        </is>
      </c>
      <c r="AA5314" s="12">
        <f>N5314*O5314</f>
        <v/>
      </c>
    </row>
    <row r="5315">
      <c r="A5315" s="12" t="inlineStr">
        <is>
          <t>I-P-0151</t>
        </is>
      </c>
      <c r="B5315" s="12" t="inlineStr">
        <is>
          <t>I</t>
        </is>
      </c>
      <c r="C5315" s="12" t="inlineStr">
        <is>
          <t>Modular / portable power</t>
        </is>
      </c>
      <c r="D5315" s="12" t="inlineStr">
        <is>
          <t>Motor 1 of 5, 30 kW (VFD output)</t>
        </is>
      </c>
      <c r="E5315" s="12" t="inlineStr"/>
      <c r="F5315" s="12" t="inlineStr">
        <is>
          <t>PCM: power control module</t>
        </is>
      </c>
      <c r="G5315" s="12" t="inlineStr"/>
      <c r="H5315" s="12" t="inlineStr">
        <is>
          <t>RICE 7 radiators (5)</t>
        </is>
      </c>
      <c r="I5315" s="12" t="inlineStr">
        <is>
          <t>LV 600 V</t>
        </is>
      </c>
      <c r="J5315" s="12" t="inlineStr">
        <is>
          <t>VFD cable 600 V 3/C Cu XHHW-2, 3 symmetrical grounds, overall Cu tape shield, TC-ER</t>
        </is>
      </c>
      <c r="K5315" s="12" t="inlineStr">
        <is>
          <t>VFD|3/C+3G|6</t>
        </is>
      </c>
      <c r="L5315" s="12" t="inlineStr">
        <is>
          <t>3/C+3G</t>
        </is>
      </c>
      <c r="M5315" s="12" t="inlineStr">
        <is>
          <t>6</t>
        </is>
      </c>
      <c r="N5315" s="12" t="n">
        <v>1</v>
      </c>
      <c r="O5315" s="12" t="n">
        <v>1</v>
      </c>
      <c r="P5315" s="12" t="n">
        <v>480</v>
      </c>
      <c r="Q5315" s="12" t="n">
        <v>30</v>
      </c>
      <c r="R5315" s="12" t="n">
        <v>42</v>
      </c>
      <c r="S5315" s="12" t="inlineStr">
        <is>
          <t>Tray</t>
        </is>
      </c>
      <c r="T5315" s="15" t="n">
        <v>80</v>
      </c>
      <c r="U5315" s="15" t="n">
        <v>122</v>
      </c>
      <c r="V5315" s="15">
        <f>ROUNDUP((T5315+U5315+2*'Read Me'!$B$13)*(1+'Read Me'!$B$12),-1)</f>
        <v/>
      </c>
      <c r="W5315" s="15">
        <f>V5315*N5315*O5315</f>
        <v/>
      </c>
      <c r="X5315" s="12">
        <f>IF(LEFT(I5315,2)="MV",2*N5315*IF(L5315="1/C",O5315,1),0)</f>
        <v/>
      </c>
      <c r="Y5315" s="12">
        <f>IF(OR(LEFT(K5315,4)="LVAX",LEFT(K5315,6)="MV15AX",LEFT(K5315,4)="CTAX",LEFT(K5315,2)="W|"),2*N5315*O5315,0)</f>
        <v/>
      </c>
      <c r="Z5315" s="12" t="inlineStr">
        <is>
          <t>VD 1.7 %</t>
        </is>
      </c>
      <c r="AA5315" s="12">
        <f>N5315*O5315</f>
        <v/>
      </c>
    </row>
    <row r="5316">
      <c r="A5316" s="12" t="inlineStr">
        <is>
          <t>I-P-0152</t>
        </is>
      </c>
      <c r="B5316" s="12" t="inlineStr">
        <is>
          <t>I</t>
        </is>
      </c>
      <c r="C5316" s="12" t="inlineStr">
        <is>
          <t>Modular / portable power</t>
        </is>
      </c>
      <c r="D5316" s="12" t="inlineStr">
        <is>
          <t>Motor 2 of 5, 30 kW (VFD output)</t>
        </is>
      </c>
      <c r="E5316" s="12" t="inlineStr"/>
      <c r="F5316" s="12" t="inlineStr">
        <is>
          <t>PCM: power control module</t>
        </is>
      </c>
      <c r="G5316" s="12" t="inlineStr"/>
      <c r="H5316" s="12" t="inlineStr">
        <is>
          <t>RICE 7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122</v>
      </c>
      <c r="V5316" s="15">
        <f>ROUNDUP((T5316+U5316+2*'Read Me'!$B$13)*(1+'Read Me'!$B$12),-1)</f>
        <v/>
      </c>
      <c r="W5316" s="15">
        <f>V5316*N5316*O5316</f>
        <v/>
      </c>
      <c r="X5316" s="12">
        <f>IF(LEFT(I5316,2)="MV",2*N5316*IF(L5316="1/C",O5316,1),0)</f>
        <v/>
      </c>
      <c r="Y5316" s="12">
        <f>IF(OR(LEFT(K5316,4)="LVAX",LEFT(K5316,6)="MV15AX",LEFT(K5316,4)="CTAX",LEFT(K5316,2)="W|"),2*N5316*O5316,0)</f>
        <v/>
      </c>
      <c r="Z5316" s="12" t="inlineStr">
        <is>
          <t>VD 1.7 %</t>
        </is>
      </c>
      <c r="AA5316" s="12">
        <f>N5316*O5316</f>
        <v/>
      </c>
    </row>
    <row r="5317">
      <c r="A5317" s="12" t="inlineStr">
        <is>
          <t>I-P-0153</t>
        </is>
      </c>
      <c r="B5317" s="12" t="inlineStr">
        <is>
          <t>I</t>
        </is>
      </c>
      <c r="C5317" s="12" t="inlineStr">
        <is>
          <t>Modular / portable power</t>
        </is>
      </c>
      <c r="D5317" s="12" t="inlineStr">
        <is>
          <t>Motor 3 of 5, 30 kW (VFD output)</t>
        </is>
      </c>
      <c r="E5317" s="12" t="inlineStr"/>
      <c r="F5317" s="12" t="inlineStr">
        <is>
          <t>PCM: power control module</t>
        </is>
      </c>
      <c r="G5317" s="12" t="inlineStr"/>
      <c r="H5317" s="12" t="inlineStr">
        <is>
          <t>RICE 7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122</v>
      </c>
      <c r="V5317" s="15">
        <f>ROUNDUP((T5317+U5317+2*'Read Me'!$B$13)*(1+'Read Me'!$B$12),-1)</f>
        <v/>
      </c>
      <c r="W5317" s="15">
        <f>V5317*N5317*O5317</f>
        <v/>
      </c>
      <c r="X5317" s="12">
        <f>IF(LEFT(I5317,2)="MV",2*N5317*IF(L5317="1/C",O5317,1),0)</f>
        <v/>
      </c>
      <c r="Y5317" s="12">
        <f>IF(OR(LEFT(K5317,4)="LVAX",LEFT(K5317,6)="MV15AX",LEFT(K5317,4)="CTAX",LEFT(K5317,2)="W|"),2*N5317*O5317,0)</f>
        <v/>
      </c>
      <c r="Z5317" s="12" t="inlineStr">
        <is>
          <t>VD 1.7 %</t>
        </is>
      </c>
      <c r="AA5317" s="12">
        <f>N5317*O5317</f>
        <v/>
      </c>
    </row>
    <row r="5318">
      <c r="A5318" s="12" t="inlineStr">
        <is>
          <t>I-P-0154</t>
        </is>
      </c>
      <c r="B5318" s="12" t="inlineStr">
        <is>
          <t>I</t>
        </is>
      </c>
      <c r="C5318" s="12" t="inlineStr">
        <is>
          <t>Modular / portable power</t>
        </is>
      </c>
      <c r="D5318" s="12" t="inlineStr">
        <is>
          <t>Motor 4 of 5, 30 kW (VFD output)</t>
        </is>
      </c>
      <c r="E5318" s="12" t="inlineStr"/>
      <c r="F5318" s="12" t="inlineStr">
        <is>
          <t>PCM: power control module</t>
        </is>
      </c>
      <c r="G5318" s="12" t="inlineStr"/>
      <c r="H5318" s="12" t="inlineStr">
        <is>
          <t>RICE 7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122</v>
      </c>
      <c r="V5318" s="15">
        <f>ROUNDUP((T5318+U5318+2*'Read Me'!$B$13)*(1+'Read Me'!$B$12),-1)</f>
        <v/>
      </c>
      <c r="W5318" s="15">
        <f>V5318*N5318*O5318</f>
        <v/>
      </c>
      <c r="X5318" s="12">
        <f>IF(LEFT(I5318,2)="MV",2*N5318*IF(L5318="1/C",O5318,1),0)</f>
        <v/>
      </c>
      <c r="Y5318" s="12">
        <f>IF(OR(LEFT(K5318,4)="LVAX",LEFT(K5318,6)="MV15AX",LEFT(K5318,4)="CTAX",LEFT(K5318,2)="W|"),2*N5318*O5318,0)</f>
        <v/>
      </c>
      <c r="Z5318" s="12" t="inlineStr">
        <is>
          <t>VD 1.7 %</t>
        </is>
      </c>
      <c r="AA5318" s="12">
        <f>N5318*O5318</f>
        <v/>
      </c>
    </row>
    <row r="5319">
      <c r="A5319" s="12" t="inlineStr">
        <is>
          <t>I-P-0155</t>
        </is>
      </c>
      <c r="B5319" s="12" t="inlineStr">
        <is>
          <t>I</t>
        </is>
      </c>
      <c r="C5319" s="12" t="inlineStr">
        <is>
          <t>Modular / portable power</t>
        </is>
      </c>
      <c r="D5319" s="12" t="inlineStr">
        <is>
          <t>Motor 5 of 5, 30 kW (VFD output)</t>
        </is>
      </c>
      <c r="E5319" s="12" t="inlineStr"/>
      <c r="F5319" s="12" t="inlineStr">
        <is>
          <t>PCM: power control module</t>
        </is>
      </c>
      <c r="G5319" s="12" t="inlineStr"/>
      <c r="H5319" s="12" t="inlineStr">
        <is>
          <t>RICE 7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122</v>
      </c>
      <c r="V5319" s="15">
        <f>ROUNDUP((T5319+U5319+2*'Read Me'!$B$13)*(1+'Read Me'!$B$12),-1)</f>
        <v/>
      </c>
      <c r="W5319" s="15">
        <f>V5319*N5319*O5319</f>
        <v/>
      </c>
      <c r="X5319" s="12">
        <f>IF(LEFT(I5319,2)="MV",2*N5319*IF(L5319="1/C",O5319,1),0)</f>
        <v/>
      </c>
      <c r="Y5319" s="12">
        <f>IF(OR(LEFT(K5319,4)="LVAX",LEFT(K5319,6)="MV15AX",LEFT(K5319,4)="CTAX",LEFT(K5319,2)="W|"),2*N5319*O5319,0)</f>
        <v/>
      </c>
      <c r="Z5319" s="12" t="inlineStr">
        <is>
          <t>VD 1.7 %</t>
        </is>
      </c>
      <c r="AA5319" s="12">
        <f>N5319*O5319</f>
        <v/>
      </c>
    </row>
    <row r="5320">
      <c r="A5320" s="12" t="inlineStr">
        <is>
          <t>I-P-0156</t>
        </is>
      </c>
      <c r="B5320" s="12" t="inlineStr">
        <is>
          <t>I</t>
        </is>
      </c>
      <c r="C5320" s="12" t="inlineStr">
        <is>
          <t>Modular / portable power</t>
        </is>
      </c>
      <c r="D5320" s="12" t="inlineStr">
        <is>
          <t>Motor 1 of 1, 15 kW</t>
        </is>
      </c>
      <c r="E5320" s="12" t="inlineStr"/>
      <c r="F5320" s="12" t="inlineStr">
        <is>
          <t>PCM: power control module</t>
        </is>
      </c>
      <c r="G5320" s="12" t="inlineStr"/>
      <c r="H5320" s="12" t="inlineStr">
        <is>
          <t>RICE 8 SCR + oxidation catalyst and stack</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15</v>
      </c>
      <c r="R5320" s="12" t="n">
        <v>21.2</v>
      </c>
      <c r="S5320" s="12" t="inlineStr">
        <is>
          <t>Duct bank</t>
        </is>
      </c>
      <c r="T5320" s="15" t="n">
        <v>113</v>
      </c>
      <c r="U5320" s="15" t="n">
        <v>97</v>
      </c>
      <c r="V5320" s="15">
        <f>ROUNDUP((T5320+U5320+2*'Read Me'!$B$13)*(1+'Read Me'!$B$12),-1)</f>
        <v/>
      </c>
      <c r="W5320" s="15">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I-P-0157</t>
        </is>
      </c>
      <c r="B5321" s="12" t="inlineStr">
        <is>
          <t>I</t>
        </is>
      </c>
      <c r="C5321" s="12" t="inlineStr">
        <is>
          <t>Modular / portable power</t>
        </is>
      </c>
      <c r="D5321" s="12" t="inlineStr">
        <is>
          <t>Area / platform lighting circuit 1 (6 fixtures)</t>
        </is>
      </c>
      <c r="E5321" s="12" t="inlineStr"/>
      <c r="F5321" s="12" t="inlineStr">
        <is>
          <t>PCM: power control module</t>
        </is>
      </c>
      <c r="G5321" s="12" t="inlineStr"/>
      <c r="H5321" s="12" t="inlineStr">
        <is>
          <t>RICE 8 SCR + oxidation catalyst and stack</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3</v>
      </c>
      <c r="R5321" s="12" t="n">
        <v>5</v>
      </c>
      <c r="S5321" s="12" t="inlineStr">
        <is>
          <t>Duct bank</t>
        </is>
      </c>
      <c r="T5321" s="15" t="n">
        <v>413</v>
      </c>
      <c r="U5321" s="15" t="n">
        <v>97</v>
      </c>
      <c r="V5321" s="15">
        <f>ROUNDUP((T5321+U5321+2*'Read Me'!$B$13)*(1+'Read Me'!$B$12),-1)</f>
        <v/>
      </c>
      <c r="W5321" s="15">
        <f>V5321*N5321*O5321</f>
        <v/>
      </c>
      <c r="X5321" s="12">
        <f>IF(LEFT(I5321,2)="MV",2*N5321*IF(L5321="1/C",O5321,1),0)</f>
        <v/>
      </c>
      <c r="Y5321" s="12">
        <f>IF(OR(LEFT(K5321,4)="LVAX",LEFT(K5321,6)="MV15AX",LEFT(K5321,4)="CTAX",LEFT(K5321,2)="W|"),2*N5321*O5321,0)</f>
        <v/>
      </c>
      <c r="Z5321" s="12" t="inlineStr">
        <is>
          <t>fixture-to-fixture run included</t>
        </is>
      </c>
      <c r="AA5321" s="12">
        <f>N5321*O5321</f>
        <v/>
      </c>
    </row>
    <row r="5322">
      <c r="A5322" s="12" t="inlineStr">
        <is>
          <t>I-P-0158</t>
        </is>
      </c>
      <c r="B5322" s="12" t="inlineStr">
        <is>
          <t>I</t>
        </is>
      </c>
      <c r="C5322" s="12" t="inlineStr">
        <is>
          <t>Modular / portable power</t>
        </is>
      </c>
      <c r="D5322" s="12" t="inlineStr">
        <is>
          <t>Motor 1 of 5, 30 kW (VFD output)</t>
        </is>
      </c>
      <c r="E5322" s="12" t="inlineStr"/>
      <c r="F5322" s="12" t="inlineStr">
        <is>
          <t>PCM: power control module</t>
        </is>
      </c>
      <c r="G5322" s="12" t="inlineStr"/>
      <c r="H5322" s="12" t="inlineStr">
        <is>
          <t>RICE 8 radiators (5)</t>
        </is>
      </c>
      <c r="I5322" s="12" t="inlineStr">
        <is>
          <t>LV 600 V</t>
        </is>
      </c>
      <c r="J5322" s="12" t="inlineStr">
        <is>
          <t>VFD cable 600 V 3/C Cu XHHW-2, 3 symmetrical grounds, overall Cu tape shield, TC-ER</t>
        </is>
      </c>
      <c r="K5322" s="12" t="inlineStr">
        <is>
          <t>VFD|3/C+3G|6</t>
        </is>
      </c>
      <c r="L5322" s="12" t="inlineStr">
        <is>
          <t>3/C+3G</t>
        </is>
      </c>
      <c r="M5322" s="12" t="inlineStr">
        <is>
          <t>6</t>
        </is>
      </c>
      <c r="N5322" s="12" t="n">
        <v>1</v>
      </c>
      <c r="O5322" s="12" t="n">
        <v>1</v>
      </c>
      <c r="P5322" s="12" t="n">
        <v>480</v>
      </c>
      <c r="Q5322" s="12" t="n">
        <v>30</v>
      </c>
      <c r="R5322" s="12" t="n">
        <v>42</v>
      </c>
      <c r="S5322" s="12" t="inlineStr">
        <is>
          <t>Tray</t>
        </is>
      </c>
      <c r="T5322" s="15" t="n">
        <v>80</v>
      </c>
      <c r="U5322" s="15" t="n">
        <v>94</v>
      </c>
      <c r="V5322" s="15">
        <f>ROUNDUP((T5322+U5322+2*'Read Me'!$B$13)*(1+'Read Me'!$B$12),-1)</f>
        <v/>
      </c>
      <c r="W5322" s="15">
        <f>V5322*N5322*O5322</f>
        <v/>
      </c>
      <c r="X5322" s="12">
        <f>IF(LEFT(I5322,2)="MV",2*N5322*IF(L5322="1/C",O5322,1),0)</f>
        <v/>
      </c>
      <c r="Y5322" s="12">
        <f>IF(OR(LEFT(K5322,4)="LVAX",LEFT(K5322,6)="MV15AX",LEFT(K5322,4)="CTAX",LEFT(K5322,2)="W|"),2*N5322*O5322,0)</f>
        <v/>
      </c>
      <c r="Z5322" s="12" t="inlineStr">
        <is>
          <t>VD 1.4 %</t>
        </is>
      </c>
      <c r="AA5322" s="12">
        <f>N5322*O5322</f>
        <v/>
      </c>
    </row>
    <row r="5323">
      <c r="A5323" s="12" t="inlineStr">
        <is>
          <t>I-P-0159</t>
        </is>
      </c>
      <c r="B5323" s="12" t="inlineStr">
        <is>
          <t>I</t>
        </is>
      </c>
      <c r="C5323" s="12" t="inlineStr">
        <is>
          <t>Modular / portable power</t>
        </is>
      </c>
      <c r="D5323" s="12" t="inlineStr">
        <is>
          <t>Motor 2 of 5, 30 kW (VFD output)</t>
        </is>
      </c>
      <c r="E5323" s="12" t="inlineStr"/>
      <c r="F5323" s="12" t="inlineStr">
        <is>
          <t>PCM: power control module</t>
        </is>
      </c>
      <c r="G5323" s="12" t="inlineStr"/>
      <c r="H5323" s="12" t="inlineStr">
        <is>
          <t>RICE 8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94</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I-P-0160</t>
        </is>
      </c>
      <c r="B5324" s="12" t="inlineStr">
        <is>
          <t>I</t>
        </is>
      </c>
      <c r="C5324" s="12" t="inlineStr">
        <is>
          <t>Modular / portable power</t>
        </is>
      </c>
      <c r="D5324" s="12" t="inlineStr">
        <is>
          <t>Motor 3 of 5, 30 kW (VFD output)</t>
        </is>
      </c>
      <c r="E5324" s="12" t="inlineStr"/>
      <c r="F5324" s="12" t="inlineStr">
        <is>
          <t>PCM: power control module</t>
        </is>
      </c>
      <c r="G5324" s="12" t="inlineStr"/>
      <c r="H5324" s="12" t="inlineStr">
        <is>
          <t>RICE 8 radiators (5)</t>
        </is>
      </c>
      <c r="I5324" s="12" t="inlineStr">
        <is>
          <t>LV 600 V</t>
        </is>
      </c>
      <c r="J5324" s="12" t="inlineStr">
        <is>
          <t>VFD cable 600 V 3/C Cu XHHW-2, 3 symmetrical grounds, overall Cu tape shield, TC-ER</t>
        </is>
      </c>
      <c r="K5324" s="12" t="inlineStr">
        <is>
          <t>VFD|3/C+3G|6</t>
        </is>
      </c>
      <c r="L5324" s="12" t="inlineStr">
        <is>
          <t>3/C+3G</t>
        </is>
      </c>
      <c r="M5324" s="12" t="inlineStr">
        <is>
          <t>6</t>
        </is>
      </c>
      <c r="N5324" s="12" t="n">
        <v>1</v>
      </c>
      <c r="O5324" s="12" t="n">
        <v>1</v>
      </c>
      <c r="P5324" s="12" t="n">
        <v>480</v>
      </c>
      <c r="Q5324" s="12" t="n">
        <v>30</v>
      </c>
      <c r="R5324" s="12" t="n">
        <v>42</v>
      </c>
      <c r="S5324" s="12" t="inlineStr">
        <is>
          <t>Tray</t>
        </is>
      </c>
      <c r="T5324" s="15" t="n">
        <v>80</v>
      </c>
      <c r="U5324" s="15" t="n">
        <v>94</v>
      </c>
      <c r="V5324" s="15">
        <f>ROUNDUP((T5324+U5324+2*'Read Me'!$B$13)*(1+'Read Me'!$B$12),-1)</f>
        <v/>
      </c>
      <c r="W5324" s="15">
        <f>V5324*N5324*O5324</f>
        <v/>
      </c>
      <c r="X5324" s="12">
        <f>IF(LEFT(I5324,2)="MV",2*N5324*IF(L5324="1/C",O5324,1),0)</f>
        <v/>
      </c>
      <c r="Y5324" s="12">
        <f>IF(OR(LEFT(K5324,4)="LVAX",LEFT(K5324,6)="MV15AX",LEFT(K5324,4)="CTAX",LEFT(K5324,2)="W|"),2*N5324*O5324,0)</f>
        <v/>
      </c>
      <c r="Z5324" s="12" t="inlineStr">
        <is>
          <t>VD 1.4 %</t>
        </is>
      </c>
      <c r="AA5324" s="12">
        <f>N5324*O5324</f>
        <v/>
      </c>
    </row>
    <row r="5325">
      <c r="A5325" s="12" t="inlineStr">
        <is>
          <t>I-P-0161</t>
        </is>
      </c>
      <c r="B5325" s="12" t="inlineStr">
        <is>
          <t>I</t>
        </is>
      </c>
      <c r="C5325" s="12" t="inlineStr">
        <is>
          <t>Modular / portable power</t>
        </is>
      </c>
      <c r="D5325" s="12" t="inlineStr">
        <is>
          <t>Motor 4 of 5, 30 kW (VFD output)</t>
        </is>
      </c>
      <c r="E5325" s="12" t="inlineStr"/>
      <c r="F5325" s="12" t="inlineStr">
        <is>
          <t>PCM: power control module</t>
        </is>
      </c>
      <c r="G5325" s="12" t="inlineStr"/>
      <c r="H5325" s="12" t="inlineStr">
        <is>
          <t>RICE 8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94</v>
      </c>
      <c r="V5325" s="15">
        <f>ROUNDUP((T5325+U5325+2*'Read Me'!$B$13)*(1+'Read Me'!$B$12),-1)</f>
        <v/>
      </c>
      <c r="W5325" s="15">
        <f>V5325*N5325*O5325</f>
        <v/>
      </c>
      <c r="X5325" s="12">
        <f>IF(LEFT(I5325,2)="MV",2*N5325*IF(L5325="1/C",O5325,1),0)</f>
        <v/>
      </c>
      <c r="Y5325" s="12">
        <f>IF(OR(LEFT(K5325,4)="LVAX",LEFT(K5325,6)="MV15AX",LEFT(K5325,4)="CTAX",LEFT(K5325,2)="W|"),2*N5325*O5325,0)</f>
        <v/>
      </c>
      <c r="Z5325" s="12" t="inlineStr">
        <is>
          <t>VD 1.4 %</t>
        </is>
      </c>
      <c r="AA5325" s="12">
        <f>N5325*O5325</f>
        <v/>
      </c>
    </row>
    <row r="5326">
      <c r="A5326" s="12" t="inlineStr">
        <is>
          <t>I-P-0162</t>
        </is>
      </c>
      <c r="B5326" s="12" t="inlineStr">
        <is>
          <t>I</t>
        </is>
      </c>
      <c r="C5326" s="12" t="inlineStr">
        <is>
          <t>Modular / portable power</t>
        </is>
      </c>
      <c r="D5326" s="12" t="inlineStr">
        <is>
          <t>Motor 5 of 5, 30 kW (VFD output)</t>
        </is>
      </c>
      <c r="E5326" s="12" t="inlineStr"/>
      <c r="F5326" s="12" t="inlineStr">
        <is>
          <t>PCM: power control module</t>
        </is>
      </c>
      <c r="G5326" s="12" t="inlineStr"/>
      <c r="H5326" s="12" t="inlineStr">
        <is>
          <t>RICE 8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94</v>
      </c>
      <c r="V5326" s="15">
        <f>ROUNDUP((T5326+U5326+2*'Read Me'!$B$13)*(1+'Read Me'!$B$12),-1)</f>
        <v/>
      </c>
      <c r="W5326" s="15">
        <f>V5326*N5326*O5326</f>
        <v/>
      </c>
      <c r="X5326" s="12">
        <f>IF(LEFT(I5326,2)="MV",2*N5326*IF(L5326="1/C",O5326,1),0)</f>
        <v/>
      </c>
      <c r="Y5326" s="12">
        <f>IF(OR(LEFT(K5326,4)="LVAX",LEFT(K5326,6)="MV15AX",LEFT(K5326,4)="CTAX",LEFT(K5326,2)="W|"),2*N5326*O5326,0)</f>
        <v/>
      </c>
      <c r="Z5326" s="12" t="inlineStr">
        <is>
          <t>VD 1.4 %</t>
        </is>
      </c>
      <c r="AA5326" s="12">
        <f>N5326*O5326</f>
        <v/>
      </c>
    </row>
    <row r="5327">
      <c r="A5327" s="12" t="inlineStr">
        <is>
          <t>I-P-0163</t>
        </is>
      </c>
      <c r="B5327" s="12" t="inlineStr">
        <is>
          <t>I</t>
        </is>
      </c>
      <c r="C5327" s="12" t="inlineStr">
        <is>
          <t>Modular / portable power</t>
        </is>
      </c>
      <c r="D5327" s="12" t="inlineStr">
        <is>
          <t>LV panel / distribution feeder</t>
        </is>
      </c>
      <c r="E5327" s="12" t="inlineStr"/>
      <c r="F5327" s="12" t="inlineStr">
        <is>
          <t>PCM: power control module</t>
        </is>
      </c>
      <c r="G5327" s="12" t="inlineStr"/>
      <c r="H5327" s="12" t="inlineStr">
        <is>
          <t>RICE CEMS</t>
        </is>
      </c>
      <c r="I5327" s="12" t="inlineStr">
        <is>
          <t>LV 600 V</t>
        </is>
      </c>
      <c r="J5327" s="12" t="inlineStr">
        <is>
          <t>Type TC-ER 600 V 3/C Cu XHHW-2 + ground, PVC jacket</t>
        </is>
      </c>
      <c r="K5327" s="12" t="inlineStr">
        <is>
          <t>LV|3/C+G|6</t>
        </is>
      </c>
      <c r="L5327" s="12" t="inlineStr">
        <is>
          <t>3/C+G</t>
        </is>
      </c>
      <c r="M5327" s="12" t="inlineStr">
        <is>
          <t>6</t>
        </is>
      </c>
      <c r="N5327" s="12" t="n">
        <v>1</v>
      </c>
      <c r="O5327" s="12" t="n">
        <v>1</v>
      </c>
      <c r="P5327" s="12" t="n">
        <v>480</v>
      </c>
      <c r="Q5327" s="12" t="n">
        <v>30</v>
      </c>
      <c r="R5327" s="12" t="n">
        <v>42.5</v>
      </c>
      <c r="S5327" s="12" t="inlineStr">
        <is>
          <t>Duct bank</t>
        </is>
      </c>
      <c r="T5327" s="15" t="n">
        <v>158</v>
      </c>
      <c r="U5327" s="15" t="n">
        <v>32</v>
      </c>
      <c r="V5327" s="15">
        <f>ROUNDUP((T5327+U5327+2*'Read Me'!$B$13)*(1+'Read Me'!$B$12),-1)</f>
        <v/>
      </c>
      <c r="W5327" s="15">
        <f>V5327*N5327*O5327</f>
        <v/>
      </c>
      <c r="X5327" s="12">
        <f>IF(LEFT(I5327,2)="MV",2*N5327*IF(L5327="1/C",O5327,1),0)</f>
        <v/>
      </c>
      <c r="Y5327" s="12">
        <f>IF(OR(LEFT(K5327,4)="LVAX",LEFT(K5327,6)="MV15AX",LEFT(K5327,4)="CTAX",LEFT(K5327,2)="W|"),2*N5327*O5327,0)</f>
        <v/>
      </c>
      <c r="Z5327" s="12" t="inlineStr">
        <is>
          <t>VD 1.6 %</t>
        </is>
      </c>
      <c r="AA5327" s="12">
        <f>N5327*O5327</f>
        <v/>
      </c>
    </row>
    <row r="5328">
      <c r="A5328" s="12" t="inlineStr">
        <is>
          <t>I-P-0164</t>
        </is>
      </c>
      <c r="B5328" s="12" t="inlineStr">
        <is>
          <t>I</t>
        </is>
      </c>
      <c r="C5328" s="12" t="inlineStr">
        <is>
          <t>Modular / portable power</t>
        </is>
      </c>
      <c r="D5328" s="12" t="inlineStr">
        <is>
          <t>LV power feeder</t>
        </is>
      </c>
      <c r="E5328" s="12" t="inlineStr"/>
      <c r="F5328" s="12" t="inlineStr">
        <is>
          <t>PCM: power control module</t>
        </is>
      </c>
      <c r="G5328" s="12" t="inlineStr">
        <is>
          <t>RICE</t>
        </is>
      </c>
      <c r="H5328" s="12" t="inlineStr">
        <is>
          <t>RICE engine hall (8 engines)</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15</v>
      </c>
      <c r="R5328" s="12" t="n">
        <v>21.2</v>
      </c>
      <c r="S5328" s="12" t="inlineStr">
        <is>
          <t>Duct bank</t>
        </is>
      </c>
      <c r="T5328" s="15" t="n">
        <v>57</v>
      </c>
      <c r="U5328" s="15" t="n">
        <v>83</v>
      </c>
      <c r="V5328" s="15">
        <f>ROUNDUP((T5328+U5328+2*'Read Me'!$B$13)*(1+'Read Me'!$B$12),-1)</f>
        <v/>
      </c>
      <c r="W5328" s="15">
        <f>V5328*N5328*O5328</f>
        <v/>
      </c>
      <c r="X5328" s="12">
        <f>IF(LEFT(I5328,2)="MV",2*N5328*IF(L5328="1/C",O5328,1),0)</f>
        <v/>
      </c>
      <c r="Y5328" s="12">
        <f>IF(OR(LEFT(K5328,4)="LVAX",LEFT(K5328,6)="MV15AX",LEFT(K5328,4)="CTAX",LEFT(K5328,2)="W|"),2*N5328*O5328,0)</f>
        <v/>
      </c>
      <c r="Z5328" s="12" t="inlineStr">
        <is>
          <t>VD 1.4 %</t>
        </is>
      </c>
      <c r="AA5328" s="12">
        <f>N5328*O5328</f>
        <v/>
      </c>
    </row>
    <row r="5329">
      <c r="A5329" s="12" t="inlineStr">
        <is>
          <t>I-P-0165</t>
        </is>
      </c>
      <c r="B5329" s="12" t="inlineStr">
        <is>
          <t>I</t>
        </is>
      </c>
      <c r="C5329" s="12" t="inlineStr">
        <is>
          <t>Modular / portable power</t>
        </is>
      </c>
      <c r="D5329" s="12" t="inlineStr">
        <is>
          <t>Motor 1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I-P-0166</t>
        </is>
      </c>
      <c r="B5330" s="12" t="inlineStr">
        <is>
          <t>I</t>
        </is>
      </c>
      <c r="C5330" s="12" t="inlineStr">
        <is>
          <t>Modular / portable power</t>
        </is>
      </c>
      <c r="D5330" s="12" t="inlineStr">
        <is>
          <t>Motor 2 of 6, 22 kW</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LV|3/C+G|4</t>
        </is>
      </c>
      <c r="L5330" s="12" t="inlineStr">
        <is>
          <t>3/C+G</t>
        </is>
      </c>
      <c r="M5330" s="12" t="inlineStr">
        <is>
          <t>4</t>
        </is>
      </c>
      <c r="N5330" s="12" t="n">
        <v>1</v>
      </c>
      <c r="O5330" s="12" t="n">
        <v>1</v>
      </c>
      <c r="P5330" s="12" t="n">
        <v>480</v>
      </c>
      <c r="Q5330" s="12" t="n">
        <v>22</v>
      </c>
      <c r="R5330" s="12" t="n">
        <v>31.1</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2.5 %</t>
        </is>
      </c>
      <c r="AA5330" s="12">
        <f>N5330*O5330</f>
        <v/>
      </c>
    </row>
    <row r="5331">
      <c r="A5331" s="12" t="inlineStr">
        <is>
          <t>I-P-0167</t>
        </is>
      </c>
      <c r="B5331" s="12" t="inlineStr">
        <is>
          <t>I</t>
        </is>
      </c>
      <c r="C5331" s="12" t="inlineStr">
        <is>
          <t>Modular / portable power</t>
        </is>
      </c>
      <c r="D5331" s="12" t="inlineStr">
        <is>
          <t>Motor 3 of 6, 22 kW</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LV|3/C+G|4</t>
        </is>
      </c>
      <c r="L5331" s="12" t="inlineStr">
        <is>
          <t>3/C+G</t>
        </is>
      </c>
      <c r="M5331" s="12" t="inlineStr">
        <is>
          <t>4</t>
        </is>
      </c>
      <c r="N5331" s="12" t="n">
        <v>1</v>
      </c>
      <c r="O5331" s="12" t="n">
        <v>1</v>
      </c>
      <c r="P5331" s="12" t="n">
        <v>480</v>
      </c>
      <c r="Q5331" s="12" t="n">
        <v>22</v>
      </c>
      <c r="R5331" s="12" t="n">
        <v>31.1</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2.5 %</t>
        </is>
      </c>
      <c r="AA5331" s="12">
        <f>N5331*O5331</f>
        <v/>
      </c>
    </row>
    <row r="5332">
      <c r="A5332" s="12" t="inlineStr">
        <is>
          <t>I-P-0168</t>
        </is>
      </c>
      <c r="B5332" s="12" t="inlineStr">
        <is>
          <t>I</t>
        </is>
      </c>
      <c r="C5332" s="12" t="inlineStr">
        <is>
          <t>Modular / portable power</t>
        </is>
      </c>
      <c r="D5332" s="12" t="inlineStr">
        <is>
          <t>Motor 4 of 6, 22 kW</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LV|3/C+G|4</t>
        </is>
      </c>
      <c r="L5332" s="12" t="inlineStr">
        <is>
          <t>3/C+G</t>
        </is>
      </c>
      <c r="M5332" s="12" t="inlineStr">
        <is>
          <t>4</t>
        </is>
      </c>
      <c r="N5332" s="12" t="n">
        <v>1</v>
      </c>
      <c r="O5332" s="12" t="n">
        <v>1</v>
      </c>
      <c r="P5332" s="12" t="n">
        <v>480</v>
      </c>
      <c r="Q5332" s="12" t="n">
        <v>22</v>
      </c>
      <c r="R5332" s="12" t="n">
        <v>31.1</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2.5 %</t>
        </is>
      </c>
      <c r="AA5332" s="12">
        <f>N5332*O5332</f>
        <v/>
      </c>
    </row>
    <row r="5333">
      <c r="A5333" s="12" t="inlineStr">
        <is>
          <t>I-P-0169</t>
        </is>
      </c>
      <c r="B5333" s="12" t="inlineStr">
        <is>
          <t>I</t>
        </is>
      </c>
      <c r="C5333" s="12" t="inlineStr">
        <is>
          <t>Modular / portable power</t>
        </is>
      </c>
      <c r="D5333" s="12" t="inlineStr">
        <is>
          <t>Motor 5 of 6, 22 kW</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LV|3/C+G|4</t>
        </is>
      </c>
      <c r="L5333" s="12" t="inlineStr">
        <is>
          <t>3/C+G</t>
        </is>
      </c>
      <c r="M5333" s="12" t="inlineStr">
        <is>
          <t>4</t>
        </is>
      </c>
      <c r="N5333" s="12" t="n">
        <v>1</v>
      </c>
      <c r="O5333" s="12" t="n">
        <v>1</v>
      </c>
      <c r="P5333" s="12" t="n">
        <v>480</v>
      </c>
      <c r="Q5333" s="12" t="n">
        <v>22</v>
      </c>
      <c r="R5333" s="12" t="n">
        <v>31.1</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2.5 %</t>
        </is>
      </c>
      <c r="AA5333" s="12">
        <f>N5333*O5333</f>
        <v/>
      </c>
    </row>
    <row r="5334">
      <c r="A5334" s="12" t="inlineStr">
        <is>
          <t>I-P-0170</t>
        </is>
      </c>
      <c r="B5334" s="12" t="inlineStr">
        <is>
          <t>I</t>
        </is>
      </c>
      <c r="C5334" s="12" t="inlineStr">
        <is>
          <t>Modular / portable power</t>
        </is>
      </c>
      <c r="D5334" s="12" t="inlineStr">
        <is>
          <t>Motor 6 of 6, 22 kW</t>
        </is>
      </c>
      <c r="E5334" s="12" t="inlineStr"/>
      <c r="F5334" s="12" t="inlineStr">
        <is>
          <t>PCM: power control module</t>
        </is>
      </c>
      <c r="G5334" s="12" t="inlineStr">
        <is>
          <t>RICE-1</t>
        </is>
      </c>
      <c r="H5334" s="12" t="inlineStr">
        <is>
          <t>RICE engine-generator 1</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137</v>
      </c>
      <c r="V5334" s="15">
        <f>ROUNDUP((T5334+U5334+2*'Read Me'!$B$13)*(1+'Read Me'!$B$12),-1)</f>
        <v/>
      </c>
      <c r="W5334" s="15">
        <f>V5334*N5334*O5334</f>
        <v/>
      </c>
      <c r="X5334" s="12">
        <f>IF(LEFT(I5334,2)="MV",2*N5334*IF(L5334="1/C",O5334,1),0)</f>
        <v/>
      </c>
      <c r="Y5334" s="12">
        <f>IF(OR(LEFT(K5334,4)="LVAX",LEFT(K5334,6)="MV15AX",LEFT(K5334,4)="CTAX",LEFT(K5334,2)="W|"),2*N5334*O5334,0)</f>
        <v/>
      </c>
      <c r="Z5334" s="12" t="inlineStr">
        <is>
          <t>VD 2.5 %</t>
        </is>
      </c>
      <c r="AA5334" s="12">
        <f>N5334*O5334</f>
        <v/>
      </c>
    </row>
    <row r="5335">
      <c r="A5335" s="12" t="inlineStr">
        <is>
          <t>I-P-0171</t>
        </is>
      </c>
      <c r="B5335" s="12" t="inlineStr">
        <is>
          <t>I</t>
        </is>
      </c>
      <c r="C5335" s="12" t="inlineStr">
        <is>
          <t>Modular / portable power</t>
        </is>
      </c>
      <c r="D5335" s="12" t="inlineStr">
        <is>
          <t>480 V welding receptacle 1</t>
        </is>
      </c>
      <c r="E5335" s="12" t="inlineStr"/>
      <c r="F5335" s="12" t="inlineStr">
        <is>
          <t>PCM: power control module</t>
        </is>
      </c>
      <c r="G5335" s="12" t="inlineStr">
        <is>
          <t>RICE-1</t>
        </is>
      </c>
      <c r="H5335" s="12" t="inlineStr">
        <is>
          <t>RICE engine-generator 1</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60</v>
      </c>
      <c r="R5335" s="12" t="n">
        <v>76</v>
      </c>
      <c r="S5335" s="12" t="inlineStr">
        <is>
          <t>Duct bank</t>
        </is>
      </c>
      <c r="T5335" s="15" t="n">
        <v>516</v>
      </c>
      <c r="U5335" s="15" t="n">
        <v>137</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I-P-0172</t>
        </is>
      </c>
      <c r="B5336" s="12" t="inlineStr">
        <is>
          <t>I</t>
        </is>
      </c>
      <c r="C5336" s="12" t="inlineStr">
        <is>
          <t>Modular / portable power</t>
        </is>
      </c>
      <c r="D5336" s="12" t="inlineStr">
        <is>
          <t>480 V welding receptacle 2</t>
        </is>
      </c>
      <c r="E5336" s="12" t="inlineStr"/>
      <c r="F5336" s="12" t="inlineStr">
        <is>
          <t>PCM: power control module</t>
        </is>
      </c>
      <c r="G5336" s="12" t="inlineStr">
        <is>
          <t>RICE-1</t>
        </is>
      </c>
      <c r="H5336" s="12" t="inlineStr">
        <is>
          <t>RICE engine-generator 1</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60</v>
      </c>
      <c r="R5336" s="12" t="n">
        <v>76</v>
      </c>
      <c r="S5336" s="12" t="inlineStr">
        <is>
          <t>Duct bank</t>
        </is>
      </c>
      <c r="T5336" s="15" t="n">
        <v>516</v>
      </c>
      <c r="U5336" s="15" t="n">
        <v>137</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I-P-0173</t>
        </is>
      </c>
      <c r="B5337" s="12" t="inlineStr">
        <is>
          <t>I</t>
        </is>
      </c>
      <c r="C5337" s="12" t="inlineStr">
        <is>
          <t>Modular / portable power</t>
        </is>
      </c>
      <c r="D5337" s="12" t="inlineStr">
        <is>
          <t>480 V welding receptacle 3</t>
        </is>
      </c>
      <c r="E5337" s="12" t="inlineStr"/>
      <c r="F5337" s="12" t="inlineStr">
        <is>
          <t>PCM: power control module</t>
        </is>
      </c>
      <c r="G5337" s="12" t="inlineStr">
        <is>
          <t>RICE-1</t>
        </is>
      </c>
      <c r="H5337" s="12" t="inlineStr">
        <is>
          <t>RICE engine-generator 1</t>
        </is>
      </c>
      <c r="I5337" s="12" t="inlineStr">
        <is>
          <t>LV 600 V</t>
        </is>
      </c>
      <c r="J5337" s="12" t="inlineStr">
        <is>
          <t>Type TC-ER 600 V 3/C Cu XHHW-2 + ground, PVC jacket</t>
        </is>
      </c>
      <c r="K5337" s="12" t="inlineStr">
        <is>
          <t>LV|3/C+G|1/0</t>
        </is>
      </c>
      <c r="L5337" s="12" t="inlineStr">
        <is>
          <t>3/C+G</t>
        </is>
      </c>
      <c r="M5337" s="12" t="inlineStr">
        <is>
          <t>1/0</t>
        </is>
      </c>
      <c r="N5337" s="12" t="n">
        <v>1</v>
      </c>
      <c r="O5337" s="12" t="n">
        <v>1</v>
      </c>
      <c r="P5337" s="12" t="n">
        <v>480</v>
      </c>
      <c r="Q5337" s="12" t="n">
        <v>60</v>
      </c>
      <c r="R5337" s="12" t="n">
        <v>76</v>
      </c>
      <c r="S5337" s="12" t="inlineStr">
        <is>
          <t>Duct bank</t>
        </is>
      </c>
      <c r="T5337" s="15" t="n">
        <v>516</v>
      </c>
      <c r="U5337" s="15" t="n">
        <v>137</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I-P-0174</t>
        </is>
      </c>
      <c r="B5338" s="12" t="inlineStr">
        <is>
          <t>I</t>
        </is>
      </c>
      <c r="C5338" s="12" t="inlineStr">
        <is>
          <t>Modular / portable power</t>
        </is>
      </c>
      <c r="D5338" s="12" t="inlineStr">
        <is>
          <t>480 V welding receptacle 4</t>
        </is>
      </c>
      <c r="E5338" s="12" t="inlineStr"/>
      <c r="F5338" s="12" t="inlineStr">
        <is>
          <t>PCM: power control module</t>
        </is>
      </c>
      <c r="G5338" s="12" t="inlineStr">
        <is>
          <t>RICE-1</t>
        </is>
      </c>
      <c r="H5338" s="12" t="inlineStr">
        <is>
          <t>RICE engine-generator 1</t>
        </is>
      </c>
      <c r="I5338" s="12" t="inlineStr">
        <is>
          <t>LV 600 V</t>
        </is>
      </c>
      <c r="J5338" s="12" t="inlineStr">
        <is>
          <t>Type TC-ER 600 V 3/C Cu XHHW-2 + ground, PVC jacket</t>
        </is>
      </c>
      <c r="K5338" s="12" t="inlineStr">
        <is>
          <t>LV|3/C+G|1/0</t>
        </is>
      </c>
      <c r="L5338" s="12" t="inlineStr">
        <is>
          <t>3/C+G</t>
        </is>
      </c>
      <c r="M5338" s="12" t="inlineStr">
        <is>
          <t>1/0</t>
        </is>
      </c>
      <c r="N5338" s="12" t="n">
        <v>1</v>
      </c>
      <c r="O5338" s="12" t="n">
        <v>1</v>
      </c>
      <c r="P5338" s="12" t="n">
        <v>480</v>
      </c>
      <c r="Q5338" s="12" t="n">
        <v>60</v>
      </c>
      <c r="R5338" s="12" t="n">
        <v>76</v>
      </c>
      <c r="S5338" s="12" t="inlineStr">
        <is>
          <t>Duct bank</t>
        </is>
      </c>
      <c r="T5338" s="15" t="n">
        <v>516</v>
      </c>
      <c r="U5338" s="15" t="n">
        <v>137</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I-P-0175</t>
        </is>
      </c>
      <c r="B5339" s="12" t="inlineStr">
        <is>
          <t>I</t>
        </is>
      </c>
      <c r="C5339" s="12" t="inlineStr">
        <is>
          <t>Modular / portable power</t>
        </is>
      </c>
      <c r="D5339" s="12" t="inlineStr">
        <is>
          <t>Motor 1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I-P-0176</t>
        </is>
      </c>
      <c r="B5340" s="12" t="inlineStr">
        <is>
          <t>I</t>
        </is>
      </c>
      <c r="C5340" s="12" t="inlineStr">
        <is>
          <t>Modular / portable power</t>
        </is>
      </c>
      <c r="D5340" s="12" t="inlineStr">
        <is>
          <t>Motor 2 of 6, 22 kW</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LV|3/C+G|4</t>
        </is>
      </c>
      <c r="L5340" s="12" t="inlineStr">
        <is>
          <t>3/C+G</t>
        </is>
      </c>
      <c r="M5340" s="12" t="inlineStr">
        <is>
          <t>4</t>
        </is>
      </c>
      <c r="N5340" s="12" t="n">
        <v>1</v>
      </c>
      <c r="O5340" s="12" t="n">
        <v>1</v>
      </c>
      <c r="P5340" s="12" t="n">
        <v>480</v>
      </c>
      <c r="Q5340" s="12" t="n">
        <v>22</v>
      </c>
      <c r="R5340" s="12" t="n">
        <v>31.1</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2.4 %</t>
        </is>
      </c>
      <c r="AA5340" s="12">
        <f>N5340*O5340</f>
        <v/>
      </c>
    </row>
    <row r="5341">
      <c r="A5341" s="12" t="inlineStr">
        <is>
          <t>I-P-0177</t>
        </is>
      </c>
      <c r="B5341" s="12" t="inlineStr">
        <is>
          <t>I</t>
        </is>
      </c>
      <c r="C5341" s="12" t="inlineStr">
        <is>
          <t>Modular / portable power</t>
        </is>
      </c>
      <c r="D5341" s="12" t="inlineStr">
        <is>
          <t>Motor 3 of 6, 22 kW</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LV|3/C+G|4</t>
        </is>
      </c>
      <c r="L5341" s="12" t="inlineStr">
        <is>
          <t>3/C+G</t>
        </is>
      </c>
      <c r="M5341" s="12" t="inlineStr">
        <is>
          <t>4</t>
        </is>
      </c>
      <c r="N5341" s="12" t="n">
        <v>1</v>
      </c>
      <c r="O5341" s="12" t="n">
        <v>1</v>
      </c>
      <c r="P5341" s="12" t="n">
        <v>480</v>
      </c>
      <c r="Q5341" s="12" t="n">
        <v>22</v>
      </c>
      <c r="R5341" s="12" t="n">
        <v>31.1</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2.4 %</t>
        </is>
      </c>
      <c r="AA5341" s="12">
        <f>N5341*O5341</f>
        <v/>
      </c>
    </row>
    <row r="5342">
      <c r="A5342" s="12" t="inlineStr">
        <is>
          <t>I-P-0178</t>
        </is>
      </c>
      <c r="B5342" s="12" t="inlineStr">
        <is>
          <t>I</t>
        </is>
      </c>
      <c r="C5342" s="12" t="inlineStr">
        <is>
          <t>Modular / portable power</t>
        </is>
      </c>
      <c r="D5342" s="12" t="inlineStr">
        <is>
          <t>Motor 4 of 6, 22 kW</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LV|3/C+G|4</t>
        </is>
      </c>
      <c r="L5342" s="12" t="inlineStr">
        <is>
          <t>3/C+G</t>
        </is>
      </c>
      <c r="M5342" s="12" t="inlineStr">
        <is>
          <t>4</t>
        </is>
      </c>
      <c r="N5342" s="12" t="n">
        <v>1</v>
      </c>
      <c r="O5342" s="12" t="n">
        <v>1</v>
      </c>
      <c r="P5342" s="12" t="n">
        <v>480</v>
      </c>
      <c r="Q5342" s="12" t="n">
        <v>22</v>
      </c>
      <c r="R5342" s="12" t="n">
        <v>31.1</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2.4 %</t>
        </is>
      </c>
      <c r="AA5342" s="12">
        <f>N5342*O5342</f>
        <v/>
      </c>
    </row>
    <row r="5343">
      <c r="A5343" s="12" t="inlineStr">
        <is>
          <t>I-P-0179</t>
        </is>
      </c>
      <c r="B5343" s="12" t="inlineStr">
        <is>
          <t>I</t>
        </is>
      </c>
      <c r="C5343" s="12" t="inlineStr">
        <is>
          <t>Modular / portable power</t>
        </is>
      </c>
      <c r="D5343" s="12" t="inlineStr">
        <is>
          <t>Motor 5 of 6, 22 kW</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LV|3/C+G|4</t>
        </is>
      </c>
      <c r="L5343" s="12" t="inlineStr">
        <is>
          <t>3/C+G</t>
        </is>
      </c>
      <c r="M5343" s="12" t="inlineStr">
        <is>
          <t>4</t>
        </is>
      </c>
      <c r="N5343" s="12" t="n">
        <v>1</v>
      </c>
      <c r="O5343" s="12" t="n">
        <v>1</v>
      </c>
      <c r="P5343" s="12" t="n">
        <v>480</v>
      </c>
      <c r="Q5343" s="12" t="n">
        <v>22</v>
      </c>
      <c r="R5343" s="12" t="n">
        <v>31.1</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2.4 %</t>
        </is>
      </c>
      <c r="AA5343" s="12">
        <f>N5343*O5343</f>
        <v/>
      </c>
    </row>
    <row r="5344">
      <c r="A5344" s="12" t="inlineStr">
        <is>
          <t>I-P-0180</t>
        </is>
      </c>
      <c r="B5344" s="12" t="inlineStr">
        <is>
          <t>I</t>
        </is>
      </c>
      <c r="C5344" s="12" t="inlineStr">
        <is>
          <t>Modular / portable power</t>
        </is>
      </c>
      <c r="D5344" s="12" t="inlineStr">
        <is>
          <t>Motor 6 of 6, 22 kW</t>
        </is>
      </c>
      <c r="E5344" s="12" t="inlineStr"/>
      <c r="F5344" s="12" t="inlineStr">
        <is>
          <t>PCM: power control module</t>
        </is>
      </c>
      <c r="G5344" s="12" t="inlineStr">
        <is>
          <t>RICE-2</t>
        </is>
      </c>
      <c r="H5344" s="12" t="inlineStr">
        <is>
          <t>RICE engine-generator 2</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109</v>
      </c>
      <c r="V5344" s="15">
        <f>ROUNDUP((T5344+U5344+2*'Read Me'!$B$13)*(1+'Read Me'!$B$12),-1)</f>
        <v/>
      </c>
      <c r="W5344" s="15">
        <f>V5344*N5344*O5344</f>
        <v/>
      </c>
      <c r="X5344" s="12">
        <f>IF(LEFT(I5344,2)="MV",2*N5344*IF(L5344="1/C",O5344,1),0)</f>
        <v/>
      </c>
      <c r="Y5344" s="12">
        <f>IF(OR(LEFT(K5344,4)="LVAX",LEFT(K5344,6)="MV15AX",LEFT(K5344,4)="CTAX",LEFT(K5344,2)="W|"),2*N5344*O5344,0)</f>
        <v/>
      </c>
      <c r="Z5344" s="12" t="inlineStr">
        <is>
          <t>VD 2.4 %</t>
        </is>
      </c>
      <c r="AA5344" s="12">
        <f>N5344*O5344</f>
        <v/>
      </c>
    </row>
    <row r="5345">
      <c r="A5345" s="12" t="inlineStr">
        <is>
          <t>I-P-0181</t>
        </is>
      </c>
      <c r="B5345" s="12" t="inlineStr">
        <is>
          <t>I</t>
        </is>
      </c>
      <c r="C5345" s="12" t="inlineStr">
        <is>
          <t>Modular / portable power</t>
        </is>
      </c>
      <c r="D5345" s="12" t="inlineStr">
        <is>
          <t>480 V welding receptacle 1</t>
        </is>
      </c>
      <c r="E5345" s="12" t="inlineStr"/>
      <c r="F5345" s="12" t="inlineStr">
        <is>
          <t>PCM: power control module</t>
        </is>
      </c>
      <c r="G5345" s="12" t="inlineStr">
        <is>
          <t>RICE-2</t>
        </is>
      </c>
      <c r="H5345" s="12" t="inlineStr">
        <is>
          <t>RICE engine-generator 2</t>
        </is>
      </c>
      <c r="I5345" s="12" t="inlineStr">
        <is>
          <t>LV 600 V</t>
        </is>
      </c>
      <c r="J5345" s="12" t="inlineStr">
        <is>
          <t>Type TC-ER 600 V 3/C Cu XHHW-2 + ground, PVC jacket</t>
        </is>
      </c>
      <c r="K5345" s="12" t="inlineStr">
        <is>
          <t>LV|3/C+G|1</t>
        </is>
      </c>
      <c r="L5345" s="12" t="inlineStr">
        <is>
          <t>3/C+G</t>
        </is>
      </c>
      <c r="M5345" s="12" t="inlineStr">
        <is>
          <t>1</t>
        </is>
      </c>
      <c r="N5345" s="12" t="n">
        <v>1</v>
      </c>
      <c r="O5345" s="12" t="n">
        <v>1</v>
      </c>
      <c r="P5345" s="12" t="n">
        <v>480</v>
      </c>
      <c r="Q5345" s="12" t="n">
        <v>60</v>
      </c>
      <c r="R5345" s="12" t="n">
        <v>76</v>
      </c>
      <c r="S5345" s="12" t="inlineStr">
        <is>
          <t>Duct bank</t>
        </is>
      </c>
      <c r="T5345" s="15" t="n">
        <v>516</v>
      </c>
      <c r="U5345" s="15" t="n">
        <v>109</v>
      </c>
      <c r="V5345" s="15">
        <f>ROUNDUP((T5345+U5345+2*'Read Me'!$B$13)*(1+'Read Me'!$B$12),-1)</f>
        <v/>
      </c>
      <c r="W5345" s="15">
        <f>V5345*N5345*O5345</f>
        <v/>
      </c>
      <c r="X5345" s="12">
        <f>IF(LEFT(I5345,2)="MV",2*N5345*IF(L5345="1/C",O5345,1),0)</f>
        <v/>
      </c>
      <c r="Y5345" s="12">
        <f>IF(OR(LEFT(K5345,4)="LVAX",LEFT(K5345,6)="MV15AX",LEFT(K5345,4)="CTAX",LEFT(K5345,2)="W|"),2*N5345*O5345,0)</f>
        <v/>
      </c>
      <c r="Z5345" s="12" t="inlineStr">
        <is>
          <t>VD 2.9 %</t>
        </is>
      </c>
      <c r="AA5345" s="12">
        <f>N5345*O5345</f>
        <v/>
      </c>
    </row>
    <row r="5346">
      <c r="A5346" s="12" t="inlineStr">
        <is>
          <t>I-P-0182</t>
        </is>
      </c>
      <c r="B5346" s="12" t="inlineStr">
        <is>
          <t>I</t>
        </is>
      </c>
      <c r="C5346" s="12" t="inlineStr">
        <is>
          <t>Modular / portable power</t>
        </is>
      </c>
      <c r="D5346" s="12" t="inlineStr">
        <is>
          <t>480 V welding receptacle 2</t>
        </is>
      </c>
      <c r="E5346" s="12" t="inlineStr"/>
      <c r="F5346" s="12" t="inlineStr">
        <is>
          <t>PCM: power control module</t>
        </is>
      </c>
      <c r="G5346" s="12" t="inlineStr">
        <is>
          <t>RICE-2</t>
        </is>
      </c>
      <c r="H5346" s="12" t="inlineStr">
        <is>
          <t>RICE engine-generator 2</t>
        </is>
      </c>
      <c r="I5346" s="12" t="inlineStr">
        <is>
          <t>LV 600 V</t>
        </is>
      </c>
      <c r="J5346" s="12" t="inlineStr">
        <is>
          <t>Type TC-ER 600 V 3/C Cu XHHW-2 + ground, PVC jacket</t>
        </is>
      </c>
      <c r="K5346" s="12" t="inlineStr">
        <is>
          <t>LV|3/C+G|1</t>
        </is>
      </c>
      <c r="L5346" s="12" t="inlineStr">
        <is>
          <t>3/C+G</t>
        </is>
      </c>
      <c r="M5346" s="12" t="inlineStr">
        <is>
          <t>1</t>
        </is>
      </c>
      <c r="N5346" s="12" t="n">
        <v>1</v>
      </c>
      <c r="O5346" s="12" t="n">
        <v>1</v>
      </c>
      <c r="P5346" s="12" t="n">
        <v>480</v>
      </c>
      <c r="Q5346" s="12" t="n">
        <v>60</v>
      </c>
      <c r="R5346" s="12" t="n">
        <v>76</v>
      </c>
      <c r="S5346" s="12" t="inlineStr">
        <is>
          <t>Duct bank</t>
        </is>
      </c>
      <c r="T5346" s="15" t="n">
        <v>516</v>
      </c>
      <c r="U5346" s="15" t="n">
        <v>109</v>
      </c>
      <c r="V5346" s="15">
        <f>ROUNDUP((T5346+U5346+2*'Read Me'!$B$13)*(1+'Read Me'!$B$12),-1)</f>
        <v/>
      </c>
      <c r="W5346" s="15">
        <f>V5346*N5346*O5346</f>
        <v/>
      </c>
      <c r="X5346" s="12">
        <f>IF(LEFT(I5346,2)="MV",2*N5346*IF(L5346="1/C",O5346,1),0)</f>
        <v/>
      </c>
      <c r="Y5346" s="12">
        <f>IF(OR(LEFT(K5346,4)="LVAX",LEFT(K5346,6)="MV15AX",LEFT(K5346,4)="CTAX",LEFT(K5346,2)="W|"),2*N5346*O5346,0)</f>
        <v/>
      </c>
      <c r="Z5346" s="12" t="inlineStr">
        <is>
          <t>VD 2.9 %</t>
        </is>
      </c>
      <c r="AA5346" s="12">
        <f>N5346*O5346</f>
        <v/>
      </c>
    </row>
    <row r="5347">
      <c r="A5347" s="12" t="inlineStr">
        <is>
          <t>I-P-0183</t>
        </is>
      </c>
      <c r="B5347" s="12" t="inlineStr">
        <is>
          <t>I</t>
        </is>
      </c>
      <c r="C5347" s="12" t="inlineStr">
        <is>
          <t>Modular / portable power</t>
        </is>
      </c>
      <c r="D5347" s="12" t="inlineStr">
        <is>
          <t>480 V welding receptacle 3</t>
        </is>
      </c>
      <c r="E5347" s="12" t="inlineStr"/>
      <c r="F5347" s="12" t="inlineStr">
        <is>
          <t>PCM: power control module</t>
        </is>
      </c>
      <c r="G5347" s="12" t="inlineStr">
        <is>
          <t>RICE-2</t>
        </is>
      </c>
      <c r="H5347" s="12" t="inlineStr">
        <is>
          <t>RICE engine-generator 2</t>
        </is>
      </c>
      <c r="I5347" s="12" t="inlineStr">
        <is>
          <t>LV 600 V</t>
        </is>
      </c>
      <c r="J5347" s="12" t="inlineStr">
        <is>
          <t>Type TC-ER 600 V 3/C Cu XHHW-2 + ground, PVC jacket</t>
        </is>
      </c>
      <c r="K5347" s="12" t="inlineStr">
        <is>
          <t>LV|3/C+G|1</t>
        </is>
      </c>
      <c r="L5347" s="12" t="inlineStr">
        <is>
          <t>3/C+G</t>
        </is>
      </c>
      <c r="M5347" s="12" t="inlineStr">
        <is>
          <t>1</t>
        </is>
      </c>
      <c r="N5347" s="12" t="n">
        <v>1</v>
      </c>
      <c r="O5347" s="12" t="n">
        <v>1</v>
      </c>
      <c r="P5347" s="12" t="n">
        <v>480</v>
      </c>
      <c r="Q5347" s="12" t="n">
        <v>60</v>
      </c>
      <c r="R5347" s="12" t="n">
        <v>76</v>
      </c>
      <c r="S5347" s="12" t="inlineStr">
        <is>
          <t>Duct bank</t>
        </is>
      </c>
      <c r="T5347" s="15" t="n">
        <v>516</v>
      </c>
      <c r="U5347" s="15" t="n">
        <v>109</v>
      </c>
      <c r="V5347" s="15">
        <f>ROUNDUP((T5347+U5347+2*'Read Me'!$B$13)*(1+'Read Me'!$B$12),-1)</f>
        <v/>
      </c>
      <c r="W5347" s="15">
        <f>V5347*N5347*O5347</f>
        <v/>
      </c>
      <c r="X5347" s="12">
        <f>IF(LEFT(I5347,2)="MV",2*N5347*IF(L5347="1/C",O5347,1),0)</f>
        <v/>
      </c>
      <c r="Y5347" s="12">
        <f>IF(OR(LEFT(K5347,4)="LVAX",LEFT(K5347,6)="MV15AX",LEFT(K5347,4)="CTAX",LEFT(K5347,2)="W|"),2*N5347*O5347,0)</f>
        <v/>
      </c>
      <c r="Z5347" s="12" t="inlineStr">
        <is>
          <t>VD 2.9 %</t>
        </is>
      </c>
      <c r="AA5347" s="12">
        <f>N5347*O5347</f>
        <v/>
      </c>
    </row>
    <row r="5348">
      <c r="A5348" s="12" t="inlineStr">
        <is>
          <t>I-P-0184</t>
        </is>
      </c>
      <c r="B5348" s="12" t="inlineStr">
        <is>
          <t>I</t>
        </is>
      </c>
      <c r="C5348" s="12" t="inlineStr">
        <is>
          <t>Modular / portable power</t>
        </is>
      </c>
      <c r="D5348" s="12" t="inlineStr">
        <is>
          <t>480 V welding receptacle 4</t>
        </is>
      </c>
      <c r="E5348" s="12" t="inlineStr"/>
      <c r="F5348" s="12" t="inlineStr">
        <is>
          <t>PCM: power control module</t>
        </is>
      </c>
      <c r="G5348" s="12" t="inlineStr">
        <is>
          <t>RICE-2</t>
        </is>
      </c>
      <c r="H5348" s="12" t="inlineStr">
        <is>
          <t>RICE engine-generator 2</t>
        </is>
      </c>
      <c r="I5348" s="12" t="inlineStr">
        <is>
          <t>LV 600 V</t>
        </is>
      </c>
      <c r="J5348" s="12" t="inlineStr">
        <is>
          <t>Type TC-ER 600 V 3/C Cu XHHW-2 + ground, PVC jacket</t>
        </is>
      </c>
      <c r="K5348" s="12" t="inlineStr">
        <is>
          <t>LV|3/C+G|1</t>
        </is>
      </c>
      <c r="L5348" s="12" t="inlineStr">
        <is>
          <t>3/C+G</t>
        </is>
      </c>
      <c r="M5348" s="12" t="inlineStr">
        <is>
          <t>1</t>
        </is>
      </c>
      <c r="N5348" s="12" t="n">
        <v>1</v>
      </c>
      <c r="O5348" s="12" t="n">
        <v>1</v>
      </c>
      <c r="P5348" s="12" t="n">
        <v>480</v>
      </c>
      <c r="Q5348" s="12" t="n">
        <v>60</v>
      </c>
      <c r="R5348" s="12" t="n">
        <v>76</v>
      </c>
      <c r="S5348" s="12" t="inlineStr">
        <is>
          <t>Duct bank</t>
        </is>
      </c>
      <c r="T5348" s="15" t="n">
        <v>516</v>
      </c>
      <c r="U5348" s="15" t="n">
        <v>109</v>
      </c>
      <c r="V5348" s="15">
        <f>ROUNDUP((T5348+U5348+2*'Read Me'!$B$13)*(1+'Read Me'!$B$12),-1)</f>
        <v/>
      </c>
      <c r="W5348" s="15">
        <f>V5348*N5348*O5348</f>
        <v/>
      </c>
      <c r="X5348" s="12">
        <f>IF(LEFT(I5348,2)="MV",2*N5348*IF(L5348="1/C",O5348,1),0)</f>
        <v/>
      </c>
      <c r="Y5348" s="12">
        <f>IF(OR(LEFT(K5348,4)="LVAX",LEFT(K5348,6)="MV15AX",LEFT(K5348,4)="CTAX",LEFT(K5348,2)="W|"),2*N5348*O5348,0)</f>
        <v/>
      </c>
      <c r="Z5348" s="12" t="inlineStr">
        <is>
          <t>VD 2.9 %</t>
        </is>
      </c>
      <c r="AA5348" s="12">
        <f>N5348*O5348</f>
        <v/>
      </c>
    </row>
    <row r="5349">
      <c r="A5349" s="12" t="inlineStr">
        <is>
          <t>I-P-0185</t>
        </is>
      </c>
      <c r="B5349" s="12" t="inlineStr">
        <is>
          <t>I</t>
        </is>
      </c>
      <c r="C5349" s="12" t="inlineStr">
        <is>
          <t>Modular / portable power</t>
        </is>
      </c>
      <c r="D5349" s="12" t="inlineStr">
        <is>
          <t>Motor 1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I-P-0186</t>
        </is>
      </c>
      <c r="B5350" s="12" t="inlineStr">
        <is>
          <t>I</t>
        </is>
      </c>
      <c r="C5350" s="12" t="inlineStr">
        <is>
          <t>Modular / portable power</t>
        </is>
      </c>
      <c r="D5350" s="12" t="inlineStr">
        <is>
          <t>Motor 2 of 6, 22 kW</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LV|3/C+G|4</t>
        </is>
      </c>
      <c r="L5350" s="12" t="inlineStr">
        <is>
          <t>3/C+G</t>
        </is>
      </c>
      <c r="M5350" s="12" t="inlineStr">
        <is>
          <t>4</t>
        </is>
      </c>
      <c r="N5350" s="12" t="n">
        <v>1</v>
      </c>
      <c r="O5350" s="12" t="n">
        <v>1</v>
      </c>
      <c r="P5350" s="12" t="n">
        <v>480</v>
      </c>
      <c r="Q5350" s="12" t="n">
        <v>22</v>
      </c>
      <c r="R5350" s="12" t="n">
        <v>31.1</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2.3 %</t>
        </is>
      </c>
      <c r="AA5350" s="12">
        <f>N5350*O5350</f>
        <v/>
      </c>
    </row>
    <row r="5351">
      <c r="A5351" s="12" t="inlineStr">
        <is>
          <t>I-P-0187</t>
        </is>
      </c>
      <c r="B5351" s="12" t="inlineStr">
        <is>
          <t>I</t>
        </is>
      </c>
      <c r="C5351" s="12" t="inlineStr">
        <is>
          <t>Modular / portable power</t>
        </is>
      </c>
      <c r="D5351" s="12" t="inlineStr">
        <is>
          <t>Motor 3 of 6, 22 kW</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LV|3/C+G|4</t>
        </is>
      </c>
      <c r="L5351" s="12" t="inlineStr">
        <is>
          <t>3/C+G</t>
        </is>
      </c>
      <c r="M5351" s="12" t="inlineStr">
        <is>
          <t>4</t>
        </is>
      </c>
      <c r="N5351" s="12" t="n">
        <v>1</v>
      </c>
      <c r="O5351" s="12" t="n">
        <v>1</v>
      </c>
      <c r="P5351" s="12" t="n">
        <v>480</v>
      </c>
      <c r="Q5351" s="12" t="n">
        <v>22</v>
      </c>
      <c r="R5351" s="12" t="n">
        <v>31.1</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2.3 %</t>
        </is>
      </c>
      <c r="AA5351" s="12">
        <f>N5351*O5351</f>
        <v/>
      </c>
    </row>
    <row r="5352">
      <c r="A5352" s="12" t="inlineStr">
        <is>
          <t>I-P-0188</t>
        </is>
      </c>
      <c r="B5352" s="12" t="inlineStr">
        <is>
          <t>I</t>
        </is>
      </c>
      <c r="C5352" s="12" t="inlineStr">
        <is>
          <t>Modular / portable power</t>
        </is>
      </c>
      <c r="D5352" s="12" t="inlineStr">
        <is>
          <t>Motor 4 of 6, 22 kW</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LV|3/C+G|4</t>
        </is>
      </c>
      <c r="L5352" s="12" t="inlineStr">
        <is>
          <t>3/C+G</t>
        </is>
      </c>
      <c r="M5352" s="12" t="inlineStr">
        <is>
          <t>4</t>
        </is>
      </c>
      <c r="N5352" s="12" t="n">
        <v>1</v>
      </c>
      <c r="O5352" s="12" t="n">
        <v>1</v>
      </c>
      <c r="P5352" s="12" t="n">
        <v>480</v>
      </c>
      <c r="Q5352" s="12" t="n">
        <v>22</v>
      </c>
      <c r="R5352" s="12" t="n">
        <v>31.1</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2.3 %</t>
        </is>
      </c>
      <c r="AA5352" s="12">
        <f>N5352*O5352</f>
        <v/>
      </c>
    </row>
    <row r="5353">
      <c r="A5353" s="12" t="inlineStr">
        <is>
          <t>I-P-0189</t>
        </is>
      </c>
      <c r="B5353" s="12" t="inlineStr">
        <is>
          <t>I</t>
        </is>
      </c>
      <c r="C5353" s="12" t="inlineStr">
        <is>
          <t>Modular / portable power</t>
        </is>
      </c>
      <c r="D5353" s="12" t="inlineStr">
        <is>
          <t>Motor 5 of 6, 22 kW</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LV|3/C+G|4</t>
        </is>
      </c>
      <c r="L5353" s="12" t="inlineStr">
        <is>
          <t>3/C+G</t>
        </is>
      </c>
      <c r="M5353" s="12" t="inlineStr">
        <is>
          <t>4</t>
        </is>
      </c>
      <c r="N5353" s="12" t="n">
        <v>1</v>
      </c>
      <c r="O5353" s="12" t="n">
        <v>1</v>
      </c>
      <c r="P5353" s="12" t="n">
        <v>480</v>
      </c>
      <c r="Q5353" s="12" t="n">
        <v>22</v>
      </c>
      <c r="R5353" s="12" t="n">
        <v>31.1</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2.3 %</t>
        </is>
      </c>
      <c r="AA5353" s="12">
        <f>N5353*O5353</f>
        <v/>
      </c>
    </row>
    <row r="5354">
      <c r="A5354" s="12" t="inlineStr">
        <is>
          <t>I-P-0190</t>
        </is>
      </c>
      <c r="B5354" s="12" t="inlineStr">
        <is>
          <t>I</t>
        </is>
      </c>
      <c r="C5354" s="12" t="inlineStr">
        <is>
          <t>Modular / portable power</t>
        </is>
      </c>
      <c r="D5354" s="12" t="inlineStr">
        <is>
          <t>Motor 6 of 6, 22 kW</t>
        </is>
      </c>
      <c r="E5354" s="12" t="inlineStr"/>
      <c r="F5354" s="12" t="inlineStr">
        <is>
          <t>PCM: power control module</t>
        </is>
      </c>
      <c r="G5354" s="12" t="inlineStr">
        <is>
          <t>RICE-3</t>
        </is>
      </c>
      <c r="H5354" s="12" t="inlineStr">
        <is>
          <t>RICE engine-generator 3</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81</v>
      </c>
      <c r="V5354" s="15">
        <f>ROUNDUP((T5354+U5354+2*'Read Me'!$B$13)*(1+'Read Me'!$B$12),-1)</f>
        <v/>
      </c>
      <c r="W5354" s="15">
        <f>V5354*N5354*O5354</f>
        <v/>
      </c>
      <c r="X5354" s="12">
        <f>IF(LEFT(I5354,2)="MV",2*N5354*IF(L5354="1/C",O5354,1),0)</f>
        <v/>
      </c>
      <c r="Y5354" s="12">
        <f>IF(OR(LEFT(K5354,4)="LVAX",LEFT(K5354,6)="MV15AX",LEFT(K5354,4)="CTAX",LEFT(K5354,2)="W|"),2*N5354*O5354,0)</f>
        <v/>
      </c>
      <c r="Z5354" s="12" t="inlineStr">
        <is>
          <t>VD 2.3 %</t>
        </is>
      </c>
      <c r="AA5354" s="12">
        <f>N5354*O5354</f>
        <v/>
      </c>
    </row>
    <row r="5355">
      <c r="A5355" s="12" t="inlineStr">
        <is>
          <t>I-P-0191</t>
        </is>
      </c>
      <c r="B5355" s="12" t="inlineStr">
        <is>
          <t>I</t>
        </is>
      </c>
      <c r="C5355" s="12" t="inlineStr">
        <is>
          <t>Modular / portable power</t>
        </is>
      </c>
      <c r="D5355" s="12" t="inlineStr">
        <is>
          <t>480 V welding receptacle 1</t>
        </is>
      </c>
      <c r="E5355" s="12" t="inlineStr"/>
      <c r="F5355" s="12" t="inlineStr">
        <is>
          <t>PCM: power control module</t>
        </is>
      </c>
      <c r="G5355" s="12" t="inlineStr">
        <is>
          <t>RICE-3</t>
        </is>
      </c>
      <c r="H5355" s="12" t="inlineStr">
        <is>
          <t>RICE engine-generator 3</t>
        </is>
      </c>
      <c r="I5355" s="12" t="inlineStr">
        <is>
          <t>LV 600 V</t>
        </is>
      </c>
      <c r="J5355" s="12" t="inlineStr">
        <is>
          <t>Type TC-ER 600 V 3/C Cu XHHW-2 + ground, PVC jacket</t>
        </is>
      </c>
      <c r="K5355" s="12" t="inlineStr">
        <is>
          <t>LV|3/C+G|1</t>
        </is>
      </c>
      <c r="L5355" s="12" t="inlineStr">
        <is>
          <t>3/C+G</t>
        </is>
      </c>
      <c r="M5355" s="12" t="inlineStr">
        <is>
          <t>1</t>
        </is>
      </c>
      <c r="N5355" s="12" t="n">
        <v>1</v>
      </c>
      <c r="O5355" s="12" t="n">
        <v>1</v>
      </c>
      <c r="P5355" s="12" t="n">
        <v>480</v>
      </c>
      <c r="Q5355" s="12" t="n">
        <v>60</v>
      </c>
      <c r="R5355" s="12" t="n">
        <v>76</v>
      </c>
      <c r="S5355" s="12" t="inlineStr">
        <is>
          <t>Duct bank</t>
        </is>
      </c>
      <c r="T5355" s="15" t="n">
        <v>516</v>
      </c>
      <c r="U5355" s="15" t="n">
        <v>81</v>
      </c>
      <c r="V5355" s="15">
        <f>ROUNDUP((T5355+U5355+2*'Read Me'!$B$13)*(1+'Read Me'!$B$12),-1)</f>
        <v/>
      </c>
      <c r="W5355" s="15">
        <f>V5355*N5355*O5355</f>
        <v/>
      </c>
      <c r="X5355" s="12">
        <f>IF(LEFT(I5355,2)="MV",2*N5355*IF(L5355="1/C",O5355,1),0)</f>
        <v/>
      </c>
      <c r="Y5355" s="12">
        <f>IF(OR(LEFT(K5355,4)="LVAX",LEFT(K5355,6)="MV15AX",LEFT(K5355,4)="CTAX",LEFT(K5355,2)="W|"),2*N5355*O5355,0)</f>
        <v/>
      </c>
      <c r="Z5355" s="12" t="inlineStr">
        <is>
          <t>VD 2.8 %</t>
        </is>
      </c>
      <c r="AA5355" s="12">
        <f>N5355*O5355</f>
        <v/>
      </c>
    </row>
    <row r="5356">
      <c r="A5356" s="12" t="inlineStr">
        <is>
          <t>I-P-0192</t>
        </is>
      </c>
      <c r="B5356" s="12" t="inlineStr">
        <is>
          <t>I</t>
        </is>
      </c>
      <c r="C5356" s="12" t="inlineStr">
        <is>
          <t>Modular / portable power</t>
        </is>
      </c>
      <c r="D5356" s="12" t="inlineStr">
        <is>
          <t>480 V welding receptacle 2</t>
        </is>
      </c>
      <c r="E5356" s="12" t="inlineStr"/>
      <c r="F5356" s="12" t="inlineStr">
        <is>
          <t>PCM: power control module</t>
        </is>
      </c>
      <c r="G5356" s="12" t="inlineStr">
        <is>
          <t>RICE-3</t>
        </is>
      </c>
      <c r="H5356" s="12" t="inlineStr">
        <is>
          <t>RICE engine-generator 3</t>
        </is>
      </c>
      <c r="I5356" s="12" t="inlineStr">
        <is>
          <t>LV 600 V</t>
        </is>
      </c>
      <c r="J5356" s="12" t="inlineStr">
        <is>
          <t>Type TC-ER 600 V 3/C Cu XHHW-2 + ground, PVC jacket</t>
        </is>
      </c>
      <c r="K5356" s="12" t="inlineStr">
        <is>
          <t>LV|3/C+G|1</t>
        </is>
      </c>
      <c r="L5356" s="12" t="inlineStr">
        <is>
          <t>3/C+G</t>
        </is>
      </c>
      <c r="M5356" s="12" t="inlineStr">
        <is>
          <t>1</t>
        </is>
      </c>
      <c r="N5356" s="12" t="n">
        <v>1</v>
      </c>
      <c r="O5356" s="12" t="n">
        <v>1</v>
      </c>
      <c r="P5356" s="12" t="n">
        <v>480</v>
      </c>
      <c r="Q5356" s="12" t="n">
        <v>60</v>
      </c>
      <c r="R5356" s="12" t="n">
        <v>76</v>
      </c>
      <c r="S5356" s="12" t="inlineStr">
        <is>
          <t>Duct bank</t>
        </is>
      </c>
      <c r="T5356" s="15" t="n">
        <v>516</v>
      </c>
      <c r="U5356" s="15" t="n">
        <v>81</v>
      </c>
      <c r="V5356" s="15">
        <f>ROUNDUP((T5356+U5356+2*'Read Me'!$B$13)*(1+'Read Me'!$B$12),-1)</f>
        <v/>
      </c>
      <c r="W5356" s="15">
        <f>V5356*N5356*O5356</f>
        <v/>
      </c>
      <c r="X5356" s="12">
        <f>IF(LEFT(I5356,2)="MV",2*N5356*IF(L5356="1/C",O5356,1),0)</f>
        <v/>
      </c>
      <c r="Y5356" s="12">
        <f>IF(OR(LEFT(K5356,4)="LVAX",LEFT(K5356,6)="MV15AX",LEFT(K5356,4)="CTAX",LEFT(K5356,2)="W|"),2*N5356*O5356,0)</f>
        <v/>
      </c>
      <c r="Z5356" s="12" t="inlineStr">
        <is>
          <t>VD 2.8 %</t>
        </is>
      </c>
      <c r="AA5356" s="12">
        <f>N5356*O5356</f>
        <v/>
      </c>
    </row>
    <row r="5357">
      <c r="A5357" s="12" t="inlineStr">
        <is>
          <t>I-P-0193</t>
        </is>
      </c>
      <c r="B5357" s="12" t="inlineStr">
        <is>
          <t>I</t>
        </is>
      </c>
      <c r="C5357" s="12" t="inlineStr">
        <is>
          <t>Modular / portable power</t>
        </is>
      </c>
      <c r="D5357" s="12" t="inlineStr">
        <is>
          <t>480 V welding receptacle 3</t>
        </is>
      </c>
      <c r="E5357" s="12" t="inlineStr"/>
      <c r="F5357" s="12" t="inlineStr">
        <is>
          <t>PCM: power control module</t>
        </is>
      </c>
      <c r="G5357" s="12" t="inlineStr">
        <is>
          <t>RICE-3</t>
        </is>
      </c>
      <c r="H5357" s="12" t="inlineStr">
        <is>
          <t>RICE engine-generator 3</t>
        </is>
      </c>
      <c r="I5357" s="12" t="inlineStr">
        <is>
          <t>LV 600 V</t>
        </is>
      </c>
      <c r="J5357" s="12" t="inlineStr">
        <is>
          <t>Type TC-ER 600 V 3/C Cu XHHW-2 + ground, PVC jacket</t>
        </is>
      </c>
      <c r="K5357" s="12" t="inlineStr">
        <is>
          <t>LV|3/C+G|1</t>
        </is>
      </c>
      <c r="L5357" s="12" t="inlineStr">
        <is>
          <t>3/C+G</t>
        </is>
      </c>
      <c r="M5357" s="12" t="inlineStr">
        <is>
          <t>1</t>
        </is>
      </c>
      <c r="N5357" s="12" t="n">
        <v>1</v>
      </c>
      <c r="O5357" s="12" t="n">
        <v>1</v>
      </c>
      <c r="P5357" s="12" t="n">
        <v>480</v>
      </c>
      <c r="Q5357" s="12" t="n">
        <v>60</v>
      </c>
      <c r="R5357" s="12" t="n">
        <v>76</v>
      </c>
      <c r="S5357" s="12" t="inlineStr">
        <is>
          <t>Duct bank</t>
        </is>
      </c>
      <c r="T5357" s="15" t="n">
        <v>516</v>
      </c>
      <c r="U5357" s="15" t="n">
        <v>81</v>
      </c>
      <c r="V5357" s="15">
        <f>ROUNDUP((T5357+U5357+2*'Read Me'!$B$13)*(1+'Read Me'!$B$12),-1)</f>
        <v/>
      </c>
      <c r="W5357" s="15">
        <f>V5357*N5357*O5357</f>
        <v/>
      </c>
      <c r="X5357" s="12">
        <f>IF(LEFT(I5357,2)="MV",2*N5357*IF(L5357="1/C",O5357,1),0)</f>
        <v/>
      </c>
      <c r="Y5357" s="12">
        <f>IF(OR(LEFT(K5357,4)="LVAX",LEFT(K5357,6)="MV15AX",LEFT(K5357,4)="CTAX",LEFT(K5357,2)="W|"),2*N5357*O5357,0)</f>
        <v/>
      </c>
      <c r="Z5357" s="12" t="inlineStr">
        <is>
          <t>VD 2.8 %</t>
        </is>
      </c>
      <c r="AA5357" s="12">
        <f>N5357*O5357</f>
        <v/>
      </c>
    </row>
    <row r="5358">
      <c r="A5358" s="12" t="inlineStr">
        <is>
          <t>I-P-0194</t>
        </is>
      </c>
      <c r="B5358" s="12" t="inlineStr">
        <is>
          <t>I</t>
        </is>
      </c>
      <c r="C5358" s="12" t="inlineStr">
        <is>
          <t>Modular / portable power</t>
        </is>
      </c>
      <c r="D5358" s="12" t="inlineStr">
        <is>
          <t>480 V welding receptacle 4</t>
        </is>
      </c>
      <c r="E5358" s="12" t="inlineStr"/>
      <c r="F5358" s="12" t="inlineStr">
        <is>
          <t>PCM: power control module</t>
        </is>
      </c>
      <c r="G5358" s="12" t="inlineStr">
        <is>
          <t>RICE-3</t>
        </is>
      </c>
      <c r="H5358" s="12" t="inlineStr">
        <is>
          <t>RICE engine-generator 3</t>
        </is>
      </c>
      <c r="I5358" s="12" t="inlineStr">
        <is>
          <t>LV 600 V</t>
        </is>
      </c>
      <c r="J5358" s="12" t="inlineStr">
        <is>
          <t>Type TC-ER 600 V 3/C Cu XHHW-2 + ground, PVC jacket</t>
        </is>
      </c>
      <c r="K5358" s="12" t="inlineStr">
        <is>
          <t>LV|3/C+G|1</t>
        </is>
      </c>
      <c r="L5358" s="12" t="inlineStr">
        <is>
          <t>3/C+G</t>
        </is>
      </c>
      <c r="M5358" s="12" t="inlineStr">
        <is>
          <t>1</t>
        </is>
      </c>
      <c r="N5358" s="12" t="n">
        <v>1</v>
      </c>
      <c r="O5358" s="12" t="n">
        <v>1</v>
      </c>
      <c r="P5358" s="12" t="n">
        <v>480</v>
      </c>
      <c r="Q5358" s="12" t="n">
        <v>60</v>
      </c>
      <c r="R5358" s="12" t="n">
        <v>76</v>
      </c>
      <c r="S5358" s="12" t="inlineStr">
        <is>
          <t>Duct bank</t>
        </is>
      </c>
      <c r="T5358" s="15" t="n">
        <v>516</v>
      </c>
      <c r="U5358" s="15" t="n">
        <v>81</v>
      </c>
      <c r="V5358" s="15">
        <f>ROUNDUP((T5358+U5358+2*'Read Me'!$B$13)*(1+'Read Me'!$B$12),-1)</f>
        <v/>
      </c>
      <c r="W5358" s="15">
        <f>V5358*N5358*O5358</f>
        <v/>
      </c>
      <c r="X5358" s="12">
        <f>IF(LEFT(I5358,2)="MV",2*N5358*IF(L5358="1/C",O5358,1),0)</f>
        <v/>
      </c>
      <c r="Y5358" s="12">
        <f>IF(OR(LEFT(K5358,4)="LVAX",LEFT(K5358,6)="MV15AX",LEFT(K5358,4)="CTAX",LEFT(K5358,2)="W|"),2*N5358*O5358,0)</f>
        <v/>
      </c>
      <c r="Z5358" s="12" t="inlineStr">
        <is>
          <t>VD 2.8 %</t>
        </is>
      </c>
      <c r="AA5358" s="12">
        <f>N5358*O5358</f>
        <v/>
      </c>
    </row>
    <row r="5359">
      <c r="A5359" s="12" t="inlineStr">
        <is>
          <t>I-P-0195</t>
        </is>
      </c>
      <c r="B5359" s="12" t="inlineStr">
        <is>
          <t>I</t>
        </is>
      </c>
      <c r="C5359" s="12" t="inlineStr">
        <is>
          <t>Modular / portable power</t>
        </is>
      </c>
      <c r="D5359" s="12" t="inlineStr">
        <is>
          <t>Motor 1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I-P-0196</t>
        </is>
      </c>
      <c r="B5360" s="12" t="inlineStr">
        <is>
          <t>I</t>
        </is>
      </c>
      <c r="C5360" s="12" t="inlineStr">
        <is>
          <t>Modular / portable power</t>
        </is>
      </c>
      <c r="D5360" s="12" t="inlineStr">
        <is>
          <t>Motor 2 of 6, 22 kW</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LV|3/C+G|4</t>
        </is>
      </c>
      <c r="L5360" s="12" t="inlineStr">
        <is>
          <t>3/C+G</t>
        </is>
      </c>
      <c r="M5360" s="12" t="inlineStr">
        <is>
          <t>4</t>
        </is>
      </c>
      <c r="N5360" s="12" t="n">
        <v>1</v>
      </c>
      <c r="O5360" s="12" t="n">
        <v>1</v>
      </c>
      <c r="P5360" s="12" t="n">
        <v>480</v>
      </c>
      <c r="Q5360" s="12" t="n">
        <v>22</v>
      </c>
      <c r="R5360" s="12" t="n">
        <v>31.1</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2.2 %</t>
        </is>
      </c>
      <c r="AA5360" s="12">
        <f>N5360*O5360</f>
        <v/>
      </c>
    </row>
    <row r="5361">
      <c r="A5361" s="12" t="inlineStr">
        <is>
          <t>I-P-0197</t>
        </is>
      </c>
      <c r="B5361" s="12" t="inlineStr">
        <is>
          <t>I</t>
        </is>
      </c>
      <c r="C5361" s="12" t="inlineStr">
        <is>
          <t>Modular / portable power</t>
        </is>
      </c>
      <c r="D5361" s="12" t="inlineStr">
        <is>
          <t>Motor 3 of 6, 22 kW</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LV|3/C+G|4</t>
        </is>
      </c>
      <c r="L5361" s="12" t="inlineStr">
        <is>
          <t>3/C+G</t>
        </is>
      </c>
      <c r="M5361" s="12" t="inlineStr">
        <is>
          <t>4</t>
        </is>
      </c>
      <c r="N5361" s="12" t="n">
        <v>1</v>
      </c>
      <c r="O5361" s="12" t="n">
        <v>1</v>
      </c>
      <c r="P5361" s="12" t="n">
        <v>480</v>
      </c>
      <c r="Q5361" s="12" t="n">
        <v>22</v>
      </c>
      <c r="R5361" s="12" t="n">
        <v>31.1</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2.2 %</t>
        </is>
      </c>
      <c r="AA5361" s="12">
        <f>N5361*O5361</f>
        <v/>
      </c>
    </row>
    <row r="5362">
      <c r="A5362" s="12" t="inlineStr">
        <is>
          <t>I-P-0198</t>
        </is>
      </c>
      <c r="B5362" s="12" t="inlineStr">
        <is>
          <t>I</t>
        </is>
      </c>
      <c r="C5362" s="12" t="inlineStr">
        <is>
          <t>Modular / portable power</t>
        </is>
      </c>
      <c r="D5362" s="12" t="inlineStr">
        <is>
          <t>Motor 4 of 6, 22 kW</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LV|3/C+G|4</t>
        </is>
      </c>
      <c r="L5362" s="12" t="inlineStr">
        <is>
          <t>3/C+G</t>
        </is>
      </c>
      <c r="M5362" s="12" t="inlineStr">
        <is>
          <t>4</t>
        </is>
      </c>
      <c r="N5362" s="12" t="n">
        <v>1</v>
      </c>
      <c r="O5362" s="12" t="n">
        <v>1</v>
      </c>
      <c r="P5362" s="12" t="n">
        <v>480</v>
      </c>
      <c r="Q5362" s="12" t="n">
        <v>22</v>
      </c>
      <c r="R5362" s="12" t="n">
        <v>31.1</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2.2 %</t>
        </is>
      </c>
      <c r="AA5362" s="12">
        <f>N5362*O5362</f>
        <v/>
      </c>
    </row>
    <row r="5363">
      <c r="A5363" s="12" t="inlineStr">
        <is>
          <t>I-P-0199</t>
        </is>
      </c>
      <c r="B5363" s="12" t="inlineStr">
        <is>
          <t>I</t>
        </is>
      </c>
      <c r="C5363" s="12" t="inlineStr">
        <is>
          <t>Modular / portable power</t>
        </is>
      </c>
      <c r="D5363" s="12" t="inlineStr">
        <is>
          <t>Motor 5 of 6, 22 kW</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LV|3/C+G|4</t>
        </is>
      </c>
      <c r="L5363" s="12" t="inlineStr">
        <is>
          <t>3/C+G</t>
        </is>
      </c>
      <c r="M5363" s="12" t="inlineStr">
        <is>
          <t>4</t>
        </is>
      </c>
      <c r="N5363" s="12" t="n">
        <v>1</v>
      </c>
      <c r="O5363" s="12" t="n">
        <v>1</v>
      </c>
      <c r="P5363" s="12" t="n">
        <v>480</v>
      </c>
      <c r="Q5363" s="12" t="n">
        <v>22</v>
      </c>
      <c r="R5363" s="12" t="n">
        <v>31.1</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2.2 %</t>
        </is>
      </c>
      <c r="AA5363" s="12">
        <f>N5363*O5363</f>
        <v/>
      </c>
    </row>
    <row r="5364">
      <c r="A5364" s="12" t="inlineStr">
        <is>
          <t>I-P-0200</t>
        </is>
      </c>
      <c r="B5364" s="12" t="inlineStr">
        <is>
          <t>I</t>
        </is>
      </c>
      <c r="C5364" s="12" t="inlineStr">
        <is>
          <t>Modular / portable power</t>
        </is>
      </c>
      <c r="D5364" s="12" t="inlineStr">
        <is>
          <t>Motor 6 of 6, 22 kW</t>
        </is>
      </c>
      <c r="E5364" s="12" t="inlineStr"/>
      <c r="F5364" s="12" t="inlineStr">
        <is>
          <t>PCM: power control module</t>
        </is>
      </c>
      <c r="G5364" s="12" t="inlineStr">
        <is>
          <t>RICE-4</t>
        </is>
      </c>
      <c r="H5364" s="12" t="inlineStr">
        <is>
          <t>RICE engine-generator 4</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53</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I-P-0201</t>
        </is>
      </c>
      <c r="B5365" s="12" t="inlineStr">
        <is>
          <t>I</t>
        </is>
      </c>
      <c r="C5365" s="12" t="inlineStr">
        <is>
          <t>Modular / portable power</t>
        </is>
      </c>
      <c r="D5365" s="12" t="inlineStr">
        <is>
          <t>480 V welding receptacle 1</t>
        </is>
      </c>
      <c r="E5365" s="12" t="inlineStr"/>
      <c r="F5365" s="12" t="inlineStr">
        <is>
          <t>PCM: power control module</t>
        </is>
      </c>
      <c r="G5365" s="12" t="inlineStr">
        <is>
          <t>RICE-4</t>
        </is>
      </c>
      <c r="H5365" s="12" t="inlineStr">
        <is>
          <t>RICE engine-generator 4</t>
        </is>
      </c>
      <c r="I5365" s="12" t="inlineStr">
        <is>
          <t>LV 600 V</t>
        </is>
      </c>
      <c r="J5365" s="12" t="inlineStr">
        <is>
          <t>Type TC-ER 600 V 3/C Cu XHHW-2 + ground, PVC jacket</t>
        </is>
      </c>
      <c r="K5365" s="12" t="inlineStr">
        <is>
          <t>LV|3/C+G|1</t>
        </is>
      </c>
      <c r="L5365" s="12" t="inlineStr">
        <is>
          <t>3/C+G</t>
        </is>
      </c>
      <c r="M5365" s="12" t="inlineStr">
        <is>
          <t>1</t>
        </is>
      </c>
      <c r="N5365" s="12" t="n">
        <v>1</v>
      </c>
      <c r="O5365" s="12" t="n">
        <v>1</v>
      </c>
      <c r="P5365" s="12" t="n">
        <v>480</v>
      </c>
      <c r="Q5365" s="12" t="n">
        <v>60</v>
      </c>
      <c r="R5365" s="12" t="n">
        <v>76</v>
      </c>
      <c r="S5365" s="12" t="inlineStr">
        <is>
          <t>Duct bank</t>
        </is>
      </c>
      <c r="T5365" s="15" t="n">
        <v>516</v>
      </c>
      <c r="U5365" s="15" t="n">
        <v>53</v>
      </c>
      <c r="V5365" s="15">
        <f>ROUNDUP((T5365+U5365+2*'Read Me'!$B$13)*(1+'Read Me'!$B$12),-1)</f>
        <v/>
      </c>
      <c r="W5365" s="15">
        <f>V5365*N5365*O5365</f>
        <v/>
      </c>
      <c r="X5365" s="12">
        <f>IF(LEFT(I5365,2)="MV",2*N5365*IF(L5365="1/C",O5365,1),0)</f>
        <v/>
      </c>
      <c r="Y5365" s="12">
        <f>IF(OR(LEFT(K5365,4)="LVAX",LEFT(K5365,6)="MV15AX",LEFT(K5365,4)="CTAX",LEFT(K5365,2)="W|"),2*N5365*O5365,0)</f>
        <v/>
      </c>
      <c r="Z5365" s="12" t="inlineStr">
        <is>
          <t>VD 2.6 %</t>
        </is>
      </c>
      <c r="AA5365" s="12">
        <f>N5365*O5365</f>
        <v/>
      </c>
    </row>
    <row r="5366">
      <c r="A5366" s="12" t="inlineStr">
        <is>
          <t>I-P-0202</t>
        </is>
      </c>
      <c r="B5366" s="12" t="inlineStr">
        <is>
          <t>I</t>
        </is>
      </c>
      <c r="C5366" s="12" t="inlineStr">
        <is>
          <t>Modular / portable power</t>
        </is>
      </c>
      <c r="D5366" s="12" t="inlineStr">
        <is>
          <t>480 V welding receptacle 2</t>
        </is>
      </c>
      <c r="E5366" s="12" t="inlineStr"/>
      <c r="F5366" s="12" t="inlineStr">
        <is>
          <t>PCM: power control module</t>
        </is>
      </c>
      <c r="G5366" s="12" t="inlineStr">
        <is>
          <t>RICE-4</t>
        </is>
      </c>
      <c r="H5366" s="12" t="inlineStr">
        <is>
          <t>RICE engine-generator 4</t>
        </is>
      </c>
      <c r="I5366" s="12" t="inlineStr">
        <is>
          <t>LV 600 V</t>
        </is>
      </c>
      <c r="J5366" s="12" t="inlineStr">
        <is>
          <t>Type TC-ER 600 V 3/C Cu XHHW-2 + ground, PVC jacket</t>
        </is>
      </c>
      <c r="K5366" s="12" t="inlineStr">
        <is>
          <t>LV|3/C+G|1</t>
        </is>
      </c>
      <c r="L5366" s="12" t="inlineStr">
        <is>
          <t>3/C+G</t>
        </is>
      </c>
      <c r="M5366" s="12" t="inlineStr">
        <is>
          <t>1</t>
        </is>
      </c>
      <c r="N5366" s="12" t="n">
        <v>1</v>
      </c>
      <c r="O5366" s="12" t="n">
        <v>1</v>
      </c>
      <c r="P5366" s="12" t="n">
        <v>480</v>
      </c>
      <c r="Q5366" s="12" t="n">
        <v>60</v>
      </c>
      <c r="R5366" s="12" t="n">
        <v>76</v>
      </c>
      <c r="S5366" s="12" t="inlineStr">
        <is>
          <t>Duct bank</t>
        </is>
      </c>
      <c r="T5366" s="15" t="n">
        <v>516</v>
      </c>
      <c r="U5366" s="15" t="n">
        <v>53</v>
      </c>
      <c r="V5366" s="15">
        <f>ROUNDUP((T5366+U5366+2*'Read Me'!$B$13)*(1+'Read Me'!$B$12),-1)</f>
        <v/>
      </c>
      <c r="W5366" s="15">
        <f>V5366*N5366*O5366</f>
        <v/>
      </c>
      <c r="X5366" s="12">
        <f>IF(LEFT(I5366,2)="MV",2*N5366*IF(L5366="1/C",O5366,1),0)</f>
        <v/>
      </c>
      <c r="Y5366" s="12">
        <f>IF(OR(LEFT(K5366,4)="LVAX",LEFT(K5366,6)="MV15AX",LEFT(K5366,4)="CTAX",LEFT(K5366,2)="W|"),2*N5366*O5366,0)</f>
        <v/>
      </c>
      <c r="Z5366" s="12" t="inlineStr">
        <is>
          <t>VD 2.6 %</t>
        </is>
      </c>
      <c r="AA5366" s="12">
        <f>N5366*O5366</f>
        <v/>
      </c>
    </row>
    <row r="5367">
      <c r="A5367" s="12" t="inlineStr">
        <is>
          <t>I-P-0203</t>
        </is>
      </c>
      <c r="B5367" s="12" t="inlineStr">
        <is>
          <t>I</t>
        </is>
      </c>
      <c r="C5367" s="12" t="inlineStr">
        <is>
          <t>Modular / portable power</t>
        </is>
      </c>
      <c r="D5367" s="12" t="inlineStr">
        <is>
          <t>480 V welding receptacle 3</t>
        </is>
      </c>
      <c r="E5367" s="12" t="inlineStr"/>
      <c r="F5367" s="12" t="inlineStr">
        <is>
          <t>PCM: power control module</t>
        </is>
      </c>
      <c r="G5367" s="12" t="inlineStr">
        <is>
          <t>RICE-4</t>
        </is>
      </c>
      <c r="H5367" s="12" t="inlineStr">
        <is>
          <t>RICE engine-generator 4</t>
        </is>
      </c>
      <c r="I5367" s="12" t="inlineStr">
        <is>
          <t>LV 600 V</t>
        </is>
      </c>
      <c r="J5367" s="12" t="inlineStr">
        <is>
          <t>Type TC-ER 600 V 3/C Cu XHHW-2 + ground, PVC jacket</t>
        </is>
      </c>
      <c r="K5367" s="12" t="inlineStr">
        <is>
          <t>LV|3/C+G|1</t>
        </is>
      </c>
      <c r="L5367" s="12" t="inlineStr">
        <is>
          <t>3/C+G</t>
        </is>
      </c>
      <c r="M5367" s="12" t="inlineStr">
        <is>
          <t>1</t>
        </is>
      </c>
      <c r="N5367" s="12" t="n">
        <v>1</v>
      </c>
      <c r="O5367" s="12" t="n">
        <v>1</v>
      </c>
      <c r="P5367" s="12" t="n">
        <v>480</v>
      </c>
      <c r="Q5367" s="12" t="n">
        <v>60</v>
      </c>
      <c r="R5367" s="12" t="n">
        <v>76</v>
      </c>
      <c r="S5367" s="12" t="inlineStr">
        <is>
          <t>Duct bank</t>
        </is>
      </c>
      <c r="T5367" s="15" t="n">
        <v>516</v>
      </c>
      <c r="U5367" s="15" t="n">
        <v>53</v>
      </c>
      <c r="V5367" s="15">
        <f>ROUNDUP((T5367+U5367+2*'Read Me'!$B$13)*(1+'Read Me'!$B$12),-1)</f>
        <v/>
      </c>
      <c r="W5367" s="15">
        <f>V5367*N5367*O5367</f>
        <v/>
      </c>
      <c r="X5367" s="12">
        <f>IF(LEFT(I5367,2)="MV",2*N5367*IF(L5367="1/C",O5367,1),0)</f>
        <v/>
      </c>
      <c r="Y5367" s="12">
        <f>IF(OR(LEFT(K5367,4)="LVAX",LEFT(K5367,6)="MV15AX",LEFT(K5367,4)="CTAX",LEFT(K5367,2)="W|"),2*N5367*O5367,0)</f>
        <v/>
      </c>
      <c r="Z5367" s="12" t="inlineStr">
        <is>
          <t>VD 2.6 %</t>
        </is>
      </c>
      <c r="AA5367" s="12">
        <f>N5367*O5367</f>
        <v/>
      </c>
    </row>
    <row r="5368">
      <c r="A5368" s="12" t="inlineStr">
        <is>
          <t>I-P-0204</t>
        </is>
      </c>
      <c r="B5368" s="12" t="inlineStr">
        <is>
          <t>I</t>
        </is>
      </c>
      <c r="C5368" s="12" t="inlineStr">
        <is>
          <t>Modular / portable power</t>
        </is>
      </c>
      <c r="D5368" s="12" t="inlineStr">
        <is>
          <t>480 V welding receptacle 4</t>
        </is>
      </c>
      <c r="E5368" s="12" t="inlineStr"/>
      <c r="F5368" s="12" t="inlineStr">
        <is>
          <t>PCM: power control module</t>
        </is>
      </c>
      <c r="G5368" s="12" t="inlineStr">
        <is>
          <t>RICE-4</t>
        </is>
      </c>
      <c r="H5368" s="12" t="inlineStr">
        <is>
          <t>RICE engine-generator 4</t>
        </is>
      </c>
      <c r="I5368" s="12" t="inlineStr">
        <is>
          <t>LV 600 V</t>
        </is>
      </c>
      <c r="J5368" s="12" t="inlineStr">
        <is>
          <t>Type TC-ER 600 V 3/C Cu XHHW-2 + ground, PVC jacket</t>
        </is>
      </c>
      <c r="K5368" s="12" t="inlineStr">
        <is>
          <t>LV|3/C+G|1</t>
        </is>
      </c>
      <c r="L5368" s="12" t="inlineStr">
        <is>
          <t>3/C+G</t>
        </is>
      </c>
      <c r="M5368" s="12" t="inlineStr">
        <is>
          <t>1</t>
        </is>
      </c>
      <c r="N5368" s="12" t="n">
        <v>1</v>
      </c>
      <c r="O5368" s="12" t="n">
        <v>1</v>
      </c>
      <c r="P5368" s="12" t="n">
        <v>480</v>
      </c>
      <c r="Q5368" s="12" t="n">
        <v>60</v>
      </c>
      <c r="R5368" s="12" t="n">
        <v>76</v>
      </c>
      <c r="S5368" s="12" t="inlineStr">
        <is>
          <t>Duct bank</t>
        </is>
      </c>
      <c r="T5368" s="15" t="n">
        <v>516</v>
      </c>
      <c r="U5368" s="15" t="n">
        <v>53</v>
      </c>
      <c r="V5368" s="15">
        <f>ROUNDUP((T5368+U5368+2*'Read Me'!$B$13)*(1+'Read Me'!$B$12),-1)</f>
        <v/>
      </c>
      <c r="W5368" s="15">
        <f>V5368*N5368*O5368</f>
        <v/>
      </c>
      <c r="X5368" s="12">
        <f>IF(LEFT(I5368,2)="MV",2*N5368*IF(L5368="1/C",O5368,1),0)</f>
        <v/>
      </c>
      <c r="Y5368" s="12">
        <f>IF(OR(LEFT(K5368,4)="LVAX",LEFT(K5368,6)="MV15AX",LEFT(K5368,4)="CTAX",LEFT(K5368,2)="W|"),2*N5368*O5368,0)</f>
        <v/>
      </c>
      <c r="Z5368" s="12" t="inlineStr">
        <is>
          <t>VD 2.6 %</t>
        </is>
      </c>
      <c r="AA5368" s="12">
        <f>N5368*O5368</f>
        <v/>
      </c>
    </row>
    <row r="5369">
      <c r="A5369" s="12" t="inlineStr">
        <is>
          <t>I-P-0205</t>
        </is>
      </c>
      <c r="B5369" s="12" t="inlineStr">
        <is>
          <t>I</t>
        </is>
      </c>
      <c r="C5369" s="12" t="inlineStr">
        <is>
          <t>Modular / portable power</t>
        </is>
      </c>
      <c r="D5369" s="12" t="inlineStr">
        <is>
          <t>Motor 1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I-P-0206</t>
        </is>
      </c>
      <c r="B5370" s="12" t="inlineStr">
        <is>
          <t>I</t>
        </is>
      </c>
      <c r="C5370" s="12" t="inlineStr">
        <is>
          <t>Modular / portable power</t>
        </is>
      </c>
      <c r="D5370" s="12" t="inlineStr">
        <is>
          <t>Motor 2 of 6, 22 kW</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LV|3/C+G|8</t>
        </is>
      </c>
      <c r="L5370" s="12" t="inlineStr">
        <is>
          <t>3/C+G</t>
        </is>
      </c>
      <c r="M5370" s="12" t="inlineStr">
        <is>
          <t>8</t>
        </is>
      </c>
      <c r="N5370" s="12" t="n">
        <v>1</v>
      </c>
      <c r="O5370" s="12" t="n">
        <v>1</v>
      </c>
      <c r="P5370" s="12" t="n">
        <v>480</v>
      </c>
      <c r="Q5370" s="12" t="n">
        <v>22</v>
      </c>
      <c r="R5370" s="12" t="n">
        <v>31.1</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2.2 %</t>
        </is>
      </c>
      <c r="AA5370" s="12">
        <f>N5370*O5370</f>
        <v/>
      </c>
    </row>
    <row r="5371">
      <c r="A5371" s="12" t="inlineStr">
        <is>
          <t>I-P-0207</t>
        </is>
      </c>
      <c r="B5371" s="12" t="inlineStr">
        <is>
          <t>I</t>
        </is>
      </c>
      <c r="C5371" s="12" t="inlineStr">
        <is>
          <t>Modular / portable power</t>
        </is>
      </c>
      <c r="D5371" s="12" t="inlineStr">
        <is>
          <t>Motor 3 of 6, 22 kW</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LV|3/C+G|8</t>
        </is>
      </c>
      <c r="L5371" s="12" t="inlineStr">
        <is>
          <t>3/C+G</t>
        </is>
      </c>
      <c r="M5371" s="12" t="inlineStr">
        <is>
          <t>8</t>
        </is>
      </c>
      <c r="N5371" s="12" t="n">
        <v>1</v>
      </c>
      <c r="O5371" s="12" t="n">
        <v>1</v>
      </c>
      <c r="P5371" s="12" t="n">
        <v>480</v>
      </c>
      <c r="Q5371" s="12" t="n">
        <v>22</v>
      </c>
      <c r="R5371" s="12" t="n">
        <v>31.1</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2.2 %</t>
        </is>
      </c>
      <c r="AA5371" s="12">
        <f>N5371*O5371</f>
        <v/>
      </c>
    </row>
    <row r="5372">
      <c r="A5372" s="12" t="inlineStr">
        <is>
          <t>I-P-0208</t>
        </is>
      </c>
      <c r="B5372" s="12" t="inlineStr">
        <is>
          <t>I</t>
        </is>
      </c>
      <c r="C5372" s="12" t="inlineStr">
        <is>
          <t>Modular / portable power</t>
        </is>
      </c>
      <c r="D5372" s="12" t="inlineStr">
        <is>
          <t>Motor 4 of 6, 22 kW</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LV|3/C+G|8</t>
        </is>
      </c>
      <c r="L5372" s="12" t="inlineStr">
        <is>
          <t>3/C+G</t>
        </is>
      </c>
      <c r="M5372" s="12" t="inlineStr">
        <is>
          <t>8</t>
        </is>
      </c>
      <c r="N5372" s="12" t="n">
        <v>1</v>
      </c>
      <c r="O5372" s="12" t="n">
        <v>1</v>
      </c>
      <c r="P5372" s="12" t="n">
        <v>480</v>
      </c>
      <c r="Q5372" s="12" t="n">
        <v>22</v>
      </c>
      <c r="R5372" s="12" t="n">
        <v>31.1</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2.2 %</t>
        </is>
      </c>
      <c r="AA5372" s="12">
        <f>N5372*O5372</f>
        <v/>
      </c>
    </row>
    <row r="5373">
      <c r="A5373" s="12" t="inlineStr">
        <is>
          <t>I-P-0209</t>
        </is>
      </c>
      <c r="B5373" s="12" t="inlineStr">
        <is>
          <t>I</t>
        </is>
      </c>
      <c r="C5373" s="12" t="inlineStr">
        <is>
          <t>Modular / portable power</t>
        </is>
      </c>
      <c r="D5373" s="12" t="inlineStr">
        <is>
          <t>Motor 5 of 6, 22 kW</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LV|3/C+G|8</t>
        </is>
      </c>
      <c r="L5373" s="12" t="inlineStr">
        <is>
          <t>3/C+G</t>
        </is>
      </c>
      <c r="M5373" s="12" t="inlineStr">
        <is>
          <t>8</t>
        </is>
      </c>
      <c r="N5373" s="12" t="n">
        <v>1</v>
      </c>
      <c r="O5373" s="12" t="n">
        <v>1</v>
      </c>
      <c r="P5373" s="12" t="n">
        <v>480</v>
      </c>
      <c r="Q5373" s="12" t="n">
        <v>22</v>
      </c>
      <c r="R5373" s="12" t="n">
        <v>31.1</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2.2 %</t>
        </is>
      </c>
      <c r="AA5373" s="12">
        <f>N5373*O5373</f>
        <v/>
      </c>
    </row>
    <row r="5374">
      <c r="A5374" s="12" t="inlineStr">
        <is>
          <t>I-P-0210</t>
        </is>
      </c>
      <c r="B5374" s="12" t="inlineStr">
        <is>
          <t>I</t>
        </is>
      </c>
      <c r="C5374" s="12" t="inlineStr">
        <is>
          <t>Modular / portable power</t>
        </is>
      </c>
      <c r="D5374" s="12" t="inlineStr">
        <is>
          <t>Motor 6 of 6, 22 kW</t>
        </is>
      </c>
      <c r="E5374" s="12" t="inlineStr"/>
      <c r="F5374" s="12" t="inlineStr">
        <is>
          <t>PCM: power control module</t>
        </is>
      </c>
      <c r="G5374" s="12" t="inlineStr">
        <is>
          <t>RICE-5</t>
        </is>
      </c>
      <c r="H5374" s="12" t="inlineStr">
        <is>
          <t>RICE engine-generator 5</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181</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I-P-0211</t>
        </is>
      </c>
      <c r="B5375" s="12" t="inlineStr">
        <is>
          <t>I</t>
        </is>
      </c>
      <c r="C5375" s="12" t="inlineStr">
        <is>
          <t>Modular / portable power</t>
        </is>
      </c>
      <c r="D5375" s="12" t="inlineStr">
        <is>
          <t>480 V welding receptacle 1</t>
        </is>
      </c>
      <c r="E5375" s="12" t="inlineStr"/>
      <c r="F5375" s="12" t="inlineStr">
        <is>
          <t>PCM: power control module</t>
        </is>
      </c>
      <c r="G5375" s="12" t="inlineStr">
        <is>
          <t>RICE-5</t>
        </is>
      </c>
      <c r="H5375" s="12" t="inlineStr">
        <is>
          <t>RICE engine-generator 5</t>
        </is>
      </c>
      <c r="I5375" s="12" t="inlineStr">
        <is>
          <t>LV 600 V</t>
        </is>
      </c>
      <c r="J5375" s="12" t="inlineStr">
        <is>
          <t>Type TC-ER 600 V 3/C Cu XHHW-2 + ground, PVC jacket</t>
        </is>
      </c>
      <c r="K5375" s="12" t="inlineStr">
        <is>
          <t>LV|3/C+G|2</t>
        </is>
      </c>
      <c r="L5375" s="12" t="inlineStr">
        <is>
          <t>3/C+G</t>
        </is>
      </c>
      <c r="M5375" s="12" t="inlineStr">
        <is>
          <t>2</t>
        </is>
      </c>
      <c r="N5375" s="12" t="n">
        <v>1</v>
      </c>
      <c r="O5375" s="12" t="n">
        <v>1</v>
      </c>
      <c r="P5375" s="12" t="n">
        <v>480</v>
      </c>
      <c r="Q5375" s="12" t="n">
        <v>60</v>
      </c>
      <c r="R5375" s="12" t="n">
        <v>76</v>
      </c>
      <c r="S5375" s="12" t="inlineStr">
        <is>
          <t>Duct bank</t>
        </is>
      </c>
      <c r="T5375" s="15" t="n">
        <v>57</v>
      </c>
      <c r="U5375" s="15" t="n">
        <v>181</v>
      </c>
      <c r="V5375" s="15">
        <f>ROUNDUP((T5375+U5375+2*'Read Me'!$B$13)*(1+'Read Me'!$B$12),-1)</f>
        <v/>
      </c>
      <c r="W5375" s="15">
        <f>V5375*N5375*O5375</f>
        <v/>
      </c>
      <c r="X5375" s="12">
        <f>IF(LEFT(I5375,2)="MV",2*N5375*IF(L5375="1/C",O5375,1),0)</f>
        <v/>
      </c>
      <c r="Y5375" s="12">
        <f>IF(OR(LEFT(K5375,4)="LVAX",LEFT(K5375,6)="MV15AX",LEFT(K5375,4)="CTAX",LEFT(K5375,2)="W|"),2*N5375*O5375,0)</f>
        <v/>
      </c>
      <c r="Z5375" s="12" t="inlineStr">
        <is>
          <t>VD 1.4 %</t>
        </is>
      </c>
      <c r="AA5375" s="12">
        <f>N5375*O5375</f>
        <v/>
      </c>
    </row>
    <row r="5376">
      <c r="A5376" s="12" t="inlineStr">
        <is>
          <t>I-P-0212</t>
        </is>
      </c>
      <c r="B5376" s="12" t="inlineStr">
        <is>
          <t>I</t>
        </is>
      </c>
      <c r="C5376" s="12" t="inlineStr">
        <is>
          <t>Modular / portable power</t>
        </is>
      </c>
      <c r="D5376" s="12" t="inlineStr">
        <is>
          <t>480 V welding receptacle 2</t>
        </is>
      </c>
      <c r="E5376" s="12" t="inlineStr"/>
      <c r="F5376" s="12" t="inlineStr">
        <is>
          <t>PCM: power control module</t>
        </is>
      </c>
      <c r="G5376" s="12" t="inlineStr">
        <is>
          <t>RICE-5</t>
        </is>
      </c>
      <c r="H5376" s="12" t="inlineStr">
        <is>
          <t>RICE engine-generator 5</t>
        </is>
      </c>
      <c r="I5376" s="12" t="inlineStr">
        <is>
          <t>LV 600 V</t>
        </is>
      </c>
      <c r="J5376" s="12" t="inlineStr">
        <is>
          <t>Type TC-ER 600 V 3/C Cu XHHW-2 + ground, PVC jacket</t>
        </is>
      </c>
      <c r="K5376" s="12" t="inlineStr">
        <is>
          <t>LV|3/C+G|2</t>
        </is>
      </c>
      <c r="L5376" s="12" t="inlineStr">
        <is>
          <t>3/C+G</t>
        </is>
      </c>
      <c r="M5376" s="12" t="inlineStr">
        <is>
          <t>2</t>
        </is>
      </c>
      <c r="N5376" s="12" t="n">
        <v>1</v>
      </c>
      <c r="O5376" s="12" t="n">
        <v>1</v>
      </c>
      <c r="P5376" s="12" t="n">
        <v>480</v>
      </c>
      <c r="Q5376" s="12" t="n">
        <v>60</v>
      </c>
      <c r="R5376" s="12" t="n">
        <v>76</v>
      </c>
      <c r="S5376" s="12" t="inlineStr">
        <is>
          <t>Duct bank</t>
        </is>
      </c>
      <c r="T5376" s="15" t="n">
        <v>57</v>
      </c>
      <c r="U5376" s="15" t="n">
        <v>181</v>
      </c>
      <c r="V5376" s="15">
        <f>ROUNDUP((T5376+U5376+2*'Read Me'!$B$13)*(1+'Read Me'!$B$12),-1)</f>
        <v/>
      </c>
      <c r="W5376" s="15">
        <f>V5376*N5376*O5376</f>
        <v/>
      </c>
      <c r="X5376" s="12">
        <f>IF(LEFT(I5376,2)="MV",2*N5376*IF(L5376="1/C",O5376,1),0)</f>
        <v/>
      </c>
      <c r="Y5376" s="12">
        <f>IF(OR(LEFT(K5376,4)="LVAX",LEFT(K5376,6)="MV15AX",LEFT(K5376,4)="CTAX",LEFT(K5376,2)="W|"),2*N5376*O5376,0)</f>
        <v/>
      </c>
      <c r="Z5376" s="12" t="inlineStr">
        <is>
          <t>VD 1.4 %</t>
        </is>
      </c>
      <c r="AA5376" s="12">
        <f>N5376*O5376</f>
        <v/>
      </c>
    </row>
    <row r="5377">
      <c r="A5377" s="12" t="inlineStr">
        <is>
          <t>I-P-0213</t>
        </is>
      </c>
      <c r="B5377" s="12" t="inlineStr">
        <is>
          <t>I</t>
        </is>
      </c>
      <c r="C5377" s="12" t="inlineStr">
        <is>
          <t>Modular / portable power</t>
        </is>
      </c>
      <c r="D5377" s="12" t="inlineStr">
        <is>
          <t>480 V welding receptacle 3</t>
        </is>
      </c>
      <c r="E5377" s="12" t="inlineStr"/>
      <c r="F5377" s="12" t="inlineStr">
        <is>
          <t>PCM: power control module</t>
        </is>
      </c>
      <c r="G5377" s="12" t="inlineStr">
        <is>
          <t>RICE-5</t>
        </is>
      </c>
      <c r="H5377" s="12" t="inlineStr">
        <is>
          <t>RICE engine-generator 5</t>
        </is>
      </c>
      <c r="I5377" s="12" t="inlineStr">
        <is>
          <t>LV 600 V</t>
        </is>
      </c>
      <c r="J5377" s="12" t="inlineStr">
        <is>
          <t>Type TC-ER 600 V 3/C Cu XHHW-2 + ground, PVC jacket</t>
        </is>
      </c>
      <c r="K5377" s="12" t="inlineStr">
        <is>
          <t>LV|3/C+G|2</t>
        </is>
      </c>
      <c r="L5377" s="12" t="inlineStr">
        <is>
          <t>3/C+G</t>
        </is>
      </c>
      <c r="M5377" s="12" t="inlineStr">
        <is>
          <t>2</t>
        </is>
      </c>
      <c r="N5377" s="12" t="n">
        <v>1</v>
      </c>
      <c r="O5377" s="12" t="n">
        <v>1</v>
      </c>
      <c r="P5377" s="12" t="n">
        <v>480</v>
      </c>
      <c r="Q5377" s="12" t="n">
        <v>60</v>
      </c>
      <c r="R5377" s="12" t="n">
        <v>76</v>
      </c>
      <c r="S5377" s="12" t="inlineStr">
        <is>
          <t>Duct bank</t>
        </is>
      </c>
      <c r="T5377" s="15" t="n">
        <v>57</v>
      </c>
      <c r="U5377" s="15" t="n">
        <v>181</v>
      </c>
      <c r="V5377" s="15">
        <f>ROUNDUP((T5377+U5377+2*'Read Me'!$B$13)*(1+'Read Me'!$B$12),-1)</f>
        <v/>
      </c>
      <c r="W5377" s="15">
        <f>V5377*N5377*O5377</f>
        <v/>
      </c>
      <c r="X5377" s="12">
        <f>IF(LEFT(I5377,2)="MV",2*N5377*IF(L5377="1/C",O5377,1),0)</f>
        <v/>
      </c>
      <c r="Y5377" s="12">
        <f>IF(OR(LEFT(K5377,4)="LVAX",LEFT(K5377,6)="MV15AX",LEFT(K5377,4)="CTAX",LEFT(K5377,2)="W|"),2*N5377*O5377,0)</f>
        <v/>
      </c>
      <c r="Z5377" s="12" t="inlineStr">
        <is>
          <t>VD 1.4 %</t>
        </is>
      </c>
      <c r="AA5377" s="12">
        <f>N5377*O5377</f>
        <v/>
      </c>
    </row>
    <row r="5378">
      <c r="A5378" s="12" t="inlineStr">
        <is>
          <t>I-P-0214</t>
        </is>
      </c>
      <c r="B5378" s="12" t="inlineStr">
        <is>
          <t>I</t>
        </is>
      </c>
      <c r="C5378" s="12" t="inlineStr">
        <is>
          <t>Modular / portable power</t>
        </is>
      </c>
      <c r="D5378" s="12" t="inlineStr">
        <is>
          <t>480 V welding receptacle 4</t>
        </is>
      </c>
      <c r="E5378" s="12" t="inlineStr"/>
      <c r="F5378" s="12" t="inlineStr">
        <is>
          <t>PCM: power control module</t>
        </is>
      </c>
      <c r="G5378" s="12" t="inlineStr">
        <is>
          <t>RICE-5</t>
        </is>
      </c>
      <c r="H5378" s="12" t="inlineStr">
        <is>
          <t>RICE engine-generator 5</t>
        </is>
      </c>
      <c r="I5378" s="12" t="inlineStr">
        <is>
          <t>LV 600 V</t>
        </is>
      </c>
      <c r="J5378" s="12" t="inlineStr">
        <is>
          <t>Type TC-ER 600 V 3/C Cu XHHW-2 + ground, PVC jacket</t>
        </is>
      </c>
      <c r="K5378" s="12" t="inlineStr">
        <is>
          <t>LV|3/C+G|2</t>
        </is>
      </c>
      <c r="L5378" s="12" t="inlineStr">
        <is>
          <t>3/C+G</t>
        </is>
      </c>
      <c r="M5378" s="12" t="inlineStr">
        <is>
          <t>2</t>
        </is>
      </c>
      <c r="N5378" s="12" t="n">
        <v>1</v>
      </c>
      <c r="O5378" s="12" t="n">
        <v>1</v>
      </c>
      <c r="P5378" s="12" t="n">
        <v>480</v>
      </c>
      <c r="Q5378" s="12" t="n">
        <v>60</v>
      </c>
      <c r="R5378" s="12" t="n">
        <v>76</v>
      </c>
      <c r="S5378" s="12" t="inlineStr">
        <is>
          <t>Duct bank</t>
        </is>
      </c>
      <c r="T5378" s="15" t="n">
        <v>57</v>
      </c>
      <c r="U5378" s="15" t="n">
        <v>181</v>
      </c>
      <c r="V5378" s="15">
        <f>ROUNDUP((T5378+U5378+2*'Read Me'!$B$13)*(1+'Read Me'!$B$12),-1)</f>
        <v/>
      </c>
      <c r="W5378" s="15">
        <f>V5378*N5378*O5378</f>
        <v/>
      </c>
      <c r="X5378" s="12">
        <f>IF(LEFT(I5378,2)="MV",2*N5378*IF(L5378="1/C",O5378,1),0)</f>
        <v/>
      </c>
      <c r="Y5378" s="12">
        <f>IF(OR(LEFT(K5378,4)="LVAX",LEFT(K5378,6)="MV15AX",LEFT(K5378,4)="CTAX",LEFT(K5378,2)="W|"),2*N5378*O5378,0)</f>
        <v/>
      </c>
      <c r="Z5378" s="12" t="inlineStr">
        <is>
          <t>VD 1.4 %</t>
        </is>
      </c>
      <c r="AA5378" s="12">
        <f>N5378*O5378</f>
        <v/>
      </c>
    </row>
    <row r="5379">
      <c r="A5379" s="12" t="inlineStr">
        <is>
          <t>I-P-0215</t>
        </is>
      </c>
      <c r="B5379" s="12" t="inlineStr">
        <is>
          <t>I</t>
        </is>
      </c>
      <c r="C5379" s="12" t="inlineStr">
        <is>
          <t>Modular / portable power</t>
        </is>
      </c>
      <c r="D5379" s="12" t="inlineStr">
        <is>
          <t>Motor 1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I-P-0216</t>
        </is>
      </c>
      <c r="B5380" s="12" t="inlineStr">
        <is>
          <t>I</t>
        </is>
      </c>
      <c r="C5380" s="12" t="inlineStr">
        <is>
          <t>Modular / portable power</t>
        </is>
      </c>
      <c r="D5380" s="12" t="inlineStr">
        <is>
          <t>Motor 2 of 6, 22 kW</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LV|3/C+G|8</t>
        </is>
      </c>
      <c r="L5380" s="12" t="inlineStr">
        <is>
          <t>3/C+G</t>
        </is>
      </c>
      <c r="M5380" s="12" t="inlineStr">
        <is>
          <t>8</t>
        </is>
      </c>
      <c r="N5380" s="12" t="n">
        <v>1</v>
      </c>
      <c r="O5380" s="12" t="n">
        <v>1</v>
      </c>
      <c r="P5380" s="12" t="n">
        <v>480</v>
      </c>
      <c r="Q5380" s="12" t="n">
        <v>22</v>
      </c>
      <c r="R5380" s="12" t="n">
        <v>31.1</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2.0 %</t>
        </is>
      </c>
      <c r="AA5380" s="12">
        <f>N5380*O5380</f>
        <v/>
      </c>
    </row>
    <row r="5381">
      <c r="A5381" s="12" t="inlineStr">
        <is>
          <t>I-P-0217</t>
        </is>
      </c>
      <c r="B5381" s="12" t="inlineStr">
        <is>
          <t>I</t>
        </is>
      </c>
      <c r="C5381" s="12" t="inlineStr">
        <is>
          <t>Modular / portable power</t>
        </is>
      </c>
      <c r="D5381" s="12" t="inlineStr">
        <is>
          <t>Motor 3 of 6, 22 kW</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LV|3/C+G|8</t>
        </is>
      </c>
      <c r="L5381" s="12" t="inlineStr">
        <is>
          <t>3/C+G</t>
        </is>
      </c>
      <c r="M5381" s="12" t="inlineStr">
        <is>
          <t>8</t>
        </is>
      </c>
      <c r="N5381" s="12" t="n">
        <v>1</v>
      </c>
      <c r="O5381" s="12" t="n">
        <v>1</v>
      </c>
      <c r="P5381" s="12" t="n">
        <v>480</v>
      </c>
      <c r="Q5381" s="12" t="n">
        <v>22</v>
      </c>
      <c r="R5381" s="12" t="n">
        <v>31.1</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2.0 %</t>
        </is>
      </c>
      <c r="AA5381" s="12">
        <f>N5381*O5381</f>
        <v/>
      </c>
    </row>
    <row r="5382">
      <c r="A5382" s="12" t="inlineStr">
        <is>
          <t>I-P-0218</t>
        </is>
      </c>
      <c r="B5382" s="12" t="inlineStr">
        <is>
          <t>I</t>
        </is>
      </c>
      <c r="C5382" s="12" t="inlineStr">
        <is>
          <t>Modular / portable power</t>
        </is>
      </c>
      <c r="D5382" s="12" t="inlineStr">
        <is>
          <t>Motor 4 of 6, 22 kW</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LV|3/C+G|8</t>
        </is>
      </c>
      <c r="L5382" s="12" t="inlineStr">
        <is>
          <t>3/C+G</t>
        </is>
      </c>
      <c r="M5382" s="12" t="inlineStr">
        <is>
          <t>8</t>
        </is>
      </c>
      <c r="N5382" s="12" t="n">
        <v>1</v>
      </c>
      <c r="O5382" s="12" t="n">
        <v>1</v>
      </c>
      <c r="P5382" s="12" t="n">
        <v>480</v>
      </c>
      <c r="Q5382" s="12" t="n">
        <v>22</v>
      </c>
      <c r="R5382" s="12" t="n">
        <v>31.1</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2.0 %</t>
        </is>
      </c>
      <c r="AA5382" s="12">
        <f>N5382*O5382</f>
        <v/>
      </c>
    </row>
    <row r="5383">
      <c r="A5383" s="12" t="inlineStr">
        <is>
          <t>I-P-0219</t>
        </is>
      </c>
      <c r="B5383" s="12" t="inlineStr">
        <is>
          <t>I</t>
        </is>
      </c>
      <c r="C5383" s="12" t="inlineStr">
        <is>
          <t>Modular / portable power</t>
        </is>
      </c>
      <c r="D5383" s="12" t="inlineStr">
        <is>
          <t>Motor 5 of 6, 22 kW</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LV|3/C+G|8</t>
        </is>
      </c>
      <c r="L5383" s="12" t="inlineStr">
        <is>
          <t>3/C+G</t>
        </is>
      </c>
      <c r="M5383" s="12" t="inlineStr">
        <is>
          <t>8</t>
        </is>
      </c>
      <c r="N5383" s="12" t="n">
        <v>1</v>
      </c>
      <c r="O5383" s="12" t="n">
        <v>1</v>
      </c>
      <c r="P5383" s="12" t="n">
        <v>480</v>
      </c>
      <c r="Q5383" s="12" t="n">
        <v>22</v>
      </c>
      <c r="R5383" s="12" t="n">
        <v>31.1</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2.0 %</t>
        </is>
      </c>
      <c r="AA5383" s="12">
        <f>N5383*O5383</f>
        <v/>
      </c>
    </row>
    <row r="5384">
      <c r="A5384" s="12" t="inlineStr">
        <is>
          <t>I-P-0220</t>
        </is>
      </c>
      <c r="B5384" s="12" t="inlineStr">
        <is>
          <t>I</t>
        </is>
      </c>
      <c r="C5384" s="12" t="inlineStr">
        <is>
          <t>Modular / portable power</t>
        </is>
      </c>
      <c r="D5384" s="12" t="inlineStr">
        <is>
          <t>Motor 6 of 6, 22 kW</t>
        </is>
      </c>
      <c r="E5384" s="12" t="inlineStr"/>
      <c r="F5384" s="12" t="inlineStr">
        <is>
          <t>PCM: power control module</t>
        </is>
      </c>
      <c r="G5384" s="12" t="inlineStr">
        <is>
          <t>RICE-6</t>
        </is>
      </c>
      <c r="H5384" s="12" t="inlineStr">
        <is>
          <t>RICE engine-generator 6</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153</v>
      </c>
      <c r="V5384" s="15">
        <f>ROUNDUP((T5384+U5384+2*'Read Me'!$B$13)*(1+'Read Me'!$B$12),-1)</f>
        <v/>
      </c>
      <c r="W5384" s="15">
        <f>V5384*N5384*O5384</f>
        <v/>
      </c>
      <c r="X5384" s="12">
        <f>IF(LEFT(I5384,2)="MV",2*N5384*IF(L5384="1/C",O5384,1),0)</f>
        <v/>
      </c>
      <c r="Y5384" s="12">
        <f>IF(OR(LEFT(K5384,4)="LVAX",LEFT(K5384,6)="MV15AX",LEFT(K5384,4)="CTAX",LEFT(K5384,2)="W|"),2*N5384*O5384,0)</f>
        <v/>
      </c>
      <c r="Z5384" s="12" t="inlineStr">
        <is>
          <t>VD 2.0 %</t>
        </is>
      </c>
      <c r="AA5384" s="12">
        <f>N5384*O5384</f>
        <v/>
      </c>
    </row>
    <row r="5385">
      <c r="A5385" s="12" t="inlineStr">
        <is>
          <t>I-P-0221</t>
        </is>
      </c>
      <c r="B5385" s="12" t="inlineStr">
        <is>
          <t>I</t>
        </is>
      </c>
      <c r="C5385" s="12" t="inlineStr">
        <is>
          <t>Modular / portable power</t>
        </is>
      </c>
      <c r="D5385" s="12" t="inlineStr">
        <is>
          <t>480 V welding receptacle 1</t>
        </is>
      </c>
      <c r="E5385" s="12" t="inlineStr"/>
      <c r="F5385" s="12" t="inlineStr">
        <is>
          <t>PCM: power control module</t>
        </is>
      </c>
      <c r="G5385" s="12" t="inlineStr">
        <is>
          <t>RICE-6</t>
        </is>
      </c>
      <c r="H5385" s="12" t="inlineStr">
        <is>
          <t>RICE engine-generator 6</t>
        </is>
      </c>
      <c r="I5385" s="12" t="inlineStr">
        <is>
          <t>LV 600 V</t>
        </is>
      </c>
      <c r="J5385" s="12" t="inlineStr">
        <is>
          <t>Type TC-ER 600 V 3/C Cu XHHW-2 + ground, PVC jacket</t>
        </is>
      </c>
      <c r="K5385" s="12" t="inlineStr">
        <is>
          <t>LV|3/C+G|2</t>
        </is>
      </c>
      <c r="L5385" s="12" t="inlineStr">
        <is>
          <t>3/C+G</t>
        </is>
      </c>
      <c r="M5385" s="12" t="inlineStr">
        <is>
          <t>2</t>
        </is>
      </c>
      <c r="N5385" s="12" t="n">
        <v>1</v>
      </c>
      <c r="O5385" s="12" t="n">
        <v>1</v>
      </c>
      <c r="P5385" s="12" t="n">
        <v>480</v>
      </c>
      <c r="Q5385" s="12" t="n">
        <v>60</v>
      </c>
      <c r="R5385" s="12" t="n">
        <v>76</v>
      </c>
      <c r="S5385" s="12" t="inlineStr">
        <is>
          <t>Duct bank</t>
        </is>
      </c>
      <c r="T5385" s="15" t="n">
        <v>57</v>
      </c>
      <c r="U5385" s="15" t="n">
        <v>153</v>
      </c>
      <c r="V5385" s="15">
        <f>ROUNDUP((T5385+U5385+2*'Read Me'!$B$13)*(1+'Read Me'!$B$12),-1)</f>
        <v/>
      </c>
      <c r="W5385" s="15">
        <f>V5385*N5385*O5385</f>
        <v/>
      </c>
      <c r="X5385" s="12">
        <f>IF(LEFT(I5385,2)="MV",2*N5385*IF(L5385="1/C",O5385,1),0)</f>
        <v/>
      </c>
      <c r="Y5385" s="12">
        <f>IF(OR(LEFT(K5385,4)="LVAX",LEFT(K5385,6)="MV15AX",LEFT(K5385,4)="CTAX",LEFT(K5385,2)="W|"),2*N5385*O5385,0)</f>
        <v/>
      </c>
      <c r="Z5385" s="12" t="inlineStr">
        <is>
          <t>VD 1.2 %</t>
        </is>
      </c>
      <c r="AA5385" s="12">
        <f>N5385*O5385</f>
        <v/>
      </c>
    </row>
    <row r="5386">
      <c r="A5386" s="12" t="inlineStr">
        <is>
          <t>I-P-0222</t>
        </is>
      </c>
      <c r="B5386" s="12" t="inlineStr">
        <is>
          <t>I</t>
        </is>
      </c>
      <c r="C5386" s="12" t="inlineStr">
        <is>
          <t>Modular / portable power</t>
        </is>
      </c>
      <c r="D5386" s="12" t="inlineStr">
        <is>
          <t>480 V welding receptacle 2</t>
        </is>
      </c>
      <c r="E5386" s="12" t="inlineStr"/>
      <c r="F5386" s="12" t="inlineStr">
        <is>
          <t>PCM: power control module</t>
        </is>
      </c>
      <c r="G5386" s="12" t="inlineStr">
        <is>
          <t>RICE-6</t>
        </is>
      </c>
      <c r="H5386" s="12" t="inlineStr">
        <is>
          <t>RICE engine-generator 6</t>
        </is>
      </c>
      <c r="I5386" s="12" t="inlineStr">
        <is>
          <t>LV 600 V</t>
        </is>
      </c>
      <c r="J5386" s="12" t="inlineStr">
        <is>
          <t>Type TC-ER 600 V 3/C Cu XHHW-2 + ground, PVC jacket</t>
        </is>
      </c>
      <c r="K5386" s="12" t="inlineStr">
        <is>
          <t>LV|3/C+G|2</t>
        </is>
      </c>
      <c r="L5386" s="12" t="inlineStr">
        <is>
          <t>3/C+G</t>
        </is>
      </c>
      <c r="M5386" s="12" t="inlineStr">
        <is>
          <t>2</t>
        </is>
      </c>
      <c r="N5386" s="12" t="n">
        <v>1</v>
      </c>
      <c r="O5386" s="12" t="n">
        <v>1</v>
      </c>
      <c r="P5386" s="12" t="n">
        <v>480</v>
      </c>
      <c r="Q5386" s="12" t="n">
        <v>60</v>
      </c>
      <c r="R5386" s="12" t="n">
        <v>76</v>
      </c>
      <c r="S5386" s="12" t="inlineStr">
        <is>
          <t>Duct bank</t>
        </is>
      </c>
      <c r="T5386" s="15" t="n">
        <v>57</v>
      </c>
      <c r="U5386" s="15" t="n">
        <v>153</v>
      </c>
      <c r="V5386" s="15">
        <f>ROUNDUP((T5386+U5386+2*'Read Me'!$B$13)*(1+'Read Me'!$B$12),-1)</f>
        <v/>
      </c>
      <c r="W5386" s="15">
        <f>V5386*N5386*O5386</f>
        <v/>
      </c>
      <c r="X5386" s="12">
        <f>IF(LEFT(I5386,2)="MV",2*N5386*IF(L5386="1/C",O5386,1),0)</f>
        <v/>
      </c>
      <c r="Y5386" s="12">
        <f>IF(OR(LEFT(K5386,4)="LVAX",LEFT(K5386,6)="MV15AX",LEFT(K5386,4)="CTAX",LEFT(K5386,2)="W|"),2*N5386*O5386,0)</f>
        <v/>
      </c>
      <c r="Z5386" s="12" t="inlineStr">
        <is>
          <t>VD 1.2 %</t>
        </is>
      </c>
      <c r="AA5386" s="12">
        <f>N5386*O5386</f>
        <v/>
      </c>
    </row>
    <row r="5387">
      <c r="A5387" s="12" t="inlineStr">
        <is>
          <t>I-P-0223</t>
        </is>
      </c>
      <c r="B5387" s="12" t="inlineStr">
        <is>
          <t>I</t>
        </is>
      </c>
      <c r="C5387" s="12" t="inlineStr">
        <is>
          <t>Modular / portable power</t>
        </is>
      </c>
      <c r="D5387" s="12" t="inlineStr">
        <is>
          <t>480 V welding receptacle 3</t>
        </is>
      </c>
      <c r="E5387" s="12" t="inlineStr"/>
      <c r="F5387" s="12" t="inlineStr">
        <is>
          <t>PCM: power control module</t>
        </is>
      </c>
      <c r="G5387" s="12" t="inlineStr">
        <is>
          <t>RICE-6</t>
        </is>
      </c>
      <c r="H5387" s="12" t="inlineStr">
        <is>
          <t>RICE engine-generator 6</t>
        </is>
      </c>
      <c r="I5387" s="12" t="inlineStr">
        <is>
          <t>LV 600 V</t>
        </is>
      </c>
      <c r="J5387" s="12" t="inlineStr">
        <is>
          <t>Type TC-ER 600 V 3/C Cu XHHW-2 + ground, PVC jacket</t>
        </is>
      </c>
      <c r="K5387" s="12" t="inlineStr">
        <is>
          <t>LV|3/C+G|2</t>
        </is>
      </c>
      <c r="L5387" s="12" t="inlineStr">
        <is>
          <t>3/C+G</t>
        </is>
      </c>
      <c r="M5387" s="12" t="inlineStr">
        <is>
          <t>2</t>
        </is>
      </c>
      <c r="N5387" s="12" t="n">
        <v>1</v>
      </c>
      <c r="O5387" s="12" t="n">
        <v>1</v>
      </c>
      <c r="P5387" s="12" t="n">
        <v>480</v>
      </c>
      <c r="Q5387" s="12" t="n">
        <v>60</v>
      </c>
      <c r="R5387" s="12" t="n">
        <v>76</v>
      </c>
      <c r="S5387" s="12" t="inlineStr">
        <is>
          <t>Duct bank</t>
        </is>
      </c>
      <c r="T5387" s="15" t="n">
        <v>57</v>
      </c>
      <c r="U5387" s="15" t="n">
        <v>153</v>
      </c>
      <c r="V5387" s="15">
        <f>ROUNDUP((T5387+U5387+2*'Read Me'!$B$13)*(1+'Read Me'!$B$12),-1)</f>
        <v/>
      </c>
      <c r="W5387" s="15">
        <f>V5387*N5387*O5387</f>
        <v/>
      </c>
      <c r="X5387" s="12">
        <f>IF(LEFT(I5387,2)="MV",2*N5387*IF(L5387="1/C",O5387,1),0)</f>
        <v/>
      </c>
      <c r="Y5387" s="12">
        <f>IF(OR(LEFT(K5387,4)="LVAX",LEFT(K5387,6)="MV15AX",LEFT(K5387,4)="CTAX",LEFT(K5387,2)="W|"),2*N5387*O5387,0)</f>
        <v/>
      </c>
      <c r="Z5387" s="12" t="inlineStr">
        <is>
          <t>VD 1.2 %</t>
        </is>
      </c>
      <c r="AA5387" s="12">
        <f>N5387*O5387</f>
        <v/>
      </c>
    </row>
    <row r="5388">
      <c r="A5388" s="12" t="inlineStr">
        <is>
          <t>I-P-0224</t>
        </is>
      </c>
      <c r="B5388" s="12" t="inlineStr">
        <is>
          <t>I</t>
        </is>
      </c>
      <c r="C5388" s="12" t="inlineStr">
        <is>
          <t>Modular / portable power</t>
        </is>
      </c>
      <c r="D5388" s="12" t="inlineStr">
        <is>
          <t>480 V welding receptacle 4</t>
        </is>
      </c>
      <c r="E5388" s="12" t="inlineStr"/>
      <c r="F5388" s="12" t="inlineStr">
        <is>
          <t>PCM: power control module</t>
        </is>
      </c>
      <c r="G5388" s="12" t="inlineStr">
        <is>
          <t>RICE-6</t>
        </is>
      </c>
      <c r="H5388" s="12" t="inlineStr">
        <is>
          <t>RICE engine-generator 6</t>
        </is>
      </c>
      <c r="I5388" s="12" t="inlineStr">
        <is>
          <t>LV 600 V</t>
        </is>
      </c>
      <c r="J5388" s="12" t="inlineStr">
        <is>
          <t>Type TC-ER 600 V 3/C Cu XHHW-2 + ground, PVC jacket</t>
        </is>
      </c>
      <c r="K5388" s="12" t="inlineStr">
        <is>
          <t>LV|3/C+G|2</t>
        </is>
      </c>
      <c r="L5388" s="12" t="inlineStr">
        <is>
          <t>3/C+G</t>
        </is>
      </c>
      <c r="M5388" s="12" t="inlineStr">
        <is>
          <t>2</t>
        </is>
      </c>
      <c r="N5388" s="12" t="n">
        <v>1</v>
      </c>
      <c r="O5388" s="12" t="n">
        <v>1</v>
      </c>
      <c r="P5388" s="12" t="n">
        <v>480</v>
      </c>
      <c r="Q5388" s="12" t="n">
        <v>60</v>
      </c>
      <c r="R5388" s="12" t="n">
        <v>76</v>
      </c>
      <c r="S5388" s="12" t="inlineStr">
        <is>
          <t>Duct bank</t>
        </is>
      </c>
      <c r="T5388" s="15" t="n">
        <v>57</v>
      </c>
      <c r="U5388" s="15" t="n">
        <v>153</v>
      </c>
      <c r="V5388" s="15">
        <f>ROUNDUP((T5388+U5388+2*'Read Me'!$B$13)*(1+'Read Me'!$B$12),-1)</f>
        <v/>
      </c>
      <c r="W5388" s="15">
        <f>V5388*N5388*O5388</f>
        <v/>
      </c>
      <c r="X5388" s="12">
        <f>IF(LEFT(I5388,2)="MV",2*N5388*IF(L5388="1/C",O5388,1),0)</f>
        <v/>
      </c>
      <c r="Y5388" s="12">
        <f>IF(OR(LEFT(K5388,4)="LVAX",LEFT(K5388,6)="MV15AX",LEFT(K5388,4)="CTAX",LEFT(K5388,2)="W|"),2*N5388*O5388,0)</f>
        <v/>
      </c>
      <c r="Z5388" s="12" t="inlineStr">
        <is>
          <t>VD 1.2 %</t>
        </is>
      </c>
      <c r="AA5388" s="12">
        <f>N5388*O5388</f>
        <v/>
      </c>
    </row>
    <row r="5389">
      <c r="A5389" s="12" t="inlineStr">
        <is>
          <t>I-P-0225</t>
        </is>
      </c>
      <c r="B5389" s="12" t="inlineStr">
        <is>
          <t>I</t>
        </is>
      </c>
      <c r="C5389" s="12" t="inlineStr">
        <is>
          <t>Modular / portable power</t>
        </is>
      </c>
      <c r="D5389" s="12" t="inlineStr">
        <is>
          <t>Motor 1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I-P-0226</t>
        </is>
      </c>
      <c r="B5390" s="12" t="inlineStr">
        <is>
          <t>I</t>
        </is>
      </c>
      <c r="C5390" s="12" t="inlineStr">
        <is>
          <t>Modular / portable power</t>
        </is>
      </c>
      <c r="D5390" s="12" t="inlineStr">
        <is>
          <t>Motor 2 of 6, 22 kW</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LV|3/C+G|8</t>
        </is>
      </c>
      <c r="L5390" s="12" t="inlineStr">
        <is>
          <t>3/C+G</t>
        </is>
      </c>
      <c r="M5390" s="12" t="inlineStr">
        <is>
          <t>8</t>
        </is>
      </c>
      <c r="N5390" s="12" t="n">
        <v>1</v>
      </c>
      <c r="O5390" s="12" t="n">
        <v>1</v>
      </c>
      <c r="P5390" s="12" t="n">
        <v>480</v>
      </c>
      <c r="Q5390" s="12" t="n">
        <v>22</v>
      </c>
      <c r="R5390" s="12" t="n">
        <v>31.1</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1.7 %</t>
        </is>
      </c>
      <c r="AA5390" s="12">
        <f>N5390*O5390</f>
        <v/>
      </c>
    </row>
    <row r="5391">
      <c r="A5391" s="12" t="inlineStr">
        <is>
          <t>I-P-0227</t>
        </is>
      </c>
      <c r="B5391" s="12" t="inlineStr">
        <is>
          <t>I</t>
        </is>
      </c>
      <c r="C5391" s="12" t="inlineStr">
        <is>
          <t>Modular / portable power</t>
        </is>
      </c>
      <c r="D5391" s="12" t="inlineStr">
        <is>
          <t>Motor 3 of 6, 22 kW</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LV|3/C+G|8</t>
        </is>
      </c>
      <c r="L5391" s="12" t="inlineStr">
        <is>
          <t>3/C+G</t>
        </is>
      </c>
      <c r="M5391" s="12" t="inlineStr">
        <is>
          <t>8</t>
        </is>
      </c>
      <c r="N5391" s="12" t="n">
        <v>1</v>
      </c>
      <c r="O5391" s="12" t="n">
        <v>1</v>
      </c>
      <c r="P5391" s="12" t="n">
        <v>480</v>
      </c>
      <c r="Q5391" s="12" t="n">
        <v>22</v>
      </c>
      <c r="R5391" s="12" t="n">
        <v>31.1</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1.7 %</t>
        </is>
      </c>
      <c r="AA5391" s="12">
        <f>N5391*O5391</f>
        <v/>
      </c>
    </row>
    <row r="5392">
      <c r="A5392" s="12" t="inlineStr">
        <is>
          <t>I-P-0228</t>
        </is>
      </c>
      <c r="B5392" s="12" t="inlineStr">
        <is>
          <t>I</t>
        </is>
      </c>
      <c r="C5392" s="12" t="inlineStr">
        <is>
          <t>Modular / portable power</t>
        </is>
      </c>
      <c r="D5392" s="12" t="inlineStr">
        <is>
          <t>Motor 4 of 6, 22 kW</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LV|3/C+G|8</t>
        </is>
      </c>
      <c r="L5392" s="12" t="inlineStr">
        <is>
          <t>3/C+G</t>
        </is>
      </c>
      <c r="M5392" s="12" t="inlineStr">
        <is>
          <t>8</t>
        </is>
      </c>
      <c r="N5392" s="12" t="n">
        <v>1</v>
      </c>
      <c r="O5392" s="12" t="n">
        <v>1</v>
      </c>
      <c r="P5392" s="12" t="n">
        <v>480</v>
      </c>
      <c r="Q5392" s="12" t="n">
        <v>22</v>
      </c>
      <c r="R5392" s="12" t="n">
        <v>31.1</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1.7 %</t>
        </is>
      </c>
      <c r="AA5392" s="12">
        <f>N5392*O5392</f>
        <v/>
      </c>
    </row>
    <row r="5393">
      <c r="A5393" s="12" t="inlineStr">
        <is>
          <t>I-P-0229</t>
        </is>
      </c>
      <c r="B5393" s="12" t="inlineStr">
        <is>
          <t>I</t>
        </is>
      </c>
      <c r="C5393" s="12" t="inlineStr">
        <is>
          <t>Modular / portable power</t>
        </is>
      </c>
      <c r="D5393" s="12" t="inlineStr">
        <is>
          <t>Motor 5 of 6, 22 kW</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LV|3/C+G|8</t>
        </is>
      </c>
      <c r="L5393" s="12" t="inlineStr">
        <is>
          <t>3/C+G</t>
        </is>
      </c>
      <c r="M5393" s="12" t="inlineStr">
        <is>
          <t>8</t>
        </is>
      </c>
      <c r="N5393" s="12" t="n">
        <v>1</v>
      </c>
      <c r="O5393" s="12" t="n">
        <v>1</v>
      </c>
      <c r="P5393" s="12" t="n">
        <v>480</v>
      </c>
      <c r="Q5393" s="12" t="n">
        <v>22</v>
      </c>
      <c r="R5393" s="12" t="n">
        <v>31.1</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1.7 %</t>
        </is>
      </c>
      <c r="AA5393" s="12">
        <f>N5393*O5393</f>
        <v/>
      </c>
    </row>
    <row r="5394">
      <c r="A5394" s="12" t="inlineStr">
        <is>
          <t>I-P-0230</t>
        </is>
      </c>
      <c r="B5394" s="12" t="inlineStr">
        <is>
          <t>I</t>
        </is>
      </c>
      <c r="C5394" s="12" t="inlineStr">
        <is>
          <t>Modular / portable power</t>
        </is>
      </c>
      <c r="D5394" s="12" t="inlineStr">
        <is>
          <t>Motor 6 of 6, 22 kW</t>
        </is>
      </c>
      <c r="E5394" s="12" t="inlineStr"/>
      <c r="F5394" s="12" t="inlineStr">
        <is>
          <t>PCM: power control module</t>
        </is>
      </c>
      <c r="G5394" s="12" t="inlineStr">
        <is>
          <t>RICE-7</t>
        </is>
      </c>
      <c r="H5394" s="12" t="inlineStr">
        <is>
          <t>RICE engine-generator 7</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125</v>
      </c>
      <c r="V5394" s="15">
        <f>ROUNDUP((T5394+U5394+2*'Read Me'!$B$13)*(1+'Read Me'!$B$12),-1)</f>
        <v/>
      </c>
      <c r="W5394" s="15">
        <f>V5394*N5394*O5394</f>
        <v/>
      </c>
      <c r="X5394" s="12">
        <f>IF(LEFT(I5394,2)="MV",2*N5394*IF(L5394="1/C",O5394,1),0)</f>
        <v/>
      </c>
      <c r="Y5394" s="12">
        <f>IF(OR(LEFT(K5394,4)="LVAX",LEFT(K5394,6)="MV15AX",LEFT(K5394,4)="CTAX",LEFT(K5394,2)="W|"),2*N5394*O5394,0)</f>
        <v/>
      </c>
      <c r="Z5394" s="12" t="inlineStr">
        <is>
          <t>VD 1.7 %</t>
        </is>
      </c>
      <c r="AA5394" s="12">
        <f>N5394*O5394</f>
        <v/>
      </c>
    </row>
    <row r="5395">
      <c r="A5395" s="12" t="inlineStr">
        <is>
          <t>I-P-0231</t>
        </is>
      </c>
      <c r="B5395" s="12" t="inlineStr">
        <is>
          <t>I</t>
        </is>
      </c>
      <c r="C5395" s="12" t="inlineStr">
        <is>
          <t>Modular / portable power</t>
        </is>
      </c>
      <c r="D5395" s="12" t="inlineStr">
        <is>
          <t>480 V welding receptacle 1</t>
        </is>
      </c>
      <c r="E5395" s="12" t="inlineStr"/>
      <c r="F5395" s="12" t="inlineStr">
        <is>
          <t>PCM: power control module</t>
        </is>
      </c>
      <c r="G5395" s="12" t="inlineStr">
        <is>
          <t>RICE-7</t>
        </is>
      </c>
      <c r="H5395" s="12" t="inlineStr">
        <is>
          <t>RICE engine-generator 7</t>
        </is>
      </c>
      <c r="I5395" s="12" t="inlineStr">
        <is>
          <t>LV 600 V</t>
        </is>
      </c>
      <c r="J5395" s="12" t="inlineStr">
        <is>
          <t>Type TC-ER 600 V 3/C Cu XHHW-2 + ground, PVC jacket</t>
        </is>
      </c>
      <c r="K5395" s="12" t="inlineStr">
        <is>
          <t>LV|3/C+G|2</t>
        </is>
      </c>
      <c r="L5395" s="12" t="inlineStr">
        <is>
          <t>3/C+G</t>
        </is>
      </c>
      <c r="M5395" s="12" t="inlineStr">
        <is>
          <t>2</t>
        </is>
      </c>
      <c r="N5395" s="12" t="n">
        <v>1</v>
      </c>
      <c r="O5395" s="12" t="n">
        <v>1</v>
      </c>
      <c r="P5395" s="12" t="n">
        <v>480</v>
      </c>
      <c r="Q5395" s="12" t="n">
        <v>60</v>
      </c>
      <c r="R5395" s="12" t="n">
        <v>76</v>
      </c>
      <c r="S5395" s="12" t="inlineStr">
        <is>
          <t>Duct bank</t>
        </is>
      </c>
      <c r="T5395" s="15" t="n">
        <v>57</v>
      </c>
      <c r="U5395" s="15" t="n">
        <v>125</v>
      </c>
      <c r="V5395" s="15">
        <f>ROUNDUP((T5395+U5395+2*'Read Me'!$B$13)*(1+'Read Me'!$B$12),-1)</f>
        <v/>
      </c>
      <c r="W5395" s="15">
        <f>V5395*N5395*O5395</f>
        <v/>
      </c>
      <c r="X5395" s="12">
        <f>IF(LEFT(I5395,2)="MV",2*N5395*IF(L5395="1/C",O5395,1),0)</f>
        <v/>
      </c>
      <c r="Y5395" s="12">
        <f>IF(OR(LEFT(K5395,4)="LVAX",LEFT(K5395,6)="MV15AX",LEFT(K5395,4)="CTAX",LEFT(K5395,2)="W|"),2*N5395*O5395,0)</f>
        <v/>
      </c>
      <c r="Z5395" s="12" t="inlineStr">
        <is>
          <t>VD 1.1 %</t>
        </is>
      </c>
      <c r="AA5395" s="12">
        <f>N5395*O5395</f>
        <v/>
      </c>
    </row>
    <row r="5396">
      <c r="A5396" s="12" t="inlineStr">
        <is>
          <t>I-P-0232</t>
        </is>
      </c>
      <c r="B5396" s="12" t="inlineStr">
        <is>
          <t>I</t>
        </is>
      </c>
      <c r="C5396" s="12" t="inlineStr">
        <is>
          <t>Modular / portable power</t>
        </is>
      </c>
      <c r="D5396" s="12" t="inlineStr">
        <is>
          <t>480 V welding receptacle 2</t>
        </is>
      </c>
      <c r="E5396" s="12" t="inlineStr"/>
      <c r="F5396" s="12" t="inlineStr">
        <is>
          <t>PCM: power control module</t>
        </is>
      </c>
      <c r="G5396" s="12" t="inlineStr">
        <is>
          <t>RICE-7</t>
        </is>
      </c>
      <c r="H5396" s="12" t="inlineStr">
        <is>
          <t>RICE engine-generator 7</t>
        </is>
      </c>
      <c r="I5396" s="12" t="inlineStr">
        <is>
          <t>LV 600 V</t>
        </is>
      </c>
      <c r="J5396" s="12" t="inlineStr">
        <is>
          <t>Type TC-ER 600 V 3/C Cu XHHW-2 + ground, PVC jacket</t>
        </is>
      </c>
      <c r="K5396" s="12" t="inlineStr">
        <is>
          <t>LV|3/C+G|2</t>
        </is>
      </c>
      <c r="L5396" s="12" t="inlineStr">
        <is>
          <t>3/C+G</t>
        </is>
      </c>
      <c r="M5396" s="12" t="inlineStr">
        <is>
          <t>2</t>
        </is>
      </c>
      <c r="N5396" s="12" t="n">
        <v>1</v>
      </c>
      <c r="O5396" s="12" t="n">
        <v>1</v>
      </c>
      <c r="P5396" s="12" t="n">
        <v>480</v>
      </c>
      <c r="Q5396" s="12" t="n">
        <v>60</v>
      </c>
      <c r="R5396" s="12" t="n">
        <v>76</v>
      </c>
      <c r="S5396" s="12" t="inlineStr">
        <is>
          <t>Duct bank</t>
        </is>
      </c>
      <c r="T5396" s="15" t="n">
        <v>57</v>
      </c>
      <c r="U5396" s="15" t="n">
        <v>125</v>
      </c>
      <c r="V5396" s="15">
        <f>ROUNDUP((T5396+U5396+2*'Read Me'!$B$13)*(1+'Read Me'!$B$12),-1)</f>
        <v/>
      </c>
      <c r="W5396" s="15">
        <f>V5396*N5396*O5396</f>
        <v/>
      </c>
      <c r="X5396" s="12">
        <f>IF(LEFT(I5396,2)="MV",2*N5396*IF(L5396="1/C",O5396,1),0)</f>
        <v/>
      </c>
      <c r="Y5396" s="12">
        <f>IF(OR(LEFT(K5396,4)="LVAX",LEFT(K5396,6)="MV15AX",LEFT(K5396,4)="CTAX",LEFT(K5396,2)="W|"),2*N5396*O5396,0)</f>
        <v/>
      </c>
      <c r="Z5396" s="12" t="inlineStr">
        <is>
          <t>VD 1.1 %</t>
        </is>
      </c>
      <c r="AA5396" s="12">
        <f>N5396*O5396</f>
        <v/>
      </c>
    </row>
    <row r="5397">
      <c r="A5397" s="12" t="inlineStr">
        <is>
          <t>I-P-0233</t>
        </is>
      </c>
      <c r="B5397" s="12" t="inlineStr">
        <is>
          <t>I</t>
        </is>
      </c>
      <c r="C5397" s="12" t="inlineStr">
        <is>
          <t>Modular / portable power</t>
        </is>
      </c>
      <c r="D5397" s="12" t="inlineStr">
        <is>
          <t>480 V welding receptacle 3</t>
        </is>
      </c>
      <c r="E5397" s="12" t="inlineStr"/>
      <c r="F5397" s="12" t="inlineStr">
        <is>
          <t>PCM: power control module</t>
        </is>
      </c>
      <c r="G5397" s="12" t="inlineStr">
        <is>
          <t>RICE-7</t>
        </is>
      </c>
      <c r="H5397" s="12" t="inlineStr">
        <is>
          <t>RICE engine-generator 7</t>
        </is>
      </c>
      <c r="I5397" s="12" t="inlineStr">
        <is>
          <t>LV 600 V</t>
        </is>
      </c>
      <c r="J5397" s="12" t="inlineStr">
        <is>
          <t>Type TC-ER 600 V 3/C Cu XHHW-2 + ground, PVC jacket</t>
        </is>
      </c>
      <c r="K5397" s="12" t="inlineStr">
        <is>
          <t>LV|3/C+G|2</t>
        </is>
      </c>
      <c r="L5397" s="12" t="inlineStr">
        <is>
          <t>3/C+G</t>
        </is>
      </c>
      <c r="M5397" s="12" t="inlineStr">
        <is>
          <t>2</t>
        </is>
      </c>
      <c r="N5397" s="12" t="n">
        <v>1</v>
      </c>
      <c r="O5397" s="12" t="n">
        <v>1</v>
      </c>
      <c r="P5397" s="12" t="n">
        <v>480</v>
      </c>
      <c r="Q5397" s="12" t="n">
        <v>60</v>
      </c>
      <c r="R5397" s="12" t="n">
        <v>76</v>
      </c>
      <c r="S5397" s="12" t="inlineStr">
        <is>
          <t>Duct bank</t>
        </is>
      </c>
      <c r="T5397" s="15" t="n">
        <v>57</v>
      </c>
      <c r="U5397" s="15" t="n">
        <v>125</v>
      </c>
      <c r="V5397" s="15">
        <f>ROUNDUP((T5397+U5397+2*'Read Me'!$B$13)*(1+'Read Me'!$B$12),-1)</f>
        <v/>
      </c>
      <c r="W5397" s="15">
        <f>V5397*N5397*O5397</f>
        <v/>
      </c>
      <c r="X5397" s="12">
        <f>IF(LEFT(I5397,2)="MV",2*N5397*IF(L5397="1/C",O5397,1),0)</f>
        <v/>
      </c>
      <c r="Y5397" s="12">
        <f>IF(OR(LEFT(K5397,4)="LVAX",LEFT(K5397,6)="MV15AX",LEFT(K5397,4)="CTAX",LEFT(K5397,2)="W|"),2*N5397*O5397,0)</f>
        <v/>
      </c>
      <c r="Z5397" s="12" t="inlineStr">
        <is>
          <t>VD 1.1 %</t>
        </is>
      </c>
      <c r="AA5397" s="12">
        <f>N5397*O5397</f>
        <v/>
      </c>
    </row>
    <row r="5398">
      <c r="A5398" s="12" t="inlineStr">
        <is>
          <t>I-P-0234</t>
        </is>
      </c>
      <c r="B5398" s="12" t="inlineStr">
        <is>
          <t>I</t>
        </is>
      </c>
      <c r="C5398" s="12" t="inlineStr">
        <is>
          <t>Modular / portable power</t>
        </is>
      </c>
      <c r="D5398" s="12" t="inlineStr">
        <is>
          <t>480 V welding receptacle 4</t>
        </is>
      </c>
      <c r="E5398" s="12" t="inlineStr"/>
      <c r="F5398" s="12" t="inlineStr">
        <is>
          <t>PCM: power control module</t>
        </is>
      </c>
      <c r="G5398" s="12" t="inlineStr">
        <is>
          <t>RICE-7</t>
        </is>
      </c>
      <c r="H5398" s="12" t="inlineStr">
        <is>
          <t>RICE engine-generator 7</t>
        </is>
      </c>
      <c r="I5398" s="12" t="inlineStr">
        <is>
          <t>LV 600 V</t>
        </is>
      </c>
      <c r="J5398" s="12" t="inlineStr">
        <is>
          <t>Type TC-ER 600 V 3/C Cu XHHW-2 + ground, PVC jacket</t>
        </is>
      </c>
      <c r="K5398" s="12" t="inlineStr">
        <is>
          <t>LV|3/C+G|2</t>
        </is>
      </c>
      <c r="L5398" s="12" t="inlineStr">
        <is>
          <t>3/C+G</t>
        </is>
      </c>
      <c r="M5398" s="12" t="inlineStr">
        <is>
          <t>2</t>
        </is>
      </c>
      <c r="N5398" s="12" t="n">
        <v>1</v>
      </c>
      <c r="O5398" s="12" t="n">
        <v>1</v>
      </c>
      <c r="P5398" s="12" t="n">
        <v>480</v>
      </c>
      <c r="Q5398" s="12" t="n">
        <v>60</v>
      </c>
      <c r="R5398" s="12" t="n">
        <v>76</v>
      </c>
      <c r="S5398" s="12" t="inlineStr">
        <is>
          <t>Duct bank</t>
        </is>
      </c>
      <c r="T5398" s="15" t="n">
        <v>57</v>
      </c>
      <c r="U5398" s="15" t="n">
        <v>125</v>
      </c>
      <c r="V5398" s="15">
        <f>ROUNDUP((T5398+U5398+2*'Read Me'!$B$13)*(1+'Read Me'!$B$12),-1)</f>
        <v/>
      </c>
      <c r="W5398" s="15">
        <f>V5398*N5398*O5398</f>
        <v/>
      </c>
      <c r="X5398" s="12">
        <f>IF(LEFT(I5398,2)="MV",2*N5398*IF(L5398="1/C",O5398,1),0)</f>
        <v/>
      </c>
      <c r="Y5398" s="12">
        <f>IF(OR(LEFT(K5398,4)="LVAX",LEFT(K5398,6)="MV15AX",LEFT(K5398,4)="CTAX",LEFT(K5398,2)="W|"),2*N5398*O5398,0)</f>
        <v/>
      </c>
      <c r="Z5398" s="12" t="inlineStr">
        <is>
          <t>VD 1.1 %</t>
        </is>
      </c>
      <c r="AA5398" s="12">
        <f>N5398*O5398</f>
        <v/>
      </c>
    </row>
    <row r="5399">
      <c r="A5399" s="12" t="inlineStr">
        <is>
          <t>I-P-0235</t>
        </is>
      </c>
      <c r="B5399" s="12" t="inlineStr">
        <is>
          <t>I</t>
        </is>
      </c>
      <c r="C5399" s="12" t="inlineStr">
        <is>
          <t>Modular / portable power</t>
        </is>
      </c>
      <c r="D5399" s="12" t="inlineStr">
        <is>
          <t>Motor 1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I-P-0236</t>
        </is>
      </c>
      <c r="B5400" s="12" t="inlineStr">
        <is>
          <t>I</t>
        </is>
      </c>
      <c r="C5400" s="12" t="inlineStr">
        <is>
          <t>Modular / portable power</t>
        </is>
      </c>
      <c r="D5400" s="12" t="inlineStr">
        <is>
          <t>Motor 2 of 6, 22 kW</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LV|3/C+G|8</t>
        </is>
      </c>
      <c r="L5400" s="12" t="inlineStr">
        <is>
          <t>3/C+G</t>
        </is>
      </c>
      <c r="M5400" s="12" t="inlineStr">
        <is>
          <t>8</t>
        </is>
      </c>
      <c r="N5400" s="12" t="n">
        <v>1</v>
      </c>
      <c r="O5400" s="12" t="n">
        <v>1</v>
      </c>
      <c r="P5400" s="12" t="n">
        <v>480</v>
      </c>
      <c r="Q5400" s="12" t="n">
        <v>22</v>
      </c>
      <c r="R5400" s="12" t="n">
        <v>31.1</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1.5 %</t>
        </is>
      </c>
      <c r="AA5400" s="12">
        <f>N5400*O5400</f>
        <v/>
      </c>
    </row>
    <row r="5401">
      <c r="A5401" s="12" t="inlineStr">
        <is>
          <t>I-P-0237</t>
        </is>
      </c>
      <c r="B5401" s="12" t="inlineStr">
        <is>
          <t>I</t>
        </is>
      </c>
      <c r="C5401" s="12" t="inlineStr">
        <is>
          <t>Modular / portable power</t>
        </is>
      </c>
      <c r="D5401" s="12" t="inlineStr">
        <is>
          <t>Motor 3 of 6, 22 kW</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LV|3/C+G|8</t>
        </is>
      </c>
      <c r="L5401" s="12" t="inlineStr">
        <is>
          <t>3/C+G</t>
        </is>
      </c>
      <c r="M5401" s="12" t="inlineStr">
        <is>
          <t>8</t>
        </is>
      </c>
      <c r="N5401" s="12" t="n">
        <v>1</v>
      </c>
      <c r="O5401" s="12" t="n">
        <v>1</v>
      </c>
      <c r="P5401" s="12" t="n">
        <v>480</v>
      </c>
      <c r="Q5401" s="12" t="n">
        <v>22</v>
      </c>
      <c r="R5401" s="12" t="n">
        <v>31.1</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1.5 %</t>
        </is>
      </c>
      <c r="AA5401" s="12">
        <f>N5401*O5401</f>
        <v/>
      </c>
    </row>
    <row r="5402">
      <c r="A5402" s="12" t="inlineStr">
        <is>
          <t>I-P-0238</t>
        </is>
      </c>
      <c r="B5402" s="12" t="inlineStr">
        <is>
          <t>I</t>
        </is>
      </c>
      <c r="C5402" s="12" t="inlineStr">
        <is>
          <t>Modular / portable power</t>
        </is>
      </c>
      <c r="D5402" s="12" t="inlineStr">
        <is>
          <t>Motor 4 of 6, 22 kW</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LV|3/C+G|8</t>
        </is>
      </c>
      <c r="L5402" s="12" t="inlineStr">
        <is>
          <t>3/C+G</t>
        </is>
      </c>
      <c r="M5402" s="12" t="inlineStr">
        <is>
          <t>8</t>
        </is>
      </c>
      <c r="N5402" s="12" t="n">
        <v>1</v>
      </c>
      <c r="O5402" s="12" t="n">
        <v>1</v>
      </c>
      <c r="P5402" s="12" t="n">
        <v>480</v>
      </c>
      <c r="Q5402" s="12" t="n">
        <v>22</v>
      </c>
      <c r="R5402" s="12" t="n">
        <v>31.1</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1.5 %</t>
        </is>
      </c>
      <c r="AA5402" s="12">
        <f>N5402*O5402</f>
        <v/>
      </c>
    </row>
    <row r="5403">
      <c r="A5403" s="12" t="inlineStr">
        <is>
          <t>I-P-0239</t>
        </is>
      </c>
      <c r="B5403" s="12" t="inlineStr">
        <is>
          <t>I</t>
        </is>
      </c>
      <c r="C5403" s="12" t="inlineStr">
        <is>
          <t>Modular / portable power</t>
        </is>
      </c>
      <c r="D5403" s="12" t="inlineStr">
        <is>
          <t>Motor 5 of 6, 22 kW</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LV|3/C+G|8</t>
        </is>
      </c>
      <c r="L5403" s="12" t="inlineStr">
        <is>
          <t>3/C+G</t>
        </is>
      </c>
      <c r="M5403" s="12" t="inlineStr">
        <is>
          <t>8</t>
        </is>
      </c>
      <c r="N5403" s="12" t="n">
        <v>1</v>
      </c>
      <c r="O5403" s="12" t="n">
        <v>1</v>
      </c>
      <c r="P5403" s="12" t="n">
        <v>480</v>
      </c>
      <c r="Q5403" s="12" t="n">
        <v>22</v>
      </c>
      <c r="R5403" s="12" t="n">
        <v>31.1</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1.5 %</t>
        </is>
      </c>
      <c r="AA5403" s="12">
        <f>N5403*O5403</f>
        <v/>
      </c>
    </row>
    <row r="5404">
      <c r="A5404" s="12" t="inlineStr">
        <is>
          <t>I-P-0240</t>
        </is>
      </c>
      <c r="B5404" s="12" t="inlineStr">
        <is>
          <t>I</t>
        </is>
      </c>
      <c r="C5404" s="12" t="inlineStr">
        <is>
          <t>Modular / portable power</t>
        </is>
      </c>
      <c r="D5404" s="12" t="inlineStr">
        <is>
          <t>Motor 6 of 6, 22 kW</t>
        </is>
      </c>
      <c r="E5404" s="12" t="inlineStr"/>
      <c r="F5404" s="12" t="inlineStr">
        <is>
          <t>PCM: power control module</t>
        </is>
      </c>
      <c r="G5404" s="12" t="inlineStr">
        <is>
          <t>RICE-8</t>
        </is>
      </c>
      <c r="H5404" s="12" t="inlineStr">
        <is>
          <t>RICE engine-generator 8</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97</v>
      </c>
      <c r="V5404" s="15">
        <f>ROUNDUP((T5404+U5404+2*'Read Me'!$B$13)*(1+'Read Me'!$B$12),-1)</f>
        <v/>
      </c>
      <c r="W5404" s="15">
        <f>V5404*N5404*O5404</f>
        <v/>
      </c>
      <c r="X5404" s="12">
        <f>IF(LEFT(I5404,2)="MV",2*N5404*IF(L5404="1/C",O5404,1),0)</f>
        <v/>
      </c>
      <c r="Y5404" s="12">
        <f>IF(OR(LEFT(K5404,4)="LVAX",LEFT(K5404,6)="MV15AX",LEFT(K5404,4)="CTAX",LEFT(K5404,2)="W|"),2*N5404*O5404,0)</f>
        <v/>
      </c>
      <c r="Z5404" s="12" t="inlineStr">
        <is>
          <t>VD 1.5 %</t>
        </is>
      </c>
      <c r="AA5404" s="12">
        <f>N5404*O5404</f>
        <v/>
      </c>
    </row>
    <row r="5405">
      <c r="A5405" s="12" t="inlineStr">
        <is>
          <t>I-P-0241</t>
        </is>
      </c>
      <c r="B5405" s="12" t="inlineStr">
        <is>
          <t>I</t>
        </is>
      </c>
      <c r="C5405" s="12" t="inlineStr">
        <is>
          <t>Modular / portable power</t>
        </is>
      </c>
      <c r="D5405" s="12" t="inlineStr">
        <is>
          <t>480 V welding receptacle 1</t>
        </is>
      </c>
      <c r="E5405" s="12" t="inlineStr"/>
      <c r="F5405" s="12" t="inlineStr">
        <is>
          <t>PCM: power control module</t>
        </is>
      </c>
      <c r="G5405" s="12" t="inlineStr">
        <is>
          <t>RICE-8</t>
        </is>
      </c>
      <c r="H5405" s="12" t="inlineStr">
        <is>
          <t>RICE engine-generator 8</t>
        </is>
      </c>
      <c r="I5405" s="12" t="inlineStr">
        <is>
          <t>LV 600 V</t>
        </is>
      </c>
      <c r="J5405" s="12" t="inlineStr">
        <is>
          <t>Type TC-ER 600 V 3/C Cu XHHW-2 + ground, PVC jacket</t>
        </is>
      </c>
      <c r="K5405" s="12" t="inlineStr">
        <is>
          <t>LV|3/C+G|2</t>
        </is>
      </c>
      <c r="L5405" s="12" t="inlineStr">
        <is>
          <t>3/C+G</t>
        </is>
      </c>
      <c r="M5405" s="12" t="inlineStr">
        <is>
          <t>2</t>
        </is>
      </c>
      <c r="N5405" s="12" t="n">
        <v>1</v>
      </c>
      <c r="O5405" s="12" t="n">
        <v>1</v>
      </c>
      <c r="P5405" s="12" t="n">
        <v>480</v>
      </c>
      <c r="Q5405" s="12" t="n">
        <v>60</v>
      </c>
      <c r="R5405" s="12" t="n">
        <v>76</v>
      </c>
      <c r="S5405" s="12" t="inlineStr">
        <is>
          <t>Duct bank</t>
        </is>
      </c>
      <c r="T5405" s="15" t="n">
        <v>57</v>
      </c>
      <c r="U5405" s="15" t="n">
        <v>97</v>
      </c>
      <c r="V5405" s="15">
        <f>ROUNDUP((T5405+U5405+2*'Read Me'!$B$13)*(1+'Read Me'!$B$12),-1)</f>
        <v/>
      </c>
      <c r="W5405" s="15">
        <f>V5405*N5405*O5405</f>
        <v/>
      </c>
      <c r="X5405" s="12">
        <f>IF(LEFT(I5405,2)="MV",2*N5405*IF(L5405="1/C",O5405,1),0)</f>
        <v/>
      </c>
      <c r="Y5405" s="12">
        <f>IF(OR(LEFT(K5405,4)="LVAX",LEFT(K5405,6)="MV15AX",LEFT(K5405,4)="CTAX",LEFT(K5405,2)="W|"),2*N5405*O5405,0)</f>
        <v/>
      </c>
      <c r="Z5405" s="12" t="inlineStr">
        <is>
          <t>VD 0.9 %</t>
        </is>
      </c>
      <c r="AA5405" s="12">
        <f>N5405*O5405</f>
        <v/>
      </c>
    </row>
    <row r="5406">
      <c r="A5406" s="12" t="inlineStr">
        <is>
          <t>I-P-0242</t>
        </is>
      </c>
      <c r="B5406" s="12" t="inlineStr">
        <is>
          <t>I</t>
        </is>
      </c>
      <c r="C5406" s="12" t="inlineStr">
        <is>
          <t>Modular / portable power</t>
        </is>
      </c>
      <c r="D5406" s="12" t="inlineStr">
        <is>
          <t>480 V welding receptacle 2</t>
        </is>
      </c>
      <c r="E5406" s="12" t="inlineStr"/>
      <c r="F5406" s="12" t="inlineStr">
        <is>
          <t>PCM: power control module</t>
        </is>
      </c>
      <c r="G5406" s="12" t="inlineStr">
        <is>
          <t>RICE-8</t>
        </is>
      </c>
      <c r="H5406" s="12" t="inlineStr">
        <is>
          <t>RICE engine-generator 8</t>
        </is>
      </c>
      <c r="I5406" s="12" t="inlineStr">
        <is>
          <t>LV 600 V</t>
        </is>
      </c>
      <c r="J5406" s="12" t="inlineStr">
        <is>
          <t>Type TC-ER 600 V 3/C Cu XHHW-2 + ground, PVC jacket</t>
        </is>
      </c>
      <c r="K5406" s="12" t="inlineStr">
        <is>
          <t>LV|3/C+G|2</t>
        </is>
      </c>
      <c r="L5406" s="12" t="inlineStr">
        <is>
          <t>3/C+G</t>
        </is>
      </c>
      <c r="M5406" s="12" t="inlineStr">
        <is>
          <t>2</t>
        </is>
      </c>
      <c r="N5406" s="12" t="n">
        <v>1</v>
      </c>
      <c r="O5406" s="12" t="n">
        <v>1</v>
      </c>
      <c r="P5406" s="12" t="n">
        <v>480</v>
      </c>
      <c r="Q5406" s="12" t="n">
        <v>60</v>
      </c>
      <c r="R5406" s="12" t="n">
        <v>76</v>
      </c>
      <c r="S5406" s="12" t="inlineStr">
        <is>
          <t>Duct bank</t>
        </is>
      </c>
      <c r="T5406" s="15" t="n">
        <v>57</v>
      </c>
      <c r="U5406" s="15" t="n">
        <v>97</v>
      </c>
      <c r="V5406" s="15">
        <f>ROUNDUP((T5406+U5406+2*'Read Me'!$B$13)*(1+'Read Me'!$B$12),-1)</f>
        <v/>
      </c>
      <c r="W5406" s="15">
        <f>V5406*N5406*O5406</f>
        <v/>
      </c>
      <c r="X5406" s="12">
        <f>IF(LEFT(I5406,2)="MV",2*N5406*IF(L5406="1/C",O5406,1),0)</f>
        <v/>
      </c>
      <c r="Y5406" s="12">
        <f>IF(OR(LEFT(K5406,4)="LVAX",LEFT(K5406,6)="MV15AX",LEFT(K5406,4)="CTAX",LEFT(K5406,2)="W|"),2*N5406*O5406,0)</f>
        <v/>
      </c>
      <c r="Z5406" s="12" t="inlineStr">
        <is>
          <t>VD 0.9 %</t>
        </is>
      </c>
      <c r="AA5406" s="12">
        <f>N5406*O5406</f>
        <v/>
      </c>
    </row>
    <row r="5407">
      <c r="A5407" s="12" t="inlineStr">
        <is>
          <t>I-P-0243</t>
        </is>
      </c>
      <c r="B5407" s="12" t="inlineStr">
        <is>
          <t>I</t>
        </is>
      </c>
      <c r="C5407" s="12" t="inlineStr">
        <is>
          <t>Modular / portable power</t>
        </is>
      </c>
      <c r="D5407" s="12" t="inlineStr">
        <is>
          <t>480 V welding receptacle 3</t>
        </is>
      </c>
      <c r="E5407" s="12" t="inlineStr"/>
      <c r="F5407" s="12" t="inlineStr">
        <is>
          <t>PCM: power control module</t>
        </is>
      </c>
      <c r="G5407" s="12" t="inlineStr">
        <is>
          <t>RICE-8</t>
        </is>
      </c>
      <c r="H5407" s="12" t="inlineStr">
        <is>
          <t>RICE engine-generator 8</t>
        </is>
      </c>
      <c r="I5407" s="12" t="inlineStr">
        <is>
          <t>LV 600 V</t>
        </is>
      </c>
      <c r="J5407" s="12" t="inlineStr">
        <is>
          <t>Type TC-ER 600 V 3/C Cu XHHW-2 + ground, PVC jacket</t>
        </is>
      </c>
      <c r="K5407" s="12" t="inlineStr">
        <is>
          <t>LV|3/C+G|2</t>
        </is>
      </c>
      <c r="L5407" s="12" t="inlineStr">
        <is>
          <t>3/C+G</t>
        </is>
      </c>
      <c r="M5407" s="12" t="inlineStr">
        <is>
          <t>2</t>
        </is>
      </c>
      <c r="N5407" s="12" t="n">
        <v>1</v>
      </c>
      <c r="O5407" s="12" t="n">
        <v>1</v>
      </c>
      <c r="P5407" s="12" t="n">
        <v>480</v>
      </c>
      <c r="Q5407" s="12" t="n">
        <v>60</v>
      </c>
      <c r="R5407" s="12" t="n">
        <v>76</v>
      </c>
      <c r="S5407" s="12" t="inlineStr">
        <is>
          <t>Duct bank</t>
        </is>
      </c>
      <c r="T5407" s="15" t="n">
        <v>57</v>
      </c>
      <c r="U5407" s="15" t="n">
        <v>97</v>
      </c>
      <c r="V5407" s="15">
        <f>ROUNDUP((T5407+U5407+2*'Read Me'!$B$13)*(1+'Read Me'!$B$12),-1)</f>
        <v/>
      </c>
      <c r="W5407" s="15">
        <f>V5407*N5407*O5407</f>
        <v/>
      </c>
      <c r="X5407" s="12">
        <f>IF(LEFT(I5407,2)="MV",2*N5407*IF(L5407="1/C",O5407,1),0)</f>
        <v/>
      </c>
      <c r="Y5407" s="12">
        <f>IF(OR(LEFT(K5407,4)="LVAX",LEFT(K5407,6)="MV15AX",LEFT(K5407,4)="CTAX",LEFT(K5407,2)="W|"),2*N5407*O5407,0)</f>
        <v/>
      </c>
      <c r="Z5407" s="12" t="inlineStr">
        <is>
          <t>VD 0.9 %</t>
        </is>
      </c>
      <c r="AA5407" s="12">
        <f>N5407*O5407</f>
        <v/>
      </c>
    </row>
    <row r="5408">
      <c r="A5408" s="12" t="inlineStr">
        <is>
          <t>I-P-0244</t>
        </is>
      </c>
      <c r="B5408" s="12" t="inlineStr">
        <is>
          <t>I</t>
        </is>
      </c>
      <c r="C5408" s="12" t="inlineStr">
        <is>
          <t>Modular / portable power</t>
        </is>
      </c>
      <c r="D5408" s="12" t="inlineStr">
        <is>
          <t>480 V welding receptacle 4</t>
        </is>
      </c>
      <c r="E5408" s="12" t="inlineStr"/>
      <c r="F5408" s="12" t="inlineStr">
        <is>
          <t>PCM: power control module</t>
        </is>
      </c>
      <c r="G5408" s="12" t="inlineStr">
        <is>
          <t>RICE-8</t>
        </is>
      </c>
      <c r="H5408" s="12" t="inlineStr">
        <is>
          <t>RICE engine-generator 8</t>
        </is>
      </c>
      <c r="I5408" s="12" t="inlineStr">
        <is>
          <t>LV 600 V</t>
        </is>
      </c>
      <c r="J5408" s="12" t="inlineStr">
        <is>
          <t>Type TC-ER 600 V 3/C Cu XHHW-2 + ground, PVC jacket</t>
        </is>
      </c>
      <c r="K5408" s="12" t="inlineStr">
        <is>
          <t>LV|3/C+G|2</t>
        </is>
      </c>
      <c r="L5408" s="12" t="inlineStr">
        <is>
          <t>3/C+G</t>
        </is>
      </c>
      <c r="M5408" s="12" t="inlineStr">
        <is>
          <t>2</t>
        </is>
      </c>
      <c r="N5408" s="12" t="n">
        <v>1</v>
      </c>
      <c r="O5408" s="12" t="n">
        <v>1</v>
      </c>
      <c r="P5408" s="12" t="n">
        <v>480</v>
      </c>
      <c r="Q5408" s="12" t="n">
        <v>60</v>
      </c>
      <c r="R5408" s="12" t="n">
        <v>76</v>
      </c>
      <c r="S5408" s="12" t="inlineStr">
        <is>
          <t>Duct bank</t>
        </is>
      </c>
      <c r="T5408" s="15" t="n">
        <v>57</v>
      </c>
      <c r="U5408" s="15" t="n">
        <v>97</v>
      </c>
      <c r="V5408" s="15">
        <f>ROUNDUP((T5408+U5408+2*'Read Me'!$B$13)*(1+'Read Me'!$B$12),-1)</f>
        <v/>
      </c>
      <c r="W5408" s="15">
        <f>V5408*N5408*O5408</f>
        <v/>
      </c>
      <c r="X5408" s="12">
        <f>IF(LEFT(I5408,2)="MV",2*N5408*IF(L5408="1/C",O5408,1),0)</f>
        <v/>
      </c>
      <c r="Y5408" s="12">
        <f>IF(OR(LEFT(K5408,4)="LVAX",LEFT(K5408,6)="MV15AX",LEFT(K5408,4)="CTAX",LEFT(K5408,2)="W|"),2*N5408*O5408,0)</f>
        <v/>
      </c>
      <c r="Z5408" s="12" t="inlineStr">
        <is>
          <t>VD 0.9 %</t>
        </is>
      </c>
      <c r="AA5408" s="12">
        <f>N5408*O5408</f>
        <v/>
      </c>
    </row>
    <row r="5409">
      <c r="A5409" s="12" t="inlineStr">
        <is>
          <t>I-P-0245</t>
        </is>
      </c>
      <c r="B5409" s="12" t="inlineStr">
        <is>
          <t>I</t>
        </is>
      </c>
      <c r="C5409" s="12" t="inlineStr">
        <is>
          <t>Modular / portable power</t>
        </is>
      </c>
      <c r="D5409" s="12" t="inlineStr">
        <is>
          <t>LV power feeder</t>
        </is>
      </c>
      <c r="E5409" s="12" t="inlineStr"/>
      <c r="F5409" s="12" t="inlineStr">
        <is>
          <t>PCM: power control module</t>
        </is>
      </c>
      <c r="G5409" s="12" t="inlineStr"/>
      <c r="H5409" s="12" t="inlineStr">
        <is>
          <t>Reagent storage</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15</v>
      </c>
      <c r="R5409" s="12" t="n">
        <v>21.2</v>
      </c>
      <c r="S5409" s="12" t="inlineStr">
        <is>
          <t>Duct bank</t>
        </is>
      </c>
      <c r="T5409" s="15" t="n">
        <v>258</v>
      </c>
      <c r="U5409" s="15" t="n">
        <v>110</v>
      </c>
      <c r="V5409" s="15">
        <f>ROUNDUP((T5409+U5409+2*'Read Me'!$B$13)*(1+'Read Me'!$B$12),-1)</f>
        <v/>
      </c>
      <c r="W5409" s="15">
        <f>V5409*N5409*O5409</f>
        <v/>
      </c>
      <c r="X5409" s="12">
        <f>IF(LEFT(I5409,2)="MV",2*N5409*IF(L5409="1/C",O5409,1),0)</f>
        <v/>
      </c>
      <c r="Y5409" s="12">
        <f>IF(OR(LEFT(K5409,4)="LVAX",LEFT(K5409,6)="MV15AX",LEFT(K5409,4)="CTAX",LEFT(K5409,2)="W|"),2*N5409*O5409,0)</f>
        <v/>
      </c>
      <c r="Z5409" s="12" t="inlineStr">
        <is>
          <t>VD 2.4 %</t>
        </is>
      </c>
      <c r="AA5409" s="12">
        <f>N5409*O5409</f>
        <v/>
      </c>
    </row>
    <row r="5410">
      <c r="A5410" s="12" t="inlineStr">
        <is>
          <t>I-P-0246</t>
        </is>
      </c>
      <c r="B5410" s="12" t="inlineStr">
        <is>
          <t>I</t>
        </is>
      </c>
      <c r="C5410" s="12" t="inlineStr">
        <is>
          <t>Modular / portable power</t>
        </is>
      </c>
      <c r="D5410" s="12" t="inlineStr">
        <is>
          <t>SC-1 CEMS shelter panel: analysers, heated sample line, lighting</t>
        </is>
      </c>
      <c r="E5410" s="12" t="inlineStr"/>
      <c r="F5410" s="12" t="inlineStr">
        <is>
          <t>SC-1 PCM + 15 kV GCB</t>
        </is>
      </c>
      <c r="G5410" s="12" t="inlineStr"/>
      <c r="H5410" s="12" t="inlineStr">
        <is>
          <t>SC-1 CEMS shelter</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15</v>
      </c>
      <c r="R5410" s="12" t="n">
        <v>19</v>
      </c>
      <c r="S5410" s="12" t="inlineStr">
        <is>
          <t>Duct bank</t>
        </is>
      </c>
      <c r="T5410" s="15" t="n">
        <v>81</v>
      </c>
      <c r="U5410" s="15" t="n">
        <v>106</v>
      </c>
      <c r="V5410" s="15">
        <f>ROUNDUP((T5410+U5410+2*'Read Me'!$B$13)*(1+'Read Me'!$B$12),-1)</f>
        <v/>
      </c>
      <c r="W5410" s="15">
        <f>V5410*N5410*O5410</f>
        <v/>
      </c>
      <c r="X5410" s="12">
        <f>IF(LEFT(I5410,2)="MV",2*N5410*IF(L5410="1/C",O5410,1),0)</f>
        <v/>
      </c>
      <c r="Y5410" s="12">
        <f>IF(OR(LEFT(K5410,4)="LVAX",LEFT(K5410,6)="MV15AX",LEFT(K5410,4)="CTAX",LEFT(K5410,2)="W|"),2*N5410*O5410,0)</f>
        <v/>
      </c>
      <c r="Z5410" s="12" t="inlineStr">
        <is>
          <t>VD 1.7 %</t>
        </is>
      </c>
      <c r="AA5410" s="12">
        <f>N5410*O5410</f>
        <v/>
      </c>
    </row>
    <row r="5411">
      <c r="A5411" s="12" t="inlineStr">
        <is>
          <t>I-P-0247</t>
        </is>
      </c>
      <c r="B5411" s="12" t="inlineStr">
        <is>
          <t>I</t>
        </is>
      </c>
      <c r="C5411" s="12" t="inlineStr">
        <is>
          <t>Modular / portable power</t>
        </is>
      </c>
      <c r="D5411" s="12" t="inlineStr">
        <is>
          <t>Motor 1 of 2, 5 kW</t>
        </is>
      </c>
      <c r="E5411" s="12" t="inlineStr"/>
      <c r="F5411" s="12" t="inlineStr">
        <is>
          <t>SC-1 PCM + 15 kV GCB</t>
        </is>
      </c>
      <c r="G5411" s="12" t="inlineStr"/>
      <c r="H5411" s="12" t="inlineStr">
        <is>
          <t>SC-1 CEMS shelter</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5</v>
      </c>
      <c r="R5411" s="12" t="n">
        <v>7.1</v>
      </c>
      <c r="S5411" s="12" t="inlineStr">
        <is>
          <t>Duct bank</t>
        </is>
      </c>
      <c r="T5411" s="15" t="n">
        <v>81</v>
      </c>
      <c r="U5411" s="15" t="n">
        <v>106</v>
      </c>
      <c r="V5411" s="15">
        <f>ROUNDUP((T5411+U5411+2*'Read Me'!$B$13)*(1+'Read Me'!$B$12),-1)</f>
        <v/>
      </c>
      <c r="W5411" s="15">
        <f>V5411*N5411*O5411</f>
        <v/>
      </c>
      <c r="X5411" s="12">
        <f>IF(LEFT(I5411,2)="MV",2*N5411*IF(L5411="1/C",O5411,1),0)</f>
        <v/>
      </c>
      <c r="Y5411" s="12">
        <f>IF(OR(LEFT(K5411,4)="LVAX",LEFT(K5411,6)="MV15AX",LEFT(K5411,4)="CTAX",LEFT(K5411,2)="W|"),2*N5411*O5411,0)</f>
        <v/>
      </c>
      <c r="Z5411" s="12" t="inlineStr">
        <is>
          <t>VD 0.6 %</t>
        </is>
      </c>
      <c r="AA5411" s="12">
        <f>N5411*O5411</f>
        <v/>
      </c>
    </row>
    <row r="5412">
      <c r="A5412" s="12" t="inlineStr">
        <is>
          <t>I-P-0248</t>
        </is>
      </c>
      <c r="B5412" s="12" t="inlineStr">
        <is>
          <t>I</t>
        </is>
      </c>
      <c r="C5412" s="12" t="inlineStr">
        <is>
          <t>Modular / portable power</t>
        </is>
      </c>
      <c r="D5412" s="12" t="inlineStr">
        <is>
          <t>Motor 2 of 2, 5 kW</t>
        </is>
      </c>
      <c r="E5412" s="12" t="inlineStr"/>
      <c r="F5412" s="12" t="inlineStr">
        <is>
          <t>SC-1 PCM + 15 kV GCB</t>
        </is>
      </c>
      <c r="G5412" s="12" t="inlineStr"/>
      <c r="H5412" s="12" t="inlineStr">
        <is>
          <t>SC-1 CEMS shelter</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5</v>
      </c>
      <c r="R5412" s="12" t="n">
        <v>7.1</v>
      </c>
      <c r="S5412" s="12" t="inlineStr">
        <is>
          <t>Duct bank</t>
        </is>
      </c>
      <c r="T5412" s="15" t="n">
        <v>81</v>
      </c>
      <c r="U5412" s="15" t="n">
        <v>106</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I-P-0249</t>
        </is>
      </c>
      <c r="B5413" s="12" t="inlineStr">
        <is>
          <t>I</t>
        </is>
      </c>
      <c r="C5413" s="12" t="inlineStr">
        <is>
          <t>Modular / portable power</t>
        </is>
      </c>
      <c r="D5413" s="12" t="inlineStr">
        <is>
          <t>SC-1 125 V DC battery to charger / DC panel</t>
        </is>
      </c>
      <c r="E5413" s="12" t="inlineStr"/>
      <c r="F5413" s="12" t="inlineStr">
        <is>
          <t>SC-1 PCM + 15 kV GCB</t>
        </is>
      </c>
      <c r="G5413" s="12" t="inlineStr"/>
      <c r="H5413" s="12" t="inlineStr">
        <is>
          <t>SC-1 PCM + 15 kV GCB</t>
        </is>
      </c>
      <c r="I5413" s="12" t="inlineStr">
        <is>
          <t>LV 600 V</t>
        </is>
      </c>
      <c r="J5413" s="12" t="inlineStr">
        <is>
          <t>XHHW-2 600 V 1/C Cu (feeder sets in tray / duct)</t>
        </is>
      </c>
      <c r="K5413" s="12" t="inlineStr">
        <is>
          <t>LV1C|1/C|4/0</t>
        </is>
      </c>
      <c r="L5413" s="12" t="inlineStr">
        <is>
          <t>1/C</t>
        </is>
      </c>
      <c r="M5413" s="12" t="inlineStr">
        <is>
          <t>4/0</t>
        </is>
      </c>
      <c r="N5413" s="12" t="n">
        <v>1</v>
      </c>
      <c r="O5413" s="12" t="n">
        <v>2</v>
      </c>
      <c r="P5413" s="12" t="n">
        <v>125</v>
      </c>
      <c r="Q5413" s="12" t="n"/>
      <c r="R5413" s="12" t="n"/>
      <c r="S5413" s="12" t="inlineStr">
        <is>
          <t>Tray</t>
        </is>
      </c>
      <c r="T5413" s="15" t="n">
        <v>15</v>
      </c>
      <c r="U5413" s="15" t="n">
        <v>5</v>
      </c>
      <c r="V5413" s="15">
        <f>ROUNDUP((T5413+U5413+2*'Read Me'!$B$13)*(1+'Read Me'!$B$12),-1)</f>
        <v/>
      </c>
      <c r="W5413" s="15">
        <f>V5413*N5413*O5413</f>
        <v/>
      </c>
      <c r="X5413" s="12">
        <f>IF(LEFT(I5413,2)="MV",2*N5413*IF(L5413="1/C",O5413,1),0)</f>
        <v/>
      </c>
      <c r="Y5413" s="12">
        <f>IF(OR(LEFT(K5413,4)="LVAX",LEFT(K5413,6)="MV15AX",LEFT(K5413,4)="CTAX",LEFT(K5413,2)="W|"),2*N5413*O5413,0)</f>
        <v/>
      </c>
      <c r="Z5413" s="12" t="inlineStr">
        <is>
          <t>battery rack inside the PCM</t>
        </is>
      </c>
      <c r="AA5413" s="12">
        <f>N5413*O5413</f>
        <v/>
      </c>
    </row>
    <row r="5414">
      <c r="A5414" s="12" t="inlineStr">
        <is>
          <t>I-P-0250</t>
        </is>
      </c>
      <c r="B5414" s="12" t="inlineStr">
        <is>
          <t>I</t>
        </is>
      </c>
      <c r="C5414" s="12" t="inlineStr">
        <is>
          <t>Modular / portable power</t>
        </is>
      </c>
      <c r="D5414" s="12" t="inlineStr">
        <is>
          <t>SC-1 PCM lighting, receptacles and HVAC (from its own 480 V board)</t>
        </is>
      </c>
      <c r="E5414" s="12" t="inlineStr"/>
      <c r="F5414" s="12" t="inlineStr">
        <is>
          <t>SC-1 PCM + 15 kV GCB</t>
        </is>
      </c>
      <c r="G5414" s="12" t="inlineStr"/>
      <c r="H5414" s="12" t="inlineStr">
        <is>
          <t>SC-1 PCM + 15 kV GCB</t>
        </is>
      </c>
      <c r="I5414" s="12" t="inlineStr">
        <is>
          <t>LV 600 V</t>
        </is>
      </c>
      <c r="J5414" s="12" t="inlineStr">
        <is>
          <t>Type TC-ER 600 V 3/C Cu XHHW-2 + ground, PVC jacket</t>
        </is>
      </c>
      <c r="K5414" s="12" t="inlineStr">
        <is>
          <t>LV|3/C+G|2</t>
        </is>
      </c>
      <c r="L5414" s="12" t="inlineStr">
        <is>
          <t>3/C+G</t>
        </is>
      </c>
      <c r="M5414" s="12" t="inlineStr">
        <is>
          <t>2</t>
        </is>
      </c>
      <c r="N5414" s="12" t="n">
        <v>1</v>
      </c>
      <c r="O5414" s="12" t="n">
        <v>1</v>
      </c>
      <c r="P5414" s="12" t="n">
        <v>480</v>
      </c>
      <c r="Q5414" s="12" t="n">
        <v>40</v>
      </c>
      <c r="R5414" s="12" t="n"/>
      <c r="S5414" s="12" t="inlineStr">
        <is>
          <t>Tray</t>
        </is>
      </c>
      <c r="T5414" s="15" t="n">
        <v>80</v>
      </c>
      <c r="U5414" s="15" t="n">
        <v>10</v>
      </c>
      <c r="V5414" s="15">
        <f>ROUNDUP((T5414+U5414+2*'Read Me'!$B$13)*(1+'Read Me'!$B$12),-1)</f>
        <v/>
      </c>
      <c r="W5414" s="15">
        <f>V5414*N5414*O5414</f>
        <v/>
      </c>
      <c r="X5414" s="12">
        <f>IF(LEFT(I5414,2)="MV",2*N5414*IF(L5414="1/C",O5414,1),0)</f>
        <v/>
      </c>
      <c r="Y5414" s="12">
        <f>IF(OR(LEFT(K5414,4)="LVAX",LEFT(K5414,6)="MV15AX",LEFT(K5414,4)="CTAX",LEFT(K5414,2)="W|"),2*N5414*O5414,0)</f>
        <v/>
      </c>
      <c r="Z5414" s="12" t="inlineStr">
        <is>
          <t>internal to the PCM; aux transformer 13.8 kV / 480 V inside</t>
        </is>
      </c>
      <c r="AA5414" s="12">
        <f>N5414*O5414</f>
        <v/>
      </c>
    </row>
    <row r="5415">
      <c r="A5415" s="12" t="inlineStr">
        <is>
          <t>I-P-0251</t>
        </is>
      </c>
      <c r="B5415" s="12" t="inlineStr">
        <is>
          <t>I</t>
        </is>
      </c>
      <c r="C5415" s="12" t="inlineStr">
        <is>
          <t>Modular / portable power</t>
        </is>
      </c>
      <c r="D5415" s="12" t="inlineStr">
        <is>
          <t>Area / platform lighting circuit 1 (10 fixtures)</t>
        </is>
      </c>
      <c r="E5415" s="12" t="inlineStr"/>
      <c r="F5415" s="12" t="inlineStr">
        <is>
          <t>SC-1 PCM + 15 kV GCB</t>
        </is>
      </c>
      <c r="G5415" s="12" t="inlineStr"/>
      <c r="H5415" s="12" t="inlineStr">
        <is>
          <t>SC-1 SCR / CO catalyst</t>
        </is>
      </c>
      <c r="I5415" s="12" t="inlineStr">
        <is>
          <t>LV 600 V</t>
        </is>
      </c>
      <c r="J5415" s="12" t="inlineStr">
        <is>
          <t>Type TC-ER 600 V 3/C Cu XHHW-2 + ground, PVC jacket</t>
        </is>
      </c>
      <c r="K5415" s="12" t="inlineStr">
        <is>
          <t>LV|3/C+G|10</t>
        </is>
      </c>
      <c r="L5415" s="12" t="inlineStr">
        <is>
          <t>3/C+G</t>
        </is>
      </c>
      <c r="M5415" s="12" t="inlineStr">
        <is>
          <t>10</t>
        </is>
      </c>
      <c r="N5415" s="12" t="n">
        <v>1</v>
      </c>
      <c r="O5415" s="12" t="n">
        <v>1</v>
      </c>
      <c r="P5415" s="12" t="n">
        <v>480</v>
      </c>
      <c r="Q5415" s="12" t="n">
        <v>3</v>
      </c>
      <c r="R5415" s="12" t="n">
        <v>5</v>
      </c>
      <c r="S5415" s="12" t="inlineStr">
        <is>
          <t>Duct bank</t>
        </is>
      </c>
      <c r="T5415" s="15" t="n">
        <v>355</v>
      </c>
      <c r="U5415" s="15" t="n">
        <v>57</v>
      </c>
      <c r="V5415" s="15">
        <f>ROUNDUP((T5415+U5415+2*'Read Me'!$B$13)*(1+'Read Me'!$B$12),-1)</f>
        <v/>
      </c>
      <c r="W5415" s="15">
        <f>V5415*N5415*O5415</f>
        <v/>
      </c>
      <c r="X5415" s="12">
        <f>IF(LEFT(I5415,2)="MV",2*N5415*IF(L5415="1/C",O5415,1),0)</f>
        <v/>
      </c>
      <c r="Y5415" s="12">
        <f>IF(OR(LEFT(K5415,4)="LVAX",LEFT(K5415,6)="MV15AX",LEFT(K5415,4)="CTAX",LEFT(K5415,2)="W|"),2*N5415*O5415,0)</f>
        <v/>
      </c>
      <c r="Z5415" s="12" t="inlineStr">
        <is>
          <t>fixture-to-fixture run included</t>
        </is>
      </c>
      <c r="AA5415" s="12">
        <f>N5415*O5415</f>
        <v/>
      </c>
    </row>
    <row r="5416">
      <c r="A5416" s="12" t="inlineStr">
        <is>
          <t>I-P-0252</t>
        </is>
      </c>
      <c r="B5416" s="12" t="inlineStr">
        <is>
          <t>I</t>
        </is>
      </c>
      <c r="C5416" s="12" t="inlineStr">
        <is>
          <t>Modular / portable power</t>
        </is>
      </c>
      <c r="D5416" s="12" t="inlineStr">
        <is>
          <t>SC-1 ammonia vaporiser electric heater</t>
        </is>
      </c>
      <c r="E5416" s="12" t="inlineStr"/>
      <c r="F5416" s="12" t="inlineStr">
        <is>
          <t>SC-1 PCM + 15 kV GCB</t>
        </is>
      </c>
      <c r="G5416" s="12" t="inlineStr"/>
      <c r="H5416" s="12" t="inlineStr">
        <is>
          <t>SC-1 ammonia flow-control unit</t>
        </is>
      </c>
      <c r="I5416" s="12" t="inlineStr">
        <is>
          <t>LV 600 V</t>
        </is>
      </c>
      <c r="J5416" s="12" t="inlineStr">
        <is>
          <t>Type TC-ER 600 V 3/C Cu XHHW-2 + ground, PVC jacket</t>
        </is>
      </c>
      <c r="K5416" s="12" t="inlineStr">
        <is>
          <t>LV|3/C+G|4</t>
        </is>
      </c>
      <c r="L5416" s="12" t="inlineStr">
        <is>
          <t>3/C+G</t>
        </is>
      </c>
      <c r="M5416" s="12" t="inlineStr">
        <is>
          <t>4</t>
        </is>
      </c>
      <c r="N5416" s="12" t="n">
        <v>1</v>
      </c>
      <c r="O5416" s="12" t="n">
        <v>1</v>
      </c>
      <c r="P5416" s="12" t="n">
        <v>480</v>
      </c>
      <c r="Q5416" s="12" t="n">
        <v>45</v>
      </c>
      <c r="R5416" s="12" t="n">
        <v>57</v>
      </c>
      <c r="S5416" s="12" t="inlineStr">
        <is>
          <t>Duct bank</t>
        </is>
      </c>
      <c r="T5416" s="15" t="n">
        <v>55</v>
      </c>
      <c r="U5416" s="15" t="n">
        <v>55</v>
      </c>
      <c r="V5416" s="15">
        <f>ROUNDUP((T5416+U5416+2*'Read Me'!$B$13)*(1+'Read Me'!$B$12),-1)</f>
        <v/>
      </c>
      <c r="W5416" s="15">
        <f>V5416*N5416*O5416</f>
        <v/>
      </c>
      <c r="X5416" s="12">
        <f>IF(LEFT(I5416,2)="MV",2*N5416*IF(L5416="1/C",O5416,1),0)</f>
        <v/>
      </c>
      <c r="Y5416" s="12">
        <f>IF(OR(LEFT(K5416,4)="LVAX",LEFT(K5416,6)="MV15AX",LEFT(K5416,4)="CTAX",LEFT(K5416,2)="W|"),2*N5416*O5416,0)</f>
        <v/>
      </c>
      <c r="Z5416" s="12" t="inlineStr">
        <is>
          <t>VD 0.8 %</t>
        </is>
      </c>
      <c r="AA5416" s="12">
        <f>N5416*O5416</f>
        <v/>
      </c>
    </row>
    <row r="5417">
      <c r="A5417" s="12" t="inlineStr">
        <is>
          <t>I-P-0253</t>
        </is>
      </c>
      <c r="B5417" s="12" t="inlineStr">
        <is>
          <t>I</t>
        </is>
      </c>
      <c r="C5417" s="12" t="inlineStr">
        <is>
          <t>Modular / portable power</t>
        </is>
      </c>
      <c r="D5417" s="12" t="inlineStr">
        <is>
          <t>Motor 1 of 2, 7.5 kW</t>
        </is>
      </c>
      <c r="E5417" s="12" t="inlineStr"/>
      <c r="F5417" s="12" t="inlineStr">
        <is>
          <t>SC-1 PCM + 15 kV GCB</t>
        </is>
      </c>
      <c r="G5417" s="12" t="inlineStr"/>
      <c r="H5417" s="12" t="inlineStr">
        <is>
          <t>SC-1 ammonia flow-control unit</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7.5</v>
      </c>
      <c r="R5417" s="12" t="n">
        <v>10.6</v>
      </c>
      <c r="S5417" s="12" t="inlineStr">
        <is>
          <t>Duct bank</t>
        </is>
      </c>
      <c r="T5417" s="15" t="n">
        <v>55</v>
      </c>
      <c r="U5417" s="15" t="n">
        <v>55</v>
      </c>
      <c r="V5417" s="15">
        <f>ROUNDUP((T5417+U5417+2*'Read Me'!$B$13)*(1+'Read Me'!$B$12),-1)</f>
        <v/>
      </c>
      <c r="W5417" s="15">
        <f>V5417*N5417*O5417</f>
        <v/>
      </c>
      <c r="X5417" s="12">
        <f>IF(LEFT(I5417,2)="MV",2*N5417*IF(L5417="1/C",O5417,1),0)</f>
        <v/>
      </c>
      <c r="Y5417" s="12">
        <f>IF(OR(LEFT(K5417,4)="LVAX",LEFT(K5417,6)="MV15AX",LEFT(K5417,4)="CTAX",LEFT(K5417,2)="W|"),2*N5417*O5417,0)</f>
        <v/>
      </c>
      <c r="Z5417" s="12" t="inlineStr">
        <is>
          <t>VD 0.6 %</t>
        </is>
      </c>
      <c r="AA5417" s="12">
        <f>N5417*O5417</f>
        <v/>
      </c>
    </row>
    <row r="5418">
      <c r="A5418" s="12" t="inlineStr">
        <is>
          <t>I-P-0254</t>
        </is>
      </c>
      <c r="B5418" s="12" t="inlineStr">
        <is>
          <t>I</t>
        </is>
      </c>
      <c r="C5418" s="12" t="inlineStr">
        <is>
          <t>Modular / portable power</t>
        </is>
      </c>
      <c r="D5418" s="12" t="inlineStr">
        <is>
          <t>Motor 2 of 2, 7.5 kW</t>
        </is>
      </c>
      <c r="E5418" s="12" t="inlineStr"/>
      <c r="F5418" s="12" t="inlineStr">
        <is>
          <t>SC-1 PCM + 15 kV GCB</t>
        </is>
      </c>
      <c r="G5418" s="12" t="inlineStr"/>
      <c r="H5418" s="12" t="inlineStr">
        <is>
          <t>SC-1 ammonia flow-control unit</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7.5</v>
      </c>
      <c r="R5418" s="12" t="n">
        <v>10.6</v>
      </c>
      <c r="S5418" s="12" t="inlineStr">
        <is>
          <t>Duct bank</t>
        </is>
      </c>
      <c r="T5418" s="15" t="n">
        <v>55</v>
      </c>
      <c r="U5418" s="15" t="n">
        <v>55</v>
      </c>
      <c r="V5418" s="15">
        <f>ROUNDUP((T5418+U5418+2*'Read Me'!$B$13)*(1+'Read Me'!$B$12),-1)</f>
        <v/>
      </c>
      <c r="W5418" s="15">
        <f>V5418*N5418*O5418</f>
        <v/>
      </c>
      <c r="X5418" s="12">
        <f>IF(LEFT(I5418,2)="MV",2*N5418*IF(L5418="1/C",O5418,1),0)</f>
        <v/>
      </c>
      <c r="Y5418" s="12">
        <f>IF(OR(LEFT(K5418,4)="LVAX",LEFT(K5418,6)="MV15AX",LEFT(K5418,4)="CTAX",LEFT(K5418,2)="W|"),2*N5418*O5418,0)</f>
        <v/>
      </c>
      <c r="Z5418" s="12" t="inlineStr">
        <is>
          <t>VD 0.6 %</t>
        </is>
      </c>
      <c r="AA5418" s="12">
        <f>N5418*O5418</f>
        <v/>
      </c>
    </row>
    <row r="5419">
      <c r="A5419" s="12" t="inlineStr">
        <is>
          <t>I-P-0255</t>
        </is>
      </c>
      <c r="B5419" s="12" t="inlineStr">
        <is>
          <t>I</t>
        </is>
      </c>
      <c r="C5419" s="12" t="inlineStr">
        <is>
          <t>Modular / portable power</t>
        </is>
      </c>
      <c r="D5419" s="12" t="inlineStr">
        <is>
          <t>SC-1 water-wash tank heater</t>
        </is>
      </c>
      <c r="E5419" s="12" t="inlineStr"/>
      <c r="F5419" s="12" t="inlineStr">
        <is>
          <t>SC-1 PCM + 15 kV GCB</t>
        </is>
      </c>
      <c r="G5419" s="12" t="inlineStr"/>
      <c r="H5419" s="12" t="inlineStr">
        <is>
          <t>SC-1 auxiliary skids: fuel-gas module, water-wash skid</t>
        </is>
      </c>
      <c r="I5419" s="12" t="inlineStr">
        <is>
          <t>LV 600 V</t>
        </is>
      </c>
      <c r="J5419" s="12" t="inlineStr">
        <is>
          <t>ARMOR-X MC-HL 600 V 3/C Cu XHHW-2 + ground, CWA, black PVC (Class I Div 2)</t>
        </is>
      </c>
      <c r="K5419" s="12" t="inlineStr">
        <is>
          <t>LVAX|3/C+G|10</t>
        </is>
      </c>
      <c r="L5419" s="12" t="inlineStr">
        <is>
          <t>3/C+G</t>
        </is>
      </c>
      <c r="M5419" s="12" t="inlineStr">
        <is>
          <t>10</t>
        </is>
      </c>
      <c r="N5419" s="12" t="n">
        <v>1</v>
      </c>
      <c r="O5419" s="12" t="n">
        <v>1</v>
      </c>
      <c r="P5419" s="12" t="n">
        <v>480</v>
      </c>
      <c r="Q5419" s="12" t="n">
        <v>6</v>
      </c>
      <c r="R5419" s="12" t="n">
        <v>7.6</v>
      </c>
      <c r="S5419" s="12" t="inlineStr">
        <is>
          <t>Tray</t>
        </is>
      </c>
      <c r="T5419" s="15" t="n">
        <v>5</v>
      </c>
      <c r="U5419" s="15" t="n">
        <v>49</v>
      </c>
      <c r="V5419" s="15">
        <f>ROUNDUP((T5419+U5419+2*'Read Me'!$B$13)*(1+'Read Me'!$B$12),-1)</f>
        <v/>
      </c>
      <c r="W5419" s="15">
        <f>V5419*N5419*O5419</f>
        <v/>
      </c>
      <c r="X5419" s="12">
        <f>IF(LEFT(I5419,2)="MV",2*N5419*IF(L5419="1/C",O5419,1),0)</f>
        <v/>
      </c>
      <c r="Y5419" s="12">
        <f>IF(OR(LEFT(K5419,4)="LVAX",LEFT(K5419,6)="MV15AX",LEFT(K5419,4)="CTAX",LEFT(K5419,2)="W|"),2*N5419*O5419,0)</f>
        <v/>
      </c>
      <c r="Z5419" s="12" t="inlineStr">
        <is>
          <t>VD 0.2 %</t>
        </is>
      </c>
      <c r="AA5419" s="12">
        <f>N5419*O5419</f>
        <v/>
      </c>
    </row>
    <row r="5420">
      <c r="A5420" s="12" t="inlineStr">
        <is>
          <t>I-P-0256</t>
        </is>
      </c>
      <c r="B5420" s="12" t="inlineStr">
        <is>
          <t>I</t>
        </is>
      </c>
      <c r="C5420" s="12" t="inlineStr">
        <is>
          <t>Modular / portable power</t>
        </is>
      </c>
      <c r="D5420" s="12" t="inlineStr">
        <is>
          <t>Motor 1 of 1, 7.5 kW</t>
        </is>
      </c>
      <c r="E5420" s="12" t="inlineStr"/>
      <c r="F5420" s="12" t="inlineStr">
        <is>
          <t>SC-1 PCM + 15 kV GCB</t>
        </is>
      </c>
      <c r="G5420" s="12" t="inlineStr"/>
      <c r="H5420" s="12" t="inlineStr">
        <is>
          <t>SC-1 auxiliary skids: fuel-gas module, water-wash skid</t>
        </is>
      </c>
      <c r="I5420" s="12" t="inlineStr">
        <is>
          <t>LV 600 V</t>
        </is>
      </c>
      <c r="J5420" s="12" t="inlineStr">
        <is>
          <t>ARMOR-X MC-HL 600 V 3/C Cu XHHW-2 + ground, CWA, black PVC (Class I Div 2)</t>
        </is>
      </c>
      <c r="K5420" s="12" t="inlineStr">
        <is>
          <t>LVAX|3/C+G|10</t>
        </is>
      </c>
      <c r="L5420" s="12" t="inlineStr">
        <is>
          <t>3/C+G</t>
        </is>
      </c>
      <c r="M5420" s="12" t="inlineStr">
        <is>
          <t>10</t>
        </is>
      </c>
      <c r="N5420" s="12" t="n">
        <v>1</v>
      </c>
      <c r="O5420" s="12" t="n">
        <v>1</v>
      </c>
      <c r="P5420" s="12" t="n">
        <v>480</v>
      </c>
      <c r="Q5420" s="12" t="n">
        <v>7.5</v>
      </c>
      <c r="R5420" s="12" t="n">
        <v>10.6</v>
      </c>
      <c r="S5420" s="12" t="inlineStr">
        <is>
          <t>Tray</t>
        </is>
      </c>
      <c r="T5420" s="15" t="n">
        <v>5</v>
      </c>
      <c r="U5420" s="15" t="n">
        <v>49</v>
      </c>
      <c r="V5420" s="15">
        <f>ROUNDUP((T5420+U5420+2*'Read Me'!$B$13)*(1+'Read Me'!$B$12),-1)</f>
        <v/>
      </c>
      <c r="W5420" s="15">
        <f>V5420*N5420*O5420</f>
        <v/>
      </c>
      <c r="X5420" s="12">
        <f>IF(LEFT(I5420,2)="MV",2*N5420*IF(L5420="1/C",O5420,1),0)</f>
        <v/>
      </c>
      <c r="Y5420" s="12">
        <f>IF(OR(LEFT(K5420,4)="LVAX",LEFT(K5420,6)="MV15AX",LEFT(K5420,4)="CTAX",LEFT(K5420,2)="W|"),2*N5420*O5420,0)</f>
        <v/>
      </c>
      <c r="Z5420" s="12" t="inlineStr">
        <is>
          <t>VD 0.3 %</t>
        </is>
      </c>
      <c r="AA5420" s="12">
        <f>N5420*O5420</f>
        <v/>
      </c>
    </row>
    <row r="5421">
      <c r="A5421" s="12" t="inlineStr">
        <is>
          <t>I-P-0257</t>
        </is>
      </c>
      <c r="B5421" s="12" t="inlineStr">
        <is>
          <t>I</t>
        </is>
      </c>
      <c r="C5421" s="12" t="inlineStr">
        <is>
          <t>Modular / portable power</t>
        </is>
      </c>
      <c r="D5421" s="12" t="inlineStr">
        <is>
          <t>Motor 1 of 4, 15 kW</t>
        </is>
      </c>
      <c r="E5421" s="12" t="inlineStr"/>
      <c r="F5421" s="12" t="inlineStr">
        <is>
          <t>SC-1 PCM + 15 kV GCB</t>
        </is>
      </c>
      <c r="G5421" s="12" t="inlineStr"/>
      <c r="H5421" s="12" t="inlineStr">
        <is>
          <t>SC-1 lube-oil fin-fan cooler</t>
        </is>
      </c>
      <c r="I5421" s="12" t="inlineStr">
        <is>
          <t>LV 600 V</t>
        </is>
      </c>
      <c r="J5421" s="12" t="inlineStr">
        <is>
          <t>Type TC-ER 600 V 3/C Cu XHHW-2 + ground, PVC jacket</t>
        </is>
      </c>
      <c r="K5421" s="12" t="inlineStr">
        <is>
          <t>LV|3/C+G|10</t>
        </is>
      </c>
      <c r="L5421" s="12" t="inlineStr">
        <is>
          <t>3/C+G</t>
        </is>
      </c>
      <c r="M5421" s="12" t="inlineStr">
        <is>
          <t>10</t>
        </is>
      </c>
      <c r="N5421" s="12" t="n">
        <v>1</v>
      </c>
      <c r="O5421" s="12" t="n">
        <v>1</v>
      </c>
      <c r="P5421" s="12" t="n">
        <v>480</v>
      </c>
      <c r="Q5421" s="12" t="n">
        <v>15</v>
      </c>
      <c r="R5421" s="12" t="n">
        <v>21.2</v>
      </c>
      <c r="S5421" s="12" t="inlineStr">
        <is>
          <t>Riser</t>
        </is>
      </c>
      <c r="T5421" s="15" t="n">
        <v>9</v>
      </c>
      <c r="U5421" s="15" t="n">
        <v>33</v>
      </c>
      <c r="V5421" s="15">
        <f>ROUNDUP((T5421+U5421+2*'Read Me'!$B$13)*(1+'Read Me'!$B$12),-1)</f>
        <v/>
      </c>
      <c r="W5421" s="15">
        <f>V5421*N5421*O5421</f>
        <v/>
      </c>
      <c r="X5421" s="12">
        <f>IF(LEFT(I5421,2)="MV",2*N5421*IF(L5421="1/C",O5421,1),0)</f>
        <v/>
      </c>
      <c r="Y5421" s="12">
        <f>IF(OR(LEFT(K5421,4)="LVAX",LEFT(K5421,6)="MV15AX",LEFT(K5421,4)="CTAX",LEFT(K5421,2)="W|"),2*N5421*O5421,0)</f>
        <v/>
      </c>
      <c r="Z5421" s="12" t="inlineStr">
        <is>
          <t>VD 0.4 %</t>
        </is>
      </c>
      <c r="AA5421" s="12">
        <f>N5421*O5421</f>
        <v/>
      </c>
    </row>
    <row r="5422">
      <c r="A5422" s="12" t="inlineStr">
        <is>
          <t>I-P-0258</t>
        </is>
      </c>
      <c r="B5422" s="12" t="inlineStr">
        <is>
          <t>I</t>
        </is>
      </c>
      <c r="C5422" s="12" t="inlineStr">
        <is>
          <t>Modular / portable power</t>
        </is>
      </c>
      <c r="D5422" s="12" t="inlineStr">
        <is>
          <t>Motor 2 of 4, 15 kW</t>
        </is>
      </c>
      <c r="E5422" s="12" t="inlineStr"/>
      <c r="F5422" s="12" t="inlineStr">
        <is>
          <t>SC-1 PCM + 15 kV GCB</t>
        </is>
      </c>
      <c r="G5422" s="12" t="inlineStr"/>
      <c r="H5422" s="12" t="inlineStr">
        <is>
          <t>SC-1 lube-oil fin-fan cooler</t>
        </is>
      </c>
      <c r="I5422" s="12" t="inlineStr">
        <is>
          <t>LV 600 V</t>
        </is>
      </c>
      <c r="J5422" s="12" t="inlineStr">
        <is>
          <t>Type TC-ER 600 V 3/C Cu XHHW-2 + ground, PVC jacket</t>
        </is>
      </c>
      <c r="K5422" s="12" t="inlineStr">
        <is>
          <t>LV|3/C+G|10</t>
        </is>
      </c>
      <c r="L5422" s="12" t="inlineStr">
        <is>
          <t>3/C+G</t>
        </is>
      </c>
      <c r="M5422" s="12" t="inlineStr">
        <is>
          <t>10</t>
        </is>
      </c>
      <c r="N5422" s="12" t="n">
        <v>1</v>
      </c>
      <c r="O5422" s="12" t="n">
        <v>1</v>
      </c>
      <c r="P5422" s="12" t="n">
        <v>480</v>
      </c>
      <c r="Q5422" s="12" t="n">
        <v>15</v>
      </c>
      <c r="R5422" s="12" t="n">
        <v>21.2</v>
      </c>
      <c r="S5422" s="12" t="inlineStr">
        <is>
          <t>Riser</t>
        </is>
      </c>
      <c r="T5422" s="15" t="n">
        <v>9</v>
      </c>
      <c r="U5422" s="15" t="n">
        <v>33</v>
      </c>
      <c r="V5422" s="15">
        <f>ROUNDUP((T5422+U5422+2*'Read Me'!$B$13)*(1+'Read Me'!$B$12),-1)</f>
        <v/>
      </c>
      <c r="W5422" s="15">
        <f>V5422*N5422*O5422</f>
        <v/>
      </c>
      <c r="X5422" s="12">
        <f>IF(LEFT(I5422,2)="MV",2*N5422*IF(L5422="1/C",O5422,1),0)</f>
        <v/>
      </c>
      <c r="Y5422" s="12">
        <f>IF(OR(LEFT(K5422,4)="LVAX",LEFT(K5422,6)="MV15AX",LEFT(K5422,4)="CTAX",LEFT(K5422,2)="W|"),2*N5422*O5422,0)</f>
        <v/>
      </c>
      <c r="Z5422" s="12" t="inlineStr">
        <is>
          <t>VD 0.4 %</t>
        </is>
      </c>
      <c r="AA5422" s="12">
        <f>N5422*O5422</f>
        <v/>
      </c>
    </row>
    <row r="5423">
      <c r="A5423" s="12" t="inlineStr">
        <is>
          <t>I-P-0259</t>
        </is>
      </c>
      <c r="B5423" s="12" t="inlineStr">
        <is>
          <t>I</t>
        </is>
      </c>
      <c r="C5423" s="12" t="inlineStr">
        <is>
          <t>Modular / portable power</t>
        </is>
      </c>
      <c r="D5423" s="12" t="inlineStr">
        <is>
          <t>Motor 3 of 4, 15 kW</t>
        </is>
      </c>
      <c r="E5423" s="12" t="inlineStr"/>
      <c r="F5423" s="12" t="inlineStr">
        <is>
          <t>SC-1 PCM + 15 kV GCB</t>
        </is>
      </c>
      <c r="G5423" s="12" t="inlineStr"/>
      <c r="H5423" s="12" t="inlineStr">
        <is>
          <t>SC-1 lube-oil fin-fan cooler</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15</v>
      </c>
      <c r="R5423" s="12" t="n">
        <v>21.2</v>
      </c>
      <c r="S5423" s="12" t="inlineStr">
        <is>
          <t>Riser</t>
        </is>
      </c>
      <c r="T5423" s="15" t="n">
        <v>9</v>
      </c>
      <c r="U5423" s="15" t="n">
        <v>33</v>
      </c>
      <c r="V5423" s="15">
        <f>ROUNDUP((T5423+U5423+2*'Read Me'!$B$13)*(1+'Read Me'!$B$12),-1)</f>
        <v/>
      </c>
      <c r="W5423" s="15">
        <f>V5423*N5423*O5423</f>
        <v/>
      </c>
      <c r="X5423" s="12">
        <f>IF(LEFT(I5423,2)="MV",2*N5423*IF(L5423="1/C",O5423,1),0)</f>
        <v/>
      </c>
      <c r="Y5423" s="12">
        <f>IF(OR(LEFT(K5423,4)="LVAX",LEFT(K5423,6)="MV15AX",LEFT(K5423,4)="CTAX",LEFT(K5423,2)="W|"),2*N5423*O5423,0)</f>
        <v/>
      </c>
      <c r="Z5423" s="12" t="inlineStr">
        <is>
          <t>VD 0.4 %</t>
        </is>
      </c>
      <c r="AA5423" s="12">
        <f>N5423*O5423</f>
        <v/>
      </c>
    </row>
    <row r="5424">
      <c r="A5424" s="12" t="inlineStr">
        <is>
          <t>I-P-0260</t>
        </is>
      </c>
      <c r="B5424" s="12" t="inlineStr">
        <is>
          <t>I</t>
        </is>
      </c>
      <c r="C5424" s="12" t="inlineStr">
        <is>
          <t>Modular / portable power</t>
        </is>
      </c>
      <c r="D5424" s="12" t="inlineStr">
        <is>
          <t>Motor 4 of 4, 15 kW</t>
        </is>
      </c>
      <c r="E5424" s="12" t="inlineStr"/>
      <c r="F5424" s="12" t="inlineStr">
        <is>
          <t>SC-1 PCM + 15 kV GCB</t>
        </is>
      </c>
      <c r="G5424" s="12" t="inlineStr"/>
      <c r="H5424" s="12" t="inlineStr">
        <is>
          <t>SC-1 lube-oil fin-fan cooler</t>
        </is>
      </c>
      <c r="I5424" s="12" t="inlineStr">
        <is>
          <t>LV 600 V</t>
        </is>
      </c>
      <c r="J5424" s="12" t="inlineStr">
        <is>
          <t>Type TC-ER 600 V 3/C Cu XHHW-2 + ground, PVC jacket</t>
        </is>
      </c>
      <c r="K5424" s="12" t="inlineStr">
        <is>
          <t>LV|3/C+G|10</t>
        </is>
      </c>
      <c r="L5424" s="12" t="inlineStr">
        <is>
          <t>3/C+G</t>
        </is>
      </c>
      <c r="M5424" s="12" t="inlineStr">
        <is>
          <t>10</t>
        </is>
      </c>
      <c r="N5424" s="12" t="n">
        <v>1</v>
      </c>
      <c r="O5424" s="12" t="n">
        <v>1</v>
      </c>
      <c r="P5424" s="12" t="n">
        <v>480</v>
      </c>
      <c r="Q5424" s="12" t="n">
        <v>15</v>
      </c>
      <c r="R5424" s="12" t="n">
        <v>21.2</v>
      </c>
      <c r="S5424" s="12" t="inlineStr">
        <is>
          <t>Riser</t>
        </is>
      </c>
      <c r="T5424" s="15" t="n">
        <v>9</v>
      </c>
      <c r="U5424" s="15" t="n">
        <v>33</v>
      </c>
      <c r="V5424" s="15">
        <f>ROUNDUP((T5424+U5424+2*'Read Me'!$B$13)*(1+'Read Me'!$B$12),-1)</f>
        <v/>
      </c>
      <c r="W5424" s="15">
        <f>V5424*N5424*O5424</f>
        <v/>
      </c>
      <c r="X5424" s="12">
        <f>IF(LEFT(I5424,2)="MV",2*N5424*IF(L5424="1/C",O5424,1),0)</f>
        <v/>
      </c>
      <c r="Y5424" s="12">
        <f>IF(OR(LEFT(K5424,4)="LVAX",LEFT(K5424,6)="MV15AX",LEFT(K5424,4)="CTAX",LEFT(K5424,2)="W|"),2*N5424*O5424,0)</f>
        <v/>
      </c>
      <c r="Z5424" s="12" t="inlineStr">
        <is>
          <t>VD 0.4 %</t>
        </is>
      </c>
      <c r="AA5424" s="12">
        <f>N5424*O5424</f>
        <v/>
      </c>
    </row>
    <row r="5425">
      <c r="A5425" s="12" t="inlineStr">
        <is>
          <t>I-P-0261</t>
        </is>
      </c>
      <c r="B5425" s="12" t="inlineStr">
        <is>
          <t>I</t>
        </is>
      </c>
      <c r="C5425" s="12" t="inlineStr">
        <is>
          <t>Modular / portable power</t>
        </is>
      </c>
      <c r="D5425" s="12" t="inlineStr">
        <is>
          <t>Area / platform lighting circuit 1 (4 fixtures)</t>
        </is>
      </c>
      <c r="E5425" s="12" t="inlineStr"/>
      <c r="F5425" s="12" t="inlineStr">
        <is>
          <t>SC-1 PCM + 15 kV GCB</t>
        </is>
      </c>
      <c r="G5425" s="12" t="inlineStr"/>
      <c r="H5425" s="12" t="inlineStr">
        <is>
          <t>SC-1 stack (80 ft)</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3</v>
      </c>
      <c r="R5425" s="12" t="n">
        <v>5</v>
      </c>
      <c r="S5425" s="12" t="inlineStr">
        <is>
          <t>Duct bank</t>
        </is>
      </c>
      <c r="T5425" s="15" t="n">
        <v>381</v>
      </c>
      <c r="U5425" s="15" t="n">
        <v>86</v>
      </c>
      <c r="V5425" s="15">
        <f>ROUNDUP((T5425+U5425+2*'Read Me'!$B$13)*(1+'Read Me'!$B$12),-1)</f>
        <v/>
      </c>
      <c r="W5425" s="15">
        <f>V5425*N5425*O5425</f>
        <v/>
      </c>
      <c r="X5425" s="12">
        <f>IF(LEFT(I5425,2)="MV",2*N5425*IF(L5425="1/C",O5425,1),0)</f>
        <v/>
      </c>
      <c r="Y5425" s="12">
        <f>IF(OR(LEFT(K5425,4)="LVAX",LEFT(K5425,6)="MV15AX",LEFT(K5425,4)="CTAX",LEFT(K5425,2)="W|"),2*N5425*O5425,0)</f>
        <v/>
      </c>
      <c r="Z5425" s="12" t="inlineStr">
        <is>
          <t>fixture-to-fixture run included</t>
        </is>
      </c>
      <c r="AA5425" s="12">
        <f>N5425*O5425</f>
        <v/>
      </c>
    </row>
    <row r="5426">
      <c r="A5426" s="12" t="inlineStr">
        <is>
          <t>I-P-0262</t>
        </is>
      </c>
      <c r="B5426" s="12" t="inlineStr">
        <is>
          <t>I</t>
        </is>
      </c>
      <c r="C5426" s="12" t="inlineStr">
        <is>
          <t>Modular / portable power</t>
        </is>
      </c>
      <c r="D5426" s="12" t="inlineStr">
        <is>
          <t>Motor 1 of 2, 185 kW</t>
        </is>
      </c>
      <c r="E5426" s="12" t="inlineStr"/>
      <c r="F5426" s="12" t="inlineStr">
        <is>
          <t>SC-1 PCM + 15 kV GCB</t>
        </is>
      </c>
      <c r="G5426" s="12" t="inlineStr"/>
      <c r="H5426" s="12" t="inlineStr">
        <is>
          <t>SC-1 tempering-air fans (2 x 100 %)</t>
        </is>
      </c>
      <c r="I5426" s="12" t="inlineStr">
        <is>
          <t>LV 600 V</t>
        </is>
      </c>
      <c r="J5426" s="12" t="inlineStr">
        <is>
          <t>Type TC-ER 600 V 3/C Cu XHHW-2 + ground, PVC jacket</t>
        </is>
      </c>
      <c r="K5426" s="12" t="inlineStr">
        <is>
          <t>LV|3/C+G|500</t>
        </is>
      </c>
      <c r="L5426" s="12" t="inlineStr">
        <is>
          <t>3/C+G</t>
        </is>
      </c>
      <c r="M5426" s="12" t="inlineStr">
        <is>
          <t>500 kcmil</t>
        </is>
      </c>
      <c r="N5426" s="12" t="n">
        <v>1</v>
      </c>
      <c r="O5426" s="12" t="n">
        <v>1</v>
      </c>
      <c r="P5426" s="12" t="n">
        <v>480</v>
      </c>
      <c r="Q5426" s="12" t="n">
        <v>185</v>
      </c>
      <c r="R5426" s="12" t="n">
        <v>261.8</v>
      </c>
      <c r="S5426" s="12" t="inlineStr">
        <is>
          <t>Duct bank</t>
        </is>
      </c>
      <c r="T5426" s="15" t="n">
        <v>15</v>
      </c>
      <c r="U5426" s="15" t="n">
        <v>99</v>
      </c>
      <c r="V5426" s="15">
        <f>ROUNDUP((T5426+U5426+2*'Read Me'!$B$13)*(1+'Read Me'!$B$12),-1)</f>
        <v/>
      </c>
      <c r="W5426" s="15">
        <f>V5426*N5426*O5426</f>
        <v/>
      </c>
      <c r="X5426" s="12">
        <f>IF(LEFT(I5426,2)="MV",2*N5426*IF(L5426="1/C",O5426,1),0)</f>
        <v/>
      </c>
      <c r="Y5426" s="12">
        <f>IF(OR(LEFT(K5426,4)="LVAX",LEFT(K5426,6)="MV15AX",LEFT(K5426,4)="CTAX",LEFT(K5426,2)="W|"),2*N5426*O5426,0)</f>
        <v/>
      </c>
      <c r="Z5426" s="12" t="inlineStr">
        <is>
          <t>VD 0.3 %</t>
        </is>
      </c>
      <c r="AA5426" s="12">
        <f>N5426*O5426</f>
        <v/>
      </c>
    </row>
    <row r="5427">
      <c r="A5427" s="12" t="inlineStr">
        <is>
          <t>I-P-0263</t>
        </is>
      </c>
      <c r="B5427" s="12" t="inlineStr">
        <is>
          <t>I</t>
        </is>
      </c>
      <c r="C5427" s="12" t="inlineStr">
        <is>
          <t>Modular / portable power</t>
        </is>
      </c>
      <c r="D5427" s="12" t="inlineStr">
        <is>
          <t>Motor 2 of 2, 185 kW</t>
        </is>
      </c>
      <c r="E5427" s="12" t="inlineStr"/>
      <c r="F5427" s="12" t="inlineStr">
        <is>
          <t>SC-1 PCM + 15 kV GCB</t>
        </is>
      </c>
      <c r="G5427" s="12" t="inlineStr"/>
      <c r="H5427" s="12" t="inlineStr">
        <is>
          <t>SC-1 tempering-air fans (2 x 100 %)</t>
        </is>
      </c>
      <c r="I5427" s="12" t="inlineStr">
        <is>
          <t>LV 600 V</t>
        </is>
      </c>
      <c r="J5427" s="12" t="inlineStr">
        <is>
          <t>Type TC-ER 600 V 3/C Cu XHHW-2 + ground, PVC jacket</t>
        </is>
      </c>
      <c r="K5427" s="12" t="inlineStr">
        <is>
          <t>LV|3/C+G|500</t>
        </is>
      </c>
      <c r="L5427" s="12" t="inlineStr">
        <is>
          <t>3/C+G</t>
        </is>
      </c>
      <c r="M5427" s="12" t="inlineStr">
        <is>
          <t>500 kcmil</t>
        </is>
      </c>
      <c r="N5427" s="12" t="n">
        <v>1</v>
      </c>
      <c r="O5427" s="12" t="n">
        <v>1</v>
      </c>
      <c r="P5427" s="12" t="n">
        <v>480</v>
      </c>
      <c r="Q5427" s="12" t="n">
        <v>185</v>
      </c>
      <c r="R5427" s="12" t="n">
        <v>261.8</v>
      </c>
      <c r="S5427" s="12" t="inlineStr">
        <is>
          <t>Duct bank</t>
        </is>
      </c>
      <c r="T5427" s="15" t="n">
        <v>15</v>
      </c>
      <c r="U5427" s="15" t="n">
        <v>99</v>
      </c>
      <c r="V5427" s="15">
        <f>ROUNDUP((T5427+U5427+2*'Read Me'!$B$13)*(1+'Read Me'!$B$12),-1)</f>
        <v/>
      </c>
      <c r="W5427" s="15">
        <f>V5427*N5427*O5427</f>
        <v/>
      </c>
      <c r="X5427" s="12">
        <f>IF(LEFT(I5427,2)="MV",2*N5427*IF(L5427="1/C",O5427,1),0)</f>
        <v/>
      </c>
      <c r="Y5427" s="12">
        <f>IF(OR(LEFT(K5427,4)="LVAX",LEFT(K5427,6)="MV15AX",LEFT(K5427,4)="CTAX",LEFT(K5427,2)="W|"),2*N5427*O5427,0)</f>
        <v/>
      </c>
      <c r="Z5427" s="12" t="inlineStr">
        <is>
          <t>VD 0.3 %</t>
        </is>
      </c>
      <c r="AA5427" s="12">
        <f>N5427*O5427</f>
        <v/>
      </c>
    </row>
    <row r="5428">
      <c r="A5428" s="12" t="inlineStr">
        <is>
          <t>I-P-0264</t>
        </is>
      </c>
      <c r="B5428" s="12" t="inlineStr">
        <is>
          <t>I</t>
        </is>
      </c>
      <c r="C5428" s="12" t="inlineStr">
        <is>
          <t>Modular / portable power</t>
        </is>
      </c>
      <c r="D5428" s="12" t="inlineStr">
        <is>
          <t>Area / platform lighting circuit 1 (4 fixtures)</t>
        </is>
      </c>
      <c r="E5428" s="12" t="inlineStr"/>
      <c r="F5428" s="12" t="inlineStr">
        <is>
          <t>SC-1 PCM + 15 kV GCB</t>
        </is>
      </c>
      <c r="G5428" s="12" t="inlineStr"/>
      <c r="H5428" s="12" t="inlineStr">
        <is>
          <t>SC-1 tempering-air fans (2 x 100 %)</t>
        </is>
      </c>
      <c r="I5428" s="12" t="inlineStr">
        <is>
          <t>LV 600 V</t>
        </is>
      </c>
      <c r="J5428" s="12" t="inlineStr">
        <is>
          <t>Type TC-ER 600 V 3/C Cu XHHW-2 + ground, PVC jacket</t>
        </is>
      </c>
      <c r="K5428" s="12" t="inlineStr">
        <is>
          <t>LV|3/C+G|10</t>
        </is>
      </c>
      <c r="L5428" s="12" t="inlineStr">
        <is>
          <t>3/C+G</t>
        </is>
      </c>
      <c r="M5428" s="12" t="inlineStr">
        <is>
          <t>10</t>
        </is>
      </c>
      <c r="N5428" s="12" t="n">
        <v>1</v>
      </c>
      <c r="O5428" s="12" t="n">
        <v>1</v>
      </c>
      <c r="P5428" s="12" t="n">
        <v>480</v>
      </c>
      <c r="Q5428" s="12" t="n">
        <v>3</v>
      </c>
      <c r="R5428" s="12" t="n">
        <v>5</v>
      </c>
      <c r="S5428" s="12" t="inlineStr">
        <is>
          <t>Duct bank</t>
        </is>
      </c>
      <c r="T5428" s="15" t="n">
        <v>315</v>
      </c>
      <c r="U5428" s="15" t="n">
        <v>99</v>
      </c>
      <c r="V5428" s="15">
        <f>ROUNDUP((T5428+U5428+2*'Read Me'!$B$13)*(1+'Read Me'!$B$12),-1)</f>
        <v/>
      </c>
      <c r="W5428" s="15">
        <f>V5428*N5428*O5428</f>
        <v/>
      </c>
      <c r="X5428" s="12">
        <f>IF(LEFT(I5428,2)="MV",2*N5428*IF(L5428="1/C",O5428,1),0)</f>
        <v/>
      </c>
      <c r="Y5428" s="12">
        <f>IF(OR(LEFT(K5428,4)="LVAX",LEFT(K5428,6)="MV15AX",LEFT(K5428,4)="CTAX",LEFT(K5428,2)="W|"),2*N5428*O5428,0)</f>
        <v/>
      </c>
      <c r="Z5428" s="12" t="inlineStr">
        <is>
          <t>fixture-to-fixture run included</t>
        </is>
      </c>
      <c r="AA5428" s="12">
        <f>N5428*O5428</f>
        <v/>
      </c>
    </row>
    <row r="5429">
      <c r="A5429" s="12" t="inlineStr">
        <is>
          <t>I-P-0265</t>
        </is>
      </c>
      <c r="B5429" s="12" t="inlineStr">
        <is>
          <t>I</t>
        </is>
      </c>
      <c r="C5429" s="12" t="inlineStr">
        <is>
          <t>Modular / portable power</t>
        </is>
      </c>
      <c r="D5429" s="12" t="inlineStr">
        <is>
          <t>SC-1 emergency DC lube-oil pump (125 V DC, coast-down)</t>
        </is>
      </c>
      <c r="E5429" s="12" t="inlineStr"/>
      <c r="F5429" s="12" t="inlineStr">
        <is>
          <t>SC-1 PCM + 15 kV GCB</t>
        </is>
      </c>
      <c r="G5429" s="12" t="inlineStr">
        <is>
          <t>SC-1</t>
        </is>
      </c>
      <c r="H5429" s="12" t="inlineStr">
        <is>
          <t>SC-1: aeroderivative simple-cycle unit (LM6000 class)</t>
        </is>
      </c>
      <c r="I5429" s="12" t="inlineStr">
        <is>
          <t>LV 600 V</t>
        </is>
      </c>
      <c r="J5429" s="12" t="inlineStr">
        <is>
          <t>XHHW-2 600 V 1/C Cu (feeder sets in tray / duct)</t>
        </is>
      </c>
      <c r="K5429" s="12" t="inlineStr">
        <is>
          <t>LV1C|1/C|2</t>
        </is>
      </c>
      <c r="L5429" s="12" t="inlineStr">
        <is>
          <t>1/C</t>
        </is>
      </c>
      <c r="M5429" s="12" t="inlineStr">
        <is>
          <t>2</t>
        </is>
      </c>
      <c r="N5429" s="12" t="n">
        <v>1</v>
      </c>
      <c r="O5429" s="12" t="n">
        <v>2</v>
      </c>
      <c r="P5429" s="12" t="n">
        <v>125</v>
      </c>
      <c r="Q5429" s="12" t="n">
        <v>7.5</v>
      </c>
      <c r="R5429" s="12" t="n">
        <v>65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LM6000 class: DC pump keeps the bearings fed on loss of AC</t>
        </is>
      </c>
      <c r="AA5429" s="12">
        <f>N5429*O5429</f>
        <v/>
      </c>
    </row>
    <row r="5430">
      <c r="A5430" s="12" t="inlineStr">
        <is>
          <t>I-P-0266</t>
        </is>
      </c>
      <c r="B5430" s="12" t="inlineStr">
        <is>
          <t>I</t>
        </is>
      </c>
      <c r="C5430" s="12" t="inlineStr">
        <is>
          <t>Modular / portable power</t>
        </is>
      </c>
      <c r="D5430" s="12" t="inlineStr">
        <is>
          <t>SC-1 120 V AC UPS to the unit control and protection</t>
        </is>
      </c>
      <c r="E5430" s="12" t="inlineStr"/>
      <c r="F5430" s="12" t="inlineStr">
        <is>
          <t>SC-1 PCM + 15 kV GCB</t>
        </is>
      </c>
      <c r="G5430" s="12" t="inlineStr">
        <is>
          <t>SC-1</t>
        </is>
      </c>
      <c r="H5430" s="12" t="inlineStr">
        <is>
          <t>SC-1: aeroderivative simple-cycle unit (LM6000 class)</t>
        </is>
      </c>
      <c r="I5430" s="12" t="inlineStr">
        <is>
          <t>LV 600 V</t>
        </is>
      </c>
      <c r="J5430" s="12" t="inlineStr">
        <is>
          <t>XHHW-2 600 V 1/C Cu (feeder sets in tray / duct)</t>
        </is>
      </c>
      <c r="K5430" s="12" t="inlineStr">
        <is>
          <t>LV1C|1/C|6</t>
        </is>
      </c>
      <c r="L5430" s="12" t="inlineStr">
        <is>
          <t>1/C</t>
        </is>
      </c>
      <c r="M5430" s="12" t="inlineStr">
        <is>
          <t>6</t>
        </is>
      </c>
      <c r="N5430" s="12" t="n">
        <v>1</v>
      </c>
      <c r="O5430" s="12" t="n">
        <v>2</v>
      </c>
      <c r="P5430" s="12" t="n">
        <v>120</v>
      </c>
      <c r="Q5430" s="12" t="n">
        <v>5</v>
      </c>
      <c r="R5430" s="12" t="n"/>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c r="AA5430" s="12">
        <f>N5430*O5430</f>
        <v/>
      </c>
    </row>
    <row r="5431">
      <c r="A5431" s="12" t="inlineStr">
        <is>
          <t>I-P-0267</t>
        </is>
      </c>
      <c r="B5431" s="12" t="inlineStr">
        <is>
          <t>I</t>
        </is>
      </c>
      <c r="C5431" s="12" t="inlineStr">
        <is>
          <t>Modular / portable power</t>
        </is>
      </c>
      <c r="D5431" s="12" t="inlineStr">
        <is>
          <t>SC-1 hydraulic starter pump motor (start sequence only)</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LV|3/C+G|3/0</t>
        </is>
      </c>
      <c r="L5431" s="12" t="inlineStr">
        <is>
          <t>3/C+G</t>
        </is>
      </c>
      <c r="M5431" s="12" t="inlineStr">
        <is>
          <t>3/0</t>
        </is>
      </c>
      <c r="N5431" s="12" t="n">
        <v>2</v>
      </c>
      <c r="O5431" s="12" t="n">
        <v>1</v>
      </c>
      <c r="P5431" s="12" t="n">
        <v>480</v>
      </c>
      <c r="Q5431" s="12" t="n">
        <v>225</v>
      </c>
      <c r="R5431" s="12" t="n">
        <v>318.4</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typical LM6000 hydraulic start; verify starter type / rating with the OEM</t>
        </is>
      </c>
      <c r="AA5431" s="12">
        <f>N5431*O5431</f>
        <v/>
      </c>
    </row>
    <row r="5432">
      <c r="A5432" s="12" t="inlineStr">
        <is>
          <t>I-P-0268</t>
        </is>
      </c>
      <c r="B5432" s="12" t="inlineStr">
        <is>
          <t>I</t>
        </is>
      </c>
      <c r="C5432" s="12" t="inlineStr">
        <is>
          <t>Modular / portable power</t>
        </is>
      </c>
      <c r="D5432" s="12" t="inlineStr">
        <is>
          <t>SC-1 480 V welding receptacle 1</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LV|3/C+G|2</t>
        </is>
      </c>
      <c r="L5432" s="12" t="inlineStr">
        <is>
          <t>3/C+G</t>
        </is>
      </c>
      <c r="M5432" s="12" t="inlineStr">
        <is>
          <t>2</t>
        </is>
      </c>
      <c r="N5432" s="12" t="n">
        <v>1</v>
      </c>
      <c r="O5432" s="12" t="n">
        <v>1</v>
      </c>
      <c r="P5432" s="12" t="n">
        <v>480</v>
      </c>
      <c r="Q5432" s="12" t="n">
        <v>60</v>
      </c>
      <c r="R5432" s="12" t="n">
        <v>76</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0.4 %</t>
        </is>
      </c>
      <c r="AA5432" s="12">
        <f>N5432*O5432</f>
        <v/>
      </c>
    </row>
    <row r="5433">
      <c r="A5433" s="12" t="inlineStr">
        <is>
          <t>I-P-0269</t>
        </is>
      </c>
      <c r="B5433" s="12" t="inlineStr">
        <is>
          <t>I</t>
        </is>
      </c>
      <c r="C5433" s="12" t="inlineStr">
        <is>
          <t>Modular / portable power</t>
        </is>
      </c>
      <c r="D5433" s="12" t="inlineStr">
        <is>
          <t>SC-1 480 V welding receptacle 2</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LV|3/C+G|2</t>
        </is>
      </c>
      <c r="L5433" s="12" t="inlineStr">
        <is>
          <t>3/C+G</t>
        </is>
      </c>
      <c r="M5433" s="12" t="inlineStr">
        <is>
          <t>2</t>
        </is>
      </c>
      <c r="N5433" s="12" t="n">
        <v>1</v>
      </c>
      <c r="O5433" s="12" t="n">
        <v>1</v>
      </c>
      <c r="P5433" s="12" t="n">
        <v>480</v>
      </c>
      <c r="Q5433" s="12" t="n">
        <v>60</v>
      </c>
      <c r="R5433" s="12" t="n">
        <v>76</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0.4 %</t>
        </is>
      </c>
      <c r="AA5433" s="12">
        <f>N5433*O5433</f>
        <v/>
      </c>
    </row>
    <row r="5434">
      <c r="A5434" s="12" t="inlineStr">
        <is>
          <t>I-P-0270</t>
        </is>
      </c>
      <c r="B5434" s="12" t="inlineStr">
        <is>
          <t>I</t>
        </is>
      </c>
      <c r="C5434" s="12" t="inlineStr">
        <is>
          <t>Modular / portable power</t>
        </is>
      </c>
      <c r="D5434" s="12" t="inlineStr">
        <is>
          <t>Motor 1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I-P-0271</t>
        </is>
      </c>
      <c r="B5435" s="12" t="inlineStr">
        <is>
          <t>I</t>
        </is>
      </c>
      <c r="C5435" s="12" t="inlineStr">
        <is>
          <t>Modular / portable power</t>
        </is>
      </c>
      <c r="D5435" s="12" t="inlineStr">
        <is>
          <t>Motor 2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I-P-0272</t>
        </is>
      </c>
      <c r="B5436" s="12" t="inlineStr">
        <is>
          <t>I</t>
        </is>
      </c>
      <c r="C5436" s="12" t="inlineStr">
        <is>
          <t>Modular / portable power</t>
        </is>
      </c>
      <c r="D5436" s="12" t="inlineStr">
        <is>
          <t>Motor 3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I-P-0273</t>
        </is>
      </c>
      <c r="B5437" s="12" t="inlineStr">
        <is>
          <t>I</t>
        </is>
      </c>
      <c r="C5437" s="12" t="inlineStr">
        <is>
          <t>Modular / portable power</t>
        </is>
      </c>
      <c r="D5437" s="12" t="inlineStr">
        <is>
          <t>Motor 4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I-P-0274</t>
        </is>
      </c>
      <c r="B5438" s="12" t="inlineStr">
        <is>
          <t>I</t>
        </is>
      </c>
      <c r="C5438" s="12" t="inlineStr">
        <is>
          <t>Modular / portable power</t>
        </is>
      </c>
      <c r="D5438" s="12" t="inlineStr">
        <is>
          <t>Motor 5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I-P-0275</t>
        </is>
      </c>
      <c r="B5439" s="12" t="inlineStr">
        <is>
          <t>I</t>
        </is>
      </c>
      <c r="C5439" s="12" t="inlineStr">
        <is>
          <t>Modular / portable power</t>
        </is>
      </c>
      <c r="D5439" s="12" t="inlineStr">
        <is>
          <t>Motor 6 of 10, 30 kW</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LV|3/C+G|6</t>
        </is>
      </c>
      <c r="L5439" s="12" t="inlineStr">
        <is>
          <t>3/C+G</t>
        </is>
      </c>
      <c r="M5439" s="12" t="inlineStr">
        <is>
          <t>6</t>
        </is>
      </c>
      <c r="N5439" s="12" t="n">
        <v>1</v>
      </c>
      <c r="O5439" s="12" t="n">
        <v>1</v>
      </c>
      <c r="P5439" s="12" t="n">
        <v>480</v>
      </c>
      <c r="Q5439" s="12" t="n">
        <v>30</v>
      </c>
      <c r="R5439" s="12" t="n">
        <v>42.5</v>
      </c>
      <c r="S5439" s="12" t="inlineStr">
        <is>
          <t>Tray</t>
        </is>
      </c>
      <c r="T5439" s="15" t="n">
        <v>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VD 0.6 %</t>
        </is>
      </c>
      <c r="AA5439" s="12">
        <f>N5439*O5439</f>
        <v/>
      </c>
    </row>
    <row r="5440">
      <c r="A5440" s="12" t="inlineStr">
        <is>
          <t>I-P-0276</t>
        </is>
      </c>
      <c r="B5440" s="12" t="inlineStr">
        <is>
          <t>I</t>
        </is>
      </c>
      <c r="C5440" s="12" t="inlineStr">
        <is>
          <t>Modular / portable power</t>
        </is>
      </c>
      <c r="D5440" s="12" t="inlineStr">
        <is>
          <t>Motor 7 of 10, 30 kW</t>
        </is>
      </c>
      <c r="E5440" s="12" t="inlineStr"/>
      <c r="F5440" s="12" t="inlineStr">
        <is>
          <t>SC-1 PCM + 15 kV GCB</t>
        </is>
      </c>
      <c r="G5440" s="12" t="inlineStr">
        <is>
          <t>SC-1</t>
        </is>
      </c>
      <c r="H5440" s="12" t="inlineStr">
        <is>
          <t>SC-1: aeroderivative simple-cycle unit (LM6000 class)</t>
        </is>
      </c>
      <c r="I5440" s="12" t="inlineStr">
        <is>
          <t>LV 600 V</t>
        </is>
      </c>
      <c r="J5440" s="12" t="inlineStr">
        <is>
          <t>Type TC-ER 600 V 3/C Cu XHHW-2 + ground, PVC jacket</t>
        </is>
      </c>
      <c r="K5440" s="12" t="inlineStr">
        <is>
          <t>LV|3/C+G|6</t>
        </is>
      </c>
      <c r="L5440" s="12" t="inlineStr">
        <is>
          <t>3/C+G</t>
        </is>
      </c>
      <c r="M5440" s="12" t="inlineStr">
        <is>
          <t>6</t>
        </is>
      </c>
      <c r="N5440" s="12" t="n">
        <v>1</v>
      </c>
      <c r="O5440" s="12" t="n">
        <v>1</v>
      </c>
      <c r="P5440" s="12" t="n">
        <v>480</v>
      </c>
      <c r="Q5440" s="12" t="n">
        <v>30</v>
      </c>
      <c r="R5440" s="12" t="n">
        <v>42.5</v>
      </c>
      <c r="S5440" s="12" t="inlineStr">
        <is>
          <t>Tray</t>
        </is>
      </c>
      <c r="T5440" s="15" t="n">
        <v>5</v>
      </c>
      <c r="U5440" s="15" t="n">
        <v>62</v>
      </c>
      <c r="V5440" s="15">
        <f>ROUNDUP((T5440+U5440+2*'Read Me'!$B$13)*(1+'Read Me'!$B$12),-1)</f>
        <v/>
      </c>
      <c r="W5440" s="15">
        <f>V5440*N5440*O5440</f>
        <v/>
      </c>
      <c r="X5440" s="12">
        <f>IF(LEFT(I5440,2)="MV",2*N5440*IF(L5440="1/C",O5440,1),0)</f>
        <v/>
      </c>
      <c r="Y5440" s="12">
        <f>IF(OR(LEFT(K5440,4)="LVAX",LEFT(K5440,6)="MV15AX",LEFT(K5440,4)="CTAX",LEFT(K5440,2)="W|"),2*N5440*O5440,0)</f>
        <v/>
      </c>
      <c r="Z5440" s="12" t="inlineStr">
        <is>
          <t>VD 0.6 %</t>
        </is>
      </c>
      <c r="AA5440" s="12">
        <f>N5440*O5440</f>
        <v/>
      </c>
    </row>
    <row r="5441">
      <c r="A5441" s="12" t="inlineStr">
        <is>
          <t>I-P-0277</t>
        </is>
      </c>
      <c r="B5441" s="12" t="inlineStr">
        <is>
          <t>I</t>
        </is>
      </c>
      <c r="C5441" s="12" t="inlineStr">
        <is>
          <t>Modular / portable power</t>
        </is>
      </c>
      <c r="D5441" s="12" t="inlineStr">
        <is>
          <t>Motor 8 of 10, 30 kW</t>
        </is>
      </c>
      <c r="E5441" s="12" t="inlineStr"/>
      <c r="F5441" s="12" t="inlineStr">
        <is>
          <t>SC-1 PCM + 15 kV GCB</t>
        </is>
      </c>
      <c r="G5441" s="12" t="inlineStr">
        <is>
          <t>SC-1</t>
        </is>
      </c>
      <c r="H5441" s="12" t="inlineStr">
        <is>
          <t>SC-1: aeroderivative simple-cycle unit (LM6000 class)</t>
        </is>
      </c>
      <c r="I5441" s="12" t="inlineStr">
        <is>
          <t>LV 600 V</t>
        </is>
      </c>
      <c r="J5441" s="12" t="inlineStr">
        <is>
          <t>Type TC-ER 600 V 3/C Cu XHHW-2 + ground, PVC jacket</t>
        </is>
      </c>
      <c r="K5441" s="12" t="inlineStr">
        <is>
          <t>LV|3/C+G|6</t>
        </is>
      </c>
      <c r="L5441" s="12" t="inlineStr">
        <is>
          <t>3/C+G</t>
        </is>
      </c>
      <c r="M5441" s="12" t="inlineStr">
        <is>
          <t>6</t>
        </is>
      </c>
      <c r="N5441" s="12" t="n">
        <v>1</v>
      </c>
      <c r="O5441" s="12" t="n">
        <v>1</v>
      </c>
      <c r="P5441" s="12" t="n">
        <v>480</v>
      </c>
      <c r="Q5441" s="12" t="n">
        <v>30</v>
      </c>
      <c r="R5441" s="12" t="n">
        <v>42.5</v>
      </c>
      <c r="S5441" s="12" t="inlineStr">
        <is>
          <t>Tray</t>
        </is>
      </c>
      <c r="T5441" s="15" t="n">
        <v>5</v>
      </c>
      <c r="U5441" s="15" t="n">
        <v>62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I-P-0278</t>
        </is>
      </c>
      <c r="B5442" s="12" t="inlineStr">
        <is>
          <t>I</t>
        </is>
      </c>
      <c r="C5442" s="12" t="inlineStr">
        <is>
          <t>Modular / portable power</t>
        </is>
      </c>
      <c r="D5442" s="12" t="inlineStr">
        <is>
          <t>Motor 9 of 10, 30 kW</t>
        </is>
      </c>
      <c r="E5442" s="12" t="inlineStr"/>
      <c r="F5442" s="12" t="inlineStr">
        <is>
          <t>SC-1 PCM + 15 kV GCB</t>
        </is>
      </c>
      <c r="G5442" s="12" t="inlineStr">
        <is>
          <t>SC-1</t>
        </is>
      </c>
      <c r="H5442" s="12" t="inlineStr">
        <is>
          <t>SC-1: aeroderivative simple-cycle unit (LM6000 class)</t>
        </is>
      </c>
      <c r="I5442" s="12" t="inlineStr">
        <is>
          <t>LV 600 V</t>
        </is>
      </c>
      <c r="J5442" s="12" t="inlineStr">
        <is>
          <t>Type TC-ER 600 V 3/C Cu XHHW-2 + ground, PVC jacket</t>
        </is>
      </c>
      <c r="K5442" s="12" t="inlineStr">
        <is>
          <t>LV|3/C+G|6</t>
        </is>
      </c>
      <c r="L5442" s="12" t="inlineStr">
        <is>
          <t>3/C+G</t>
        </is>
      </c>
      <c r="M5442" s="12" t="inlineStr">
        <is>
          <t>6</t>
        </is>
      </c>
      <c r="N5442" s="12" t="n">
        <v>1</v>
      </c>
      <c r="O5442" s="12" t="n">
        <v>1</v>
      </c>
      <c r="P5442" s="12" t="n">
        <v>480</v>
      </c>
      <c r="Q5442" s="12" t="n">
        <v>30</v>
      </c>
      <c r="R5442" s="12" t="n">
        <v>42.5</v>
      </c>
      <c r="S5442" s="12" t="inlineStr">
        <is>
          <t>Tray</t>
        </is>
      </c>
      <c r="T5442" s="15" t="n">
        <v>5</v>
      </c>
      <c r="U5442" s="15" t="n">
        <v>62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I-P-0279</t>
        </is>
      </c>
      <c r="B5443" s="12" t="inlineStr">
        <is>
          <t>I</t>
        </is>
      </c>
      <c r="C5443" s="12" t="inlineStr">
        <is>
          <t>Modular / portable power</t>
        </is>
      </c>
      <c r="D5443" s="12" t="inlineStr">
        <is>
          <t>Motor 10 of 10, 30 kW</t>
        </is>
      </c>
      <c r="E5443" s="12" t="inlineStr"/>
      <c r="F5443" s="12" t="inlineStr">
        <is>
          <t>SC-1 PCM + 15 kV GCB</t>
        </is>
      </c>
      <c r="G5443" s="12" t="inlineStr">
        <is>
          <t>SC-1</t>
        </is>
      </c>
      <c r="H5443" s="12" t="inlineStr">
        <is>
          <t>SC-1: aeroderivative simple-cycle unit (LM6000 class)</t>
        </is>
      </c>
      <c r="I5443" s="12" t="inlineStr">
        <is>
          <t>LV 600 V</t>
        </is>
      </c>
      <c r="J5443" s="12" t="inlineStr">
        <is>
          <t>Type TC-ER 600 V 3/C Cu XHHW-2 + ground, PVC jacket</t>
        </is>
      </c>
      <c r="K5443" s="12" t="inlineStr">
        <is>
          <t>LV|3/C+G|6</t>
        </is>
      </c>
      <c r="L5443" s="12" t="inlineStr">
        <is>
          <t>3/C+G</t>
        </is>
      </c>
      <c r="M5443" s="12" t="inlineStr">
        <is>
          <t>6</t>
        </is>
      </c>
      <c r="N5443" s="12" t="n">
        <v>1</v>
      </c>
      <c r="O5443" s="12" t="n">
        <v>1</v>
      </c>
      <c r="P5443" s="12" t="n">
        <v>480</v>
      </c>
      <c r="Q5443" s="12" t="n">
        <v>30</v>
      </c>
      <c r="R5443" s="12" t="n">
        <v>42.5</v>
      </c>
      <c r="S5443" s="12" t="inlineStr">
        <is>
          <t>Tray</t>
        </is>
      </c>
      <c r="T5443" s="15" t="n">
        <v>5</v>
      </c>
      <c r="U5443" s="15" t="n">
        <v>62</v>
      </c>
      <c r="V5443" s="15">
        <f>ROUNDUP((T5443+U5443+2*'Read Me'!$B$13)*(1+'Read Me'!$B$12),-1)</f>
        <v/>
      </c>
      <c r="W5443" s="15">
        <f>V5443*N5443*O5443</f>
        <v/>
      </c>
      <c r="X5443" s="12">
        <f>IF(LEFT(I5443,2)="MV",2*N5443*IF(L5443="1/C",O5443,1),0)</f>
        <v/>
      </c>
      <c r="Y5443" s="12">
        <f>IF(OR(LEFT(K5443,4)="LVAX",LEFT(K5443,6)="MV15AX",LEFT(K5443,4)="CTAX",LEFT(K5443,2)="W|"),2*N5443*O5443,0)</f>
        <v/>
      </c>
      <c r="Z5443" s="12" t="inlineStr">
        <is>
          <t>VD 0.6 %</t>
        </is>
      </c>
      <c r="AA5443" s="12">
        <f>N5443*O5443</f>
        <v/>
      </c>
    </row>
    <row r="5444">
      <c r="A5444" s="12" t="inlineStr">
        <is>
          <t>I-P-0280</t>
        </is>
      </c>
      <c r="B5444" s="12" t="inlineStr">
        <is>
          <t>I</t>
        </is>
      </c>
      <c r="C5444" s="12" t="inlineStr">
        <is>
          <t>Modular / portable power</t>
        </is>
      </c>
      <c r="D5444" s="12" t="inlineStr">
        <is>
          <t>Area / platform lighting circuit 1 (8 fixtures)</t>
        </is>
      </c>
      <c r="E5444" s="12" t="inlineStr"/>
      <c r="F5444" s="12" t="inlineStr">
        <is>
          <t>SC-1 PCM + 15 kV GCB</t>
        </is>
      </c>
      <c r="G5444" s="12" t="inlineStr">
        <is>
          <t>SC-1</t>
        </is>
      </c>
      <c r="H5444" s="12" t="inlineStr">
        <is>
          <t>SC-1: aeroderivative simple-cycle unit (LM6000 class)</t>
        </is>
      </c>
      <c r="I5444" s="12" t="inlineStr">
        <is>
          <t>LV 600 V</t>
        </is>
      </c>
      <c r="J5444" s="12" t="inlineStr">
        <is>
          <t>Type TC-ER 600 V 3/C Cu XHHW-2 + ground, PVC jacket</t>
        </is>
      </c>
      <c r="K5444" s="12" t="inlineStr">
        <is>
          <t>LV|3/C+G|10</t>
        </is>
      </c>
      <c r="L5444" s="12" t="inlineStr">
        <is>
          <t>3/C+G</t>
        </is>
      </c>
      <c r="M5444" s="12" t="inlineStr">
        <is>
          <t>10</t>
        </is>
      </c>
      <c r="N5444" s="12" t="n">
        <v>1</v>
      </c>
      <c r="O5444" s="12" t="n">
        <v>1</v>
      </c>
      <c r="P5444" s="12" t="n">
        <v>480</v>
      </c>
      <c r="Q5444" s="12" t="n">
        <v>3</v>
      </c>
      <c r="R5444" s="12" t="n">
        <v>5</v>
      </c>
      <c r="S5444" s="12" t="inlineStr">
        <is>
          <t>Tray</t>
        </is>
      </c>
      <c r="T5444" s="15" t="n">
        <v>305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fixture-to-fixture run included</t>
        </is>
      </c>
      <c r="AA5444" s="12">
        <f>N5444*O5444</f>
        <v/>
      </c>
    </row>
    <row r="5445">
      <c r="A5445" s="12" t="inlineStr">
        <is>
          <t>I-P-0281</t>
        </is>
      </c>
      <c r="B5445" s="12" t="inlineStr">
        <is>
          <t>I</t>
        </is>
      </c>
      <c r="C5445" s="12" t="inlineStr">
        <is>
          <t>Modular / portable power</t>
        </is>
      </c>
      <c r="D5445" s="12" t="inlineStr">
        <is>
          <t>SC-2 CEMS shelter panel: analysers, heated sample line, lighting</t>
        </is>
      </c>
      <c r="E5445" s="12" t="inlineStr"/>
      <c r="F5445" s="12" t="inlineStr">
        <is>
          <t>SC-2 PCM + 15 kV GCB</t>
        </is>
      </c>
      <c r="G5445" s="12" t="inlineStr"/>
      <c r="H5445" s="12" t="inlineStr">
        <is>
          <t>SC-2 CEMS shelter</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15</v>
      </c>
      <c r="R5445" s="12" t="n">
        <v>19</v>
      </c>
      <c r="S5445" s="12" t="inlineStr">
        <is>
          <t>Duct bank</t>
        </is>
      </c>
      <c r="T5445" s="15" t="n">
        <v>74</v>
      </c>
      <c r="U5445" s="15" t="n">
        <v>112</v>
      </c>
      <c r="V5445" s="15">
        <f>ROUNDUP((T5445+U5445+2*'Read Me'!$B$13)*(1+'Read Me'!$B$12),-1)</f>
        <v/>
      </c>
      <c r="W5445" s="15">
        <f>V5445*N5445*O5445</f>
        <v/>
      </c>
      <c r="X5445" s="12">
        <f>IF(LEFT(I5445,2)="MV",2*N5445*IF(L5445="1/C",O5445,1),0)</f>
        <v/>
      </c>
      <c r="Y5445" s="12">
        <f>IF(OR(LEFT(K5445,4)="LVAX",LEFT(K5445,6)="MV15AX",LEFT(K5445,4)="CTAX",LEFT(K5445,2)="W|"),2*N5445*O5445,0)</f>
        <v/>
      </c>
      <c r="Z5445" s="12" t="inlineStr">
        <is>
          <t>VD 1.7 %</t>
        </is>
      </c>
      <c r="AA5445" s="12">
        <f>N5445*O5445</f>
        <v/>
      </c>
    </row>
    <row r="5446">
      <c r="A5446" s="12" t="inlineStr">
        <is>
          <t>I-P-0282</t>
        </is>
      </c>
      <c r="B5446" s="12" t="inlineStr">
        <is>
          <t>I</t>
        </is>
      </c>
      <c r="C5446" s="12" t="inlineStr">
        <is>
          <t>Modular / portable power</t>
        </is>
      </c>
      <c r="D5446" s="12" t="inlineStr">
        <is>
          <t>Motor 1 of 2, 5 kW</t>
        </is>
      </c>
      <c r="E5446" s="12" t="inlineStr"/>
      <c r="F5446" s="12" t="inlineStr">
        <is>
          <t>SC-2 PCM + 15 kV GCB</t>
        </is>
      </c>
      <c r="G5446" s="12" t="inlineStr"/>
      <c r="H5446" s="12" t="inlineStr">
        <is>
          <t>SC-2 CEMS shelter</t>
        </is>
      </c>
      <c r="I5446" s="12" t="inlineStr">
        <is>
          <t>LV 600 V</t>
        </is>
      </c>
      <c r="J5446" s="12" t="inlineStr">
        <is>
          <t>Type TC-ER 600 V 3/C Cu XHHW-2 + ground, PVC jacket</t>
        </is>
      </c>
      <c r="K5446" s="12" t="inlineStr">
        <is>
          <t>LV|3/C+G|10</t>
        </is>
      </c>
      <c r="L5446" s="12" t="inlineStr">
        <is>
          <t>3/C+G</t>
        </is>
      </c>
      <c r="M5446" s="12" t="inlineStr">
        <is>
          <t>10</t>
        </is>
      </c>
      <c r="N5446" s="12" t="n">
        <v>1</v>
      </c>
      <c r="O5446" s="12" t="n">
        <v>1</v>
      </c>
      <c r="P5446" s="12" t="n">
        <v>480</v>
      </c>
      <c r="Q5446" s="12" t="n">
        <v>5</v>
      </c>
      <c r="R5446" s="12" t="n">
        <v>7.1</v>
      </c>
      <c r="S5446" s="12" t="inlineStr">
        <is>
          <t>Duct bank</t>
        </is>
      </c>
      <c r="T5446" s="15" t="n">
        <v>74</v>
      </c>
      <c r="U5446" s="15" t="n">
        <v>112</v>
      </c>
      <c r="V5446" s="15">
        <f>ROUNDUP((T5446+U5446+2*'Read Me'!$B$13)*(1+'Read Me'!$B$12),-1)</f>
        <v/>
      </c>
      <c r="W5446" s="15">
        <f>V5446*N5446*O5446</f>
        <v/>
      </c>
      <c r="X5446" s="12">
        <f>IF(LEFT(I5446,2)="MV",2*N5446*IF(L5446="1/C",O5446,1),0)</f>
        <v/>
      </c>
      <c r="Y5446" s="12">
        <f>IF(OR(LEFT(K5446,4)="LVAX",LEFT(K5446,6)="MV15AX",LEFT(K5446,4)="CTAX",LEFT(K5446,2)="W|"),2*N5446*O5446,0)</f>
        <v/>
      </c>
      <c r="Z5446" s="12" t="inlineStr">
        <is>
          <t>VD 0.6 %</t>
        </is>
      </c>
      <c r="AA5446" s="12">
        <f>N5446*O5446</f>
        <v/>
      </c>
    </row>
    <row r="5447">
      <c r="A5447" s="12" t="inlineStr">
        <is>
          <t>I-P-0283</t>
        </is>
      </c>
      <c r="B5447" s="12" t="inlineStr">
        <is>
          <t>I</t>
        </is>
      </c>
      <c r="C5447" s="12" t="inlineStr">
        <is>
          <t>Modular / portable power</t>
        </is>
      </c>
      <c r="D5447" s="12" t="inlineStr">
        <is>
          <t>Motor 2 of 2, 5 kW</t>
        </is>
      </c>
      <c r="E5447" s="12" t="inlineStr"/>
      <c r="F5447" s="12" t="inlineStr">
        <is>
          <t>SC-2 PCM + 15 kV GCB</t>
        </is>
      </c>
      <c r="G5447" s="12" t="inlineStr"/>
      <c r="H5447" s="12" t="inlineStr">
        <is>
          <t>SC-2 CEMS shelter</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5</v>
      </c>
      <c r="R5447" s="12" t="n">
        <v>7.1</v>
      </c>
      <c r="S5447" s="12" t="inlineStr">
        <is>
          <t>Duct bank</t>
        </is>
      </c>
      <c r="T5447" s="15" t="n">
        <v>74</v>
      </c>
      <c r="U5447" s="15" t="n">
        <v>112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I-P-0284</t>
        </is>
      </c>
      <c r="B5448" s="12" t="inlineStr">
        <is>
          <t>I</t>
        </is>
      </c>
      <c r="C5448" s="12" t="inlineStr">
        <is>
          <t>Modular / portable power</t>
        </is>
      </c>
      <c r="D5448" s="12" t="inlineStr">
        <is>
          <t>SC-2 125 V DC battery to charger / DC panel</t>
        </is>
      </c>
      <c r="E5448" s="12" t="inlineStr"/>
      <c r="F5448" s="12" t="inlineStr">
        <is>
          <t>SC-2 PCM + 15 kV GCB</t>
        </is>
      </c>
      <c r="G5448" s="12" t="inlineStr"/>
      <c r="H5448" s="12" t="inlineStr">
        <is>
          <t>SC-2 PCM + 15 kV GCB</t>
        </is>
      </c>
      <c r="I5448" s="12" t="inlineStr">
        <is>
          <t>LV 600 V</t>
        </is>
      </c>
      <c r="J5448" s="12" t="inlineStr">
        <is>
          <t>XHHW-2 600 V 1/C Cu (feeder sets in tray / duct)</t>
        </is>
      </c>
      <c r="K5448" s="12" t="inlineStr">
        <is>
          <t>LV1C|1/C|4/0</t>
        </is>
      </c>
      <c r="L5448" s="12" t="inlineStr">
        <is>
          <t>1/C</t>
        </is>
      </c>
      <c r="M5448" s="12" t="inlineStr">
        <is>
          <t>4/0</t>
        </is>
      </c>
      <c r="N5448" s="12" t="n">
        <v>1</v>
      </c>
      <c r="O5448" s="12" t="n">
        <v>2</v>
      </c>
      <c r="P5448" s="12" t="n">
        <v>125</v>
      </c>
      <c r="Q5448" s="12" t="n"/>
      <c r="R5448" s="12" t="n"/>
      <c r="S5448" s="12" t="inlineStr">
        <is>
          <t>Tray</t>
        </is>
      </c>
      <c r="T5448" s="15" t="n">
        <v>15</v>
      </c>
      <c r="U5448" s="15" t="n">
        <v>5</v>
      </c>
      <c r="V5448" s="15">
        <f>ROUNDUP((T5448+U5448+2*'Read Me'!$B$13)*(1+'Read Me'!$B$12),-1)</f>
        <v/>
      </c>
      <c r="W5448" s="15">
        <f>V5448*N5448*O5448</f>
        <v/>
      </c>
      <c r="X5448" s="12">
        <f>IF(LEFT(I5448,2)="MV",2*N5448*IF(L5448="1/C",O5448,1),0)</f>
        <v/>
      </c>
      <c r="Y5448" s="12">
        <f>IF(OR(LEFT(K5448,4)="LVAX",LEFT(K5448,6)="MV15AX",LEFT(K5448,4)="CTAX",LEFT(K5448,2)="W|"),2*N5448*O5448,0)</f>
        <v/>
      </c>
      <c r="Z5448" s="12" t="inlineStr">
        <is>
          <t>battery rack inside the PCM</t>
        </is>
      </c>
      <c r="AA5448" s="12">
        <f>N5448*O5448</f>
        <v/>
      </c>
    </row>
    <row r="5449">
      <c r="A5449" s="12" t="inlineStr">
        <is>
          <t>I-P-0285</t>
        </is>
      </c>
      <c r="B5449" s="12" t="inlineStr">
        <is>
          <t>I</t>
        </is>
      </c>
      <c r="C5449" s="12" t="inlineStr">
        <is>
          <t>Modular / portable power</t>
        </is>
      </c>
      <c r="D5449" s="12" t="inlineStr">
        <is>
          <t>SC-2 PCM lighting, receptacles and HVAC (from its own 480 V board)</t>
        </is>
      </c>
      <c r="E5449" s="12" t="inlineStr"/>
      <c r="F5449" s="12" t="inlineStr">
        <is>
          <t>SC-2 PCM + 15 kV GCB</t>
        </is>
      </c>
      <c r="G5449" s="12" t="inlineStr"/>
      <c r="H5449" s="12" t="inlineStr">
        <is>
          <t>SC-2 PCM + 15 kV GCB</t>
        </is>
      </c>
      <c r="I5449" s="12" t="inlineStr">
        <is>
          <t>LV 600 V</t>
        </is>
      </c>
      <c r="J5449" s="12" t="inlineStr">
        <is>
          <t>Type TC-ER 600 V 3/C Cu XHHW-2 + ground, PVC jacket</t>
        </is>
      </c>
      <c r="K5449" s="12" t="inlineStr">
        <is>
          <t>LV|3/C+G|2</t>
        </is>
      </c>
      <c r="L5449" s="12" t="inlineStr">
        <is>
          <t>3/C+G</t>
        </is>
      </c>
      <c r="M5449" s="12" t="inlineStr">
        <is>
          <t>2</t>
        </is>
      </c>
      <c r="N5449" s="12" t="n">
        <v>1</v>
      </c>
      <c r="O5449" s="12" t="n">
        <v>1</v>
      </c>
      <c r="P5449" s="12" t="n">
        <v>480</v>
      </c>
      <c r="Q5449" s="12" t="n">
        <v>40</v>
      </c>
      <c r="R5449" s="12" t="n"/>
      <c r="S5449" s="12" t="inlineStr">
        <is>
          <t>Tray</t>
        </is>
      </c>
      <c r="T5449" s="15" t="n">
        <v>80</v>
      </c>
      <c r="U5449" s="15" t="n">
        <v>10</v>
      </c>
      <c r="V5449" s="15">
        <f>ROUNDUP((T5449+U5449+2*'Read Me'!$B$13)*(1+'Read Me'!$B$12),-1)</f>
        <v/>
      </c>
      <c r="W5449" s="15">
        <f>V5449*N5449*O5449</f>
        <v/>
      </c>
      <c r="X5449" s="12">
        <f>IF(LEFT(I5449,2)="MV",2*N5449*IF(L5449="1/C",O5449,1),0)</f>
        <v/>
      </c>
      <c r="Y5449" s="12">
        <f>IF(OR(LEFT(K5449,4)="LVAX",LEFT(K5449,6)="MV15AX",LEFT(K5449,4)="CTAX",LEFT(K5449,2)="W|"),2*N5449*O5449,0)</f>
        <v/>
      </c>
      <c r="Z5449" s="12" t="inlineStr">
        <is>
          <t>internal to the PCM; aux transformer 13.8 kV / 480 V inside</t>
        </is>
      </c>
      <c r="AA5449" s="12">
        <f>N5449*O5449</f>
        <v/>
      </c>
    </row>
    <row r="5450">
      <c r="A5450" s="12" t="inlineStr">
        <is>
          <t>I-P-0286</t>
        </is>
      </c>
      <c r="B5450" s="12" t="inlineStr">
        <is>
          <t>I</t>
        </is>
      </c>
      <c r="C5450" s="12" t="inlineStr">
        <is>
          <t>Modular / portable power</t>
        </is>
      </c>
      <c r="D5450" s="12" t="inlineStr">
        <is>
          <t>Area / platform lighting circuit 1 (10 fixtures)</t>
        </is>
      </c>
      <c r="E5450" s="12" t="inlineStr"/>
      <c r="F5450" s="12" t="inlineStr">
        <is>
          <t>SC-2 PCM + 15 kV GCB</t>
        </is>
      </c>
      <c r="G5450" s="12" t="inlineStr"/>
      <c r="H5450" s="12" t="inlineStr">
        <is>
          <t>SC-2 SCR / CO catalyst</t>
        </is>
      </c>
      <c r="I5450" s="12" t="inlineStr">
        <is>
          <t>LV 600 V</t>
        </is>
      </c>
      <c r="J5450" s="12" t="inlineStr">
        <is>
          <t>Type TC-ER 600 V 3/C Cu XHHW-2 + ground, PVC jacket</t>
        </is>
      </c>
      <c r="K5450" s="12" t="inlineStr">
        <is>
          <t>LV|3/C+G|10</t>
        </is>
      </c>
      <c r="L5450" s="12" t="inlineStr">
        <is>
          <t>3/C+G</t>
        </is>
      </c>
      <c r="M5450" s="12" t="inlineStr">
        <is>
          <t>10</t>
        </is>
      </c>
      <c r="N5450" s="12" t="n">
        <v>1</v>
      </c>
      <c r="O5450" s="12" t="n">
        <v>1</v>
      </c>
      <c r="P5450" s="12" t="n">
        <v>480</v>
      </c>
      <c r="Q5450" s="12" t="n">
        <v>3</v>
      </c>
      <c r="R5450" s="12" t="n">
        <v>5</v>
      </c>
      <c r="S5450" s="12" t="inlineStr">
        <is>
          <t>Duct bank</t>
        </is>
      </c>
      <c r="T5450" s="15" t="n">
        <v>348</v>
      </c>
      <c r="U5450" s="15" t="n">
        <v>64</v>
      </c>
      <c r="V5450" s="15">
        <f>ROUNDUP((T5450+U5450+2*'Read Me'!$B$13)*(1+'Read Me'!$B$12),-1)</f>
        <v/>
      </c>
      <c r="W5450" s="15">
        <f>V5450*N5450*O5450</f>
        <v/>
      </c>
      <c r="X5450" s="12">
        <f>IF(LEFT(I5450,2)="MV",2*N5450*IF(L5450="1/C",O5450,1),0)</f>
        <v/>
      </c>
      <c r="Y5450" s="12">
        <f>IF(OR(LEFT(K5450,4)="LVAX",LEFT(K5450,6)="MV15AX",LEFT(K5450,4)="CTAX",LEFT(K5450,2)="W|"),2*N5450*O5450,0)</f>
        <v/>
      </c>
      <c r="Z5450" s="12" t="inlineStr">
        <is>
          <t>fixture-to-fixture run included</t>
        </is>
      </c>
      <c r="AA5450" s="12">
        <f>N5450*O5450</f>
        <v/>
      </c>
    </row>
    <row r="5451">
      <c r="A5451" s="12" t="inlineStr">
        <is>
          <t>I-P-0287</t>
        </is>
      </c>
      <c r="B5451" s="12" t="inlineStr">
        <is>
          <t>I</t>
        </is>
      </c>
      <c r="C5451" s="12" t="inlineStr">
        <is>
          <t>Modular / portable power</t>
        </is>
      </c>
      <c r="D5451" s="12" t="inlineStr">
        <is>
          <t>SC-2 ammonia vaporiser electric heater</t>
        </is>
      </c>
      <c r="E5451" s="12" t="inlineStr"/>
      <c r="F5451" s="12" t="inlineStr">
        <is>
          <t>SC-2 PCM + 15 kV GCB</t>
        </is>
      </c>
      <c r="G5451" s="12" t="inlineStr"/>
      <c r="H5451" s="12" t="inlineStr">
        <is>
          <t>SC-2 ammonia flow-control unit</t>
        </is>
      </c>
      <c r="I5451" s="12" t="inlineStr">
        <is>
          <t>LV 600 V</t>
        </is>
      </c>
      <c r="J5451" s="12" t="inlineStr">
        <is>
          <t>Type TC-ER 600 V 3/C Cu XHHW-2 + ground, PVC jacket</t>
        </is>
      </c>
      <c r="K5451" s="12" t="inlineStr">
        <is>
          <t>LV|3/C+G|4</t>
        </is>
      </c>
      <c r="L5451" s="12" t="inlineStr">
        <is>
          <t>3/C+G</t>
        </is>
      </c>
      <c r="M5451" s="12" t="inlineStr">
        <is>
          <t>4</t>
        </is>
      </c>
      <c r="N5451" s="12" t="n">
        <v>1</v>
      </c>
      <c r="O5451" s="12" t="n">
        <v>1</v>
      </c>
      <c r="P5451" s="12" t="n">
        <v>480</v>
      </c>
      <c r="Q5451" s="12" t="n">
        <v>45</v>
      </c>
      <c r="R5451" s="12" t="n">
        <v>57</v>
      </c>
      <c r="S5451" s="12" t="inlineStr">
        <is>
          <t>Duct bank</t>
        </is>
      </c>
      <c r="T5451" s="15" t="n">
        <v>48</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0.8 %</t>
        </is>
      </c>
      <c r="AA5451" s="12">
        <f>N5451*O5451</f>
        <v/>
      </c>
    </row>
    <row r="5452">
      <c r="A5452" s="12" t="inlineStr">
        <is>
          <t>I-P-0288</t>
        </is>
      </c>
      <c r="B5452" s="12" t="inlineStr">
        <is>
          <t>I</t>
        </is>
      </c>
      <c r="C5452" s="12" t="inlineStr">
        <is>
          <t>Modular / portable power</t>
        </is>
      </c>
      <c r="D5452" s="12" t="inlineStr">
        <is>
          <t>Motor 1 of 2, 7.5 kW</t>
        </is>
      </c>
      <c r="E5452" s="12" t="inlineStr"/>
      <c r="F5452" s="12" t="inlineStr">
        <is>
          <t>SC-2 PCM + 15 kV GCB</t>
        </is>
      </c>
      <c r="G5452" s="12" t="inlineStr"/>
      <c r="H5452" s="12" t="inlineStr">
        <is>
          <t>SC-2 ammonia flow-control unit</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7.5</v>
      </c>
      <c r="R5452" s="12" t="n">
        <v>10.6</v>
      </c>
      <c r="S5452" s="12" t="inlineStr">
        <is>
          <t>Duct bank</t>
        </is>
      </c>
      <c r="T5452" s="15" t="n">
        <v>48</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I-P-0289</t>
        </is>
      </c>
      <c r="B5453" s="12" t="inlineStr">
        <is>
          <t>I</t>
        </is>
      </c>
      <c r="C5453" s="12" t="inlineStr">
        <is>
          <t>Modular / portable power</t>
        </is>
      </c>
      <c r="D5453" s="12" t="inlineStr">
        <is>
          <t>Motor 2 of 2, 7.5 kW</t>
        </is>
      </c>
      <c r="E5453" s="12" t="inlineStr"/>
      <c r="F5453" s="12" t="inlineStr">
        <is>
          <t>SC-2 PCM + 15 kV GCB</t>
        </is>
      </c>
      <c r="G5453" s="12" t="inlineStr"/>
      <c r="H5453" s="12" t="inlineStr">
        <is>
          <t>SC-2 ammonia flow-control unit</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7.5</v>
      </c>
      <c r="R5453" s="12" t="n">
        <v>10.6</v>
      </c>
      <c r="S5453" s="12" t="inlineStr">
        <is>
          <t>Duct bank</t>
        </is>
      </c>
      <c r="T5453" s="15" t="n">
        <v>48</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I-P-0290</t>
        </is>
      </c>
      <c r="B5454" s="12" t="inlineStr">
        <is>
          <t>I</t>
        </is>
      </c>
      <c r="C5454" s="12" t="inlineStr">
        <is>
          <t>Modular / portable power</t>
        </is>
      </c>
      <c r="D5454" s="12" t="inlineStr">
        <is>
          <t>SC-2 water-wash tank heater</t>
        </is>
      </c>
      <c r="E5454" s="12" t="inlineStr"/>
      <c r="F5454" s="12" t="inlineStr">
        <is>
          <t>SC-2 PCM + 15 kV GCB</t>
        </is>
      </c>
      <c r="G5454" s="12" t="inlineStr"/>
      <c r="H5454" s="12" t="inlineStr">
        <is>
          <t>SC-2 auxiliary skids: fuel-gas module, water-wash skid</t>
        </is>
      </c>
      <c r="I5454" s="12" t="inlineStr">
        <is>
          <t>LV 600 V</t>
        </is>
      </c>
      <c r="J5454" s="12" t="inlineStr">
        <is>
          <t>ARMOR-X MC-HL 600 V 3/C Cu XHHW-2 + ground, CWA, black PVC (Class I Div 2)</t>
        </is>
      </c>
      <c r="K5454" s="12" t="inlineStr">
        <is>
          <t>LVAX|3/C+G|10</t>
        </is>
      </c>
      <c r="L5454" s="12" t="inlineStr">
        <is>
          <t>3/C+G</t>
        </is>
      </c>
      <c r="M5454" s="12" t="inlineStr">
        <is>
          <t>10</t>
        </is>
      </c>
      <c r="N5454" s="12" t="n">
        <v>1</v>
      </c>
      <c r="O5454" s="12" t="n">
        <v>1</v>
      </c>
      <c r="P5454" s="12" t="n">
        <v>480</v>
      </c>
      <c r="Q5454" s="12" t="n">
        <v>6</v>
      </c>
      <c r="R5454" s="12" t="n">
        <v>7.6</v>
      </c>
      <c r="S5454" s="12" t="inlineStr">
        <is>
          <t>Duct bank</t>
        </is>
      </c>
      <c r="T5454" s="15" t="n">
        <v>10</v>
      </c>
      <c r="U5454" s="15" t="n">
        <v>43</v>
      </c>
      <c r="V5454" s="15">
        <f>ROUNDUP((T5454+U5454+2*'Read Me'!$B$13)*(1+'Read Me'!$B$12),-1)</f>
        <v/>
      </c>
      <c r="W5454" s="15">
        <f>V5454*N5454*O5454</f>
        <v/>
      </c>
      <c r="X5454" s="12">
        <f>IF(LEFT(I5454,2)="MV",2*N5454*IF(L5454="1/C",O5454,1),0)</f>
        <v/>
      </c>
      <c r="Y5454" s="12">
        <f>IF(OR(LEFT(K5454,4)="LVAX",LEFT(K5454,6)="MV15AX",LEFT(K5454,4)="CTAX",LEFT(K5454,2)="W|"),2*N5454*O5454,0)</f>
        <v/>
      </c>
      <c r="Z5454" s="12" t="inlineStr">
        <is>
          <t>VD 0.2 %</t>
        </is>
      </c>
      <c r="AA5454" s="12">
        <f>N5454*O5454</f>
        <v/>
      </c>
    </row>
    <row r="5455">
      <c r="A5455" s="12" t="inlineStr">
        <is>
          <t>I-P-0291</t>
        </is>
      </c>
      <c r="B5455" s="12" t="inlineStr">
        <is>
          <t>I</t>
        </is>
      </c>
      <c r="C5455" s="12" t="inlineStr">
        <is>
          <t>Modular / portable power</t>
        </is>
      </c>
      <c r="D5455" s="12" t="inlineStr">
        <is>
          <t>Motor 1 of 1, 7.5 kW</t>
        </is>
      </c>
      <c r="E5455" s="12" t="inlineStr"/>
      <c r="F5455" s="12" t="inlineStr">
        <is>
          <t>SC-2 PCM + 15 kV GCB</t>
        </is>
      </c>
      <c r="G5455" s="12" t="inlineStr"/>
      <c r="H5455" s="12" t="inlineStr">
        <is>
          <t>SC-2 auxiliary skids: fuel-gas module, water-wash skid</t>
        </is>
      </c>
      <c r="I5455" s="12" t="inlineStr">
        <is>
          <t>LV 600 V</t>
        </is>
      </c>
      <c r="J5455" s="12" t="inlineStr">
        <is>
          <t>ARMOR-X MC-HL 600 V 3/C Cu XHHW-2 + ground, CWA, black PVC (Class I Div 2)</t>
        </is>
      </c>
      <c r="K5455" s="12" t="inlineStr">
        <is>
          <t>LVAX|3/C+G|10</t>
        </is>
      </c>
      <c r="L5455" s="12" t="inlineStr">
        <is>
          <t>3/C+G</t>
        </is>
      </c>
      <c r="M5455" s="12" t="inlineStr">
        <is>
          <t>10</t>
        </is>
      </c>
      <c r="N5455" s="12" t="n">
        <v>1</v>
      </c>
      <c r="O5455" s="12" t="n">
        <v>1</v>
      </c>
      <c r="P5455" s="12" t="n">
        <v>480</v>
      </c>
      <c r="Q5455" s="12" t="n">
        <v>7.5</v>
      </c>
      <c r="R5455" s="12" t="n">
        <v>10.6</v>
      </c>
      <c r="S5455" s="12" t="inlineStr">
        <is>
          <t>Duct bank</t>
        </is>
      </c>
      <c r="T5455" s="15" t="n">
        <v>10</v>
      </c>
      <c r="U5455" s="15" t="n">
        <v>43</v>
      </c>
      <c r="V5455" s="15">
        <f>ROUNDUP((T5455+U5455+2*'Read Me'!$B$13)*(1+'Read Me'!$B$12),-1)</f>
        <v/>
      </c>
      <c r="W5455" s="15">
        <f>V5455*N5455*O5455</f>
        <v/>
      </c>
      <c r="X5455" s="12">
        <f>IF(LEFT(I5455,2)="MV",2*N5455*IF(L5455="1/C",O5455,1),0)</f>
        <v/>
      </c>
      <c r="Y5455" s="12">
        <f>IF(OR(LEFT(K5455,4)="LVAX",LEFT(K5455,6)="MV15AX",LEFT(K5455,4)="CTAX",LEFT(K5455,2)="W|"),2*N5455*O5455,0)</f>
        <v/>
      </c>
      <c r="Z5455" s="12" t="inlineStr">
        <is>
          <t>VD 0.3 %</t>
        </is>
      </c>
      <c r="AA5455" s="12">
        <f>N5455*O5455</f>
        <v/>
      </c>
    </row>
    <row r="5456">
      <c r="A5456" s="12" t="inlineStr">
        <is>
          <t>I-P-0292</t>
        </is>
      </c>
      <c r="B5456" s="12" t="inlineStr">
        <is>
          <t>I</t>
        </is>
      </c>
      <c r="C5456" s="12" t="inlineStr">
        <is>
          <t>Modular / portable power</t>
        </is>
      </c>
      <c r="D5456" s="12" t="inlineStr">
        <is>
          <t>Motor 1 of 4, 15 kW</t>
        </is>
      </c>
      <c r="E5456" s="12" t="inlineStr"/>
      <c r="F5456" s="12" t="inlineStr">
        <is>
          <t>SC-2 PCM + 15 kV GCB</t>
        </is>
      </c>
      <c r="G5456" s="12" t="inlineStr"/>
      <c r="H5456" s="12" t="inlineStr">
        <is>
          <t>SC-2 lube-oil fin-fan cooler</t>
        </is>
      </c>
      <c r="I5456" s="12" t="inlineStr">
        <is>
          <t>LV 600 V</t>
        </is>
      </c>
      <c r="J5456" s="12" t="inlineStr">
        <is>
          <t>Type TC-ER 600 V 3/C Cu XHHW-2 + ground, PVC jacket</t>
        </is>
      </c>
      <c r="K5456" s="12" t="inlineStr">
        <is>
          <t>LV|3/C+G|10</t>
        </is>
      </c>
      <c r="L5456" s="12" t="inlineStr">
        <is>
          <t>3/C+G</t>
        </is>
      </c>
      <c r="M5456" s="12" t="inlineStr">
        <is>
          <t>10</t>
        </is>
      </c>
      <c r="N5456" s="12" t="n">
        <v>1</v>
      </c>
      <c r="O5456" s="12" t="n">
        <v>1</v>
      </c>
      <c r="P5456" s="12" t="n">
        <v>480</v>
      </c>
      <c r="Q5456" s="12" t="n">
        <v>15</v>
      </c>
      <c r="R5456" s="12" t="n">
        <v>21.2</v>
      </c>
      <c r="S5456" s="12" t="inlineStr">
        <is>
          <t>Duct bank</t>
        </is>
      </c>
      <c r="T5456" s="15" t="n">
        <v>4</v>
      </c>
      <c r="U5456" s="15" t="n">
        <v>38</v>
      </c>
      <c r="V5456" s="15">
        <f>ROUNDUP((T5456+U5456+2*'Read Me'!$B$13)*(1+'Read Me'!$B$12),-1)</f>
        <v/>
      </c>
      <c r="W5456" s="15">
        <f>V5456*N5456*O5456</f>
        <v/>
      </c>
      <c r="X5456" s="12">
        <f>IF(LEFT(I5456,2)="MV",2*N5456*IF(L5456="1/C",O5456,1),0)</f>
        <v/>
      </c>
      <c r="Y5456" s="12">
        <f>IF(OR(LEFT(K5456,4)="LVAX",LEFT(K5456,6)="MV15AX",LEFT(K5456,4)="CTAX",LEFT(K5456,2)="W|"),2*N5456*O5456,0)</f>
        <v/>
      </c>
      <c r="Z5456" s="12" t="inlineStr">
        <is>
          <t>VD 0.4 %</t>
        </is>
      </c>
      <c r="AA5456" s="12">
        <f>N5456*O5456</f>
        <v/>
      </c>
    </row>
    <row r="5457">
      <c r="A5457" s="12" t="inlineStr">
        <is>
          <t>I-P-0293</t>
        </is>
      </c>
      <c r="B5457" s="12" t="inlineStr">
        <is>
          <t>I</t>
        </is>
      </c>
      <c r="C5457" s="12" t="inlineStr">
        <is>
          <t>Modular / portable power</t>
        </is>
      </c>
      <c r="D5457" s="12" t="inlineStr">
        <is>
          <t>Motor 2 of 4, 15 kW</t>
        </is>
      </c>
      <c r="E5457" s="12" t="inlineStr"/>
      <c r="F5457" s="12" t="inlineStr">
        <is>
          <t>SC-2 PCM + 15 kV GCB</t>
        </is>
      </c>
      <c r="G5457" s="12" t="inlineStr"/>
      <c r="H5457" s="12" t="inlineStr">
        <is>
          <t>SC-2 lube-oil fin-fan cooler</t>
        </is>
      </c>
      <c r="I5457" s="12" t="inlineStr">
        <is>
          <t>LV 600 V</t>
        </is>
      </c>
      <c r="J5457" s="12" t="inlineStr">
        <is>
          <t>Type TC-ER 600 V 3/C Cu XHHW-2 + ground, PVC jacket</t>
        </is>
      </c>
      <c r="K5457" s="12" t="inlineStr">
        <is>
          <t>LV|3/C+G|10</t>
        </is>
      </c>
      <c r="L5457" s="12" t="inlineStr">
        <is>
          <t>3/C+G</t>
        </is>
      </c>
      <c r="M5457" s="12" t="inlineStr">
        <is>
          <t>10</t>
        </is>
      </c>
      <c r="N5457" s="12" t="n">
        <v>1</v>
      </c>
      <c r="O5457" s="12" t="n">
        <v>1</v>
      </c>
      <c r="P5457" s="12" t="n">
        <v>480</v>
      </c>
      <c r="Q5457" s="12" t="n">
        <v>15</v>
      </c>
      <c r="R5457" s="12" t="n">
        <v>21.2</v>
      </c>
      <c r="S5457" s="12" t="inlineStr">
        <is>
          <t>Duct bank</t>
        </is>
      </c>
      <c r="T5457" s="15" t="n">
        <v>4</v>
      </c>
      <c r="U5457" s="15" t="n">
        <v>38</v>
      </c>
      <c r="V5457" s="15">
        <f>ROUNDUP((T5457+U5457+2*'Read Me'!$B$13)*(1+'Read Me'!$B$12),-1)</f>
        <v/>
      </c>
      <c r="W5457" s="15">
        <f>V5457*N5457*O5457</f>
        <v/>
      </c>
      <c r="X5457" s="12">
        <f>IF(LEFT(I5457,2)="MV",2*N5457*IF(L5457="1/C",O5457,1),0)</f>
        <v/>
      </c>
      <c r="Y5457" s="12">
        <f>IF(OR(LEFT(K5457,4)="LVAX",LEFT(K5457,6)="MV15AX",LEFT(K5457,4)="CTAX",LEFT(K5457,2)="W|"),2*N5457*O5457,0)</f>
        <v/>
      </c>
      <c r="Z5457" s="12" t="inlineStr">
        <is>
          <t>VD 0.4 %</t>
        </is>
      </c>
      <c r="AA5457" s="12">
        <f>N5457*O5457</f>
        <v/>
      </c>
    </row>
    <row r="5458">
      <c r="A5458" s="12" t="inlineStr">
        <is>
          <t>I-P-0294</t>
        </is>
      </c>
      <c r="B5458" s="12" t="inlineStr">
        <is>
          <t>I</t>
        </is>
      </c>
      <c r="C5458" s="12" t="inlineStr">
        <is>
          <t>Modular / portable power</t>
        </is>
      </c>
      <c r="D5458" s="12" t="inlineStr">
        <is>
          <t>Motor 3 of 4, 15 kW</t>
        </is>
      </c>
      <c r="E5458" s="12" t="inlineStr"/>
      <c r="F5458" s="12" t="inlineStr">
        <is>
          <t>SC-2 PCM + 15 kV GCB</t>
        </is>
      </c>
      <c r="G5458" s="12" t="inlineStr"/>
      <c r="H5458" s="12" t="inlineStr">
        <is>
          <t>SC-2 lube-oil fin-fan cooler</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15</v>
      </c>
      <c r="R5458" s="12" t="n">
        <v>21.2</v>
      </c>
      <c r="S5458" s="12" t="inlineStr">
        <is>
          <t>Duct bank</t>
        </is>
      </c>
      <c r="T5458" s="15" t="n">
        <v>4</v>
      </c>
      <c r="U5458" s="15" t="n">
        <v>38</v>
      </c>
      <c r="V5458" s="15">
        <f>ROUNDUP((T5458+U5458+2*'Read Me'!$B$13)*(1+'Read Me'!$B$12),-1)</f>
        <v/>
      </c>
      <c r="W5458" s="15">
        <f>V5458*N5458*O5458</f>
        <v/>
      </c>
      <c r="X5458" s="12">
        <f>IF(LEFT(I5458,2)="MV",2*N5458*IF(L5458="1/C",O5458,1),0)</f>
        <v/>
      </c>
      <c r="Y5458" s="12">
        <f>IF(OR(LEFT(K5458,4)="LVAX",LEFT(K5458,6)="MV15AX",LEFT(K5458,4)="CTAX",LEFT(K5458,2)="W|"),2*N5458*O5458,0)</f>
        <v/>
      </c>
      <c r="Z5458" s="12" t="inlineStr">
        <is>
          <t>VD 0.4 %</t>
        </is>
      </c>
      <c r="AA5458" s="12">
        <f>N5458*O5458</f>
        <v/>
      </c>
    </row>
    <row r="5459">
      <c r="A5459" s="12" t="inlineStr">
        <is>
          <t>I-P-0295</t>
        </is>
      </c>
      <c r="B5459" s="12" t="inlineStr">
        <is>
          <t>I</t>
        </is>
      </c>
      <c r="C5459" s="12" t="inlineStr">
        <is>
          <t>Modular / portable power</t>
        </is>
      </c>
      <c r="D5459" s="12" t="inlineStr">
        <is>
          <t>Motor 4 of 4, 15 kW</t>
        </is>
      </c>
      <c r="E5459" s="12" t="inlineStr"/>
      <c r="F5459" s="12" t="inlineStr">
        <is>
          <t>SC-2 PCM + 15 kV GCB</t>
        </is>
      </c>
      <c r="G5459" s="12" t="inlineStr"/>
      <c r="H5459" s="12" t="inlineStr">
        <is>
          <t>SC-2 lube-oil fin-fan cooler</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15</v>
      </c>
      <c r="R5459" s="12" t="n">
        <v>21.2</v>
      </c>
      <c r="S5459" s="12" t="inlineStr">
        <is>
          <t>Duct bank</t>
        </is>
      </c>
      <c r="T5459" s="15" t="n">
        <v>4</v>
      </c>
      <c r="U5459" s="15" t="n">
        <v>38</v>
      </c>
      <c r="V5459" s="15">
        <f>ROUNDUP((T5459+U5459+2*'Read Me'!$B$13)*(1+'Read Me'!$B$12),-1)</f>
        <v/>
      </c>
      <c r="W5459" s="15">
        <f>V5459*N5459*O5459</f>
        <v/>
      </c>
      <c r="X5459" s="12">
        <f>IF(LEFT(I5459,2)="MV",2*N5459*IF(L5459="1/C",O5459,1),0)</f>
        <v/>
      </c>
      <c r="Y5459" s="12">
        <f>IF(OR(LEFT(K5459,4)="LVAX",LEFT(K5459,6)="MV15AX",LEFT(K5459,4)="CTAX",LEFT(K5459,2)="W|"),2*N5459*O5459,0)</f>
        <v/>
      </c>
      <c r="Z5459" s="12" t="inlineStr">
        <is>
          <t>VD 0.4 %</t>
        </is>
      </c>
      <c r="AA5459" s="12">
        <f>N5459*O5459</f>
        <v/>
      </c>
    </row>
    <row r="5460">
      <c r="A5460" s="12" t="inlineStr">
        <is>
          <t>I-P-0296</t>
        </is>
      </c>
      <c r="B5460" s="12" t="inlineStr">
        <is>
          <t>I</t>
        </is>
      </c>
      <c r="C5460" s="12" t="inlineStr">
        <is>
          <t>Modular / portable power</t>
        </is>
      </c>
      <c r="D5460" s="12" t="inlineStr">
        <is>
          <t>Area / platform lighting circuit 1 (4 fixtures)</t>
        </is>
      </c>
      <c r="E5460" s="12" t="inlineStr"/>
      <c r="F5460" s="12" t="inlineStr">
        <is>
          <t>SC-2 PCM + 15 kV GCB</t>
        </is>
      </c>
      <c r="G5460" s="12" t="inlineStr"/>
      <c r="H5460" s="12" t="inlineStr">
        <is>
          <t>SC-2 stack (80 ft)</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3</v>
      </c>
      <c r="R5460" s="12" t="n">
        <v>5</v>
      </c>
      <c r="S5460" s="12" t="inlineStr">
        <is>
          <t>Duct bank</t>
        </is>
      </c>
      <c r="T5460" s="15" t="n">
        <v>374</v>
      </c>
      <c r="U5460" s="15" t="n">
        <v>92</v>
      </c>
      <c r="V5460" s="15">
        <f>ROUNDUP((T5460+U5460+2*'Read Me'!$B$13)*(1+'Read Me'!$B$12),-1)</f>
        <v/>
      </c>
      <c r="W5460" s="15">
        <f>V5460*N5460*O5460</f>
        <v/>
      </c>
      <c r="X5460" s="12">
        <f>IF(LEFT(I5460,2)="MV",2*N5460*IF(L5460="1/C",O5460,1),0)</f>
        <v/>
      </c>
      <c r="Y5460" s="12">
        <f>IF(OR(LEFT(K5460,4)="LVAX",LEFT(K5460,6)="MV15AX",LEFT(K5460,4)="CTAX",LEFT(K5460,2)="W|"),2*N5460*O5460,0)</f>
        <v/>
      </c>
      <c r="Z5460" s="12" t="inlineStr">
        <is>
          <t>fixture-to-fixture run included</t>
        </is>
      </c>
      <c r="AA5460" s="12">
        <f>N5460*O5460</f>
        <v/>
      </c>
    </row>
    <row r="5461">
      <c r="A5461" s="12" t="inlineStr">
        <is>
          <t>I-P-0297</t>
        </is>
      </c>
      <c r="B5461" s="12" t="inlineStr">
        <is>
          <t>I</t>
        </is>
      </c>
      <c r="C5461" s="12" t="inlineStr">
        <is>
          <t>Modular / portable power</t>
        </is>
      </c>
      <c r="D5461" s="12" t="inlineStr">
        <is>
          <t>Motor 1 of 2, 185 kW</t>
        </is>
      </c>
      <c r="E5461" s="12" t="inlineStr"/>
      <c r="F5461" s="12" t="inlineStr">
        <is>
          <t>SC-2 PCM + 15 kV GCB</t>
        </is>
      </c>
      <c r="G5461" s="12" t="inlineStr"/>
      <c r="H5461" s="12" t="inlineStr">
        <is>
          <t>SC-2 tempering-air fans (2 x 100 %)</t>
        </is>
      </c>
      <c r="I5461" s="12" t="inlineStr">
        <is>
          <t>LV 600 V</t>
        </is>
      </c>
      <c r="J5461" s="12" t="inlineStr">
        <is>
          <t>Type TC-ER 600 V 3/C Cu XHHW-2 + ground, PVC jacket</t>
        </is>
      </c>
      <c r="K5461" s="12" t="inlineStr">
        <is>
          <t>LV|3/C+G|500</t>
        </is>
      </c>
      <c r="L5461" s="12" t="inlineStr">
        <is>
          <t>3/C+G</t>
        </is>
      </c>
      <c r="M5461" s="12" t="inlineStr">
        <is>
          <t>500 kcmil</t>
        </is>
      </c>
      <c r="N5461" s="12" t="n">
        <v>1</v>
      </c>
      <c r="O5461" s="12" t="n">
        <v>1</v>
      </c>
      <c r="P5461" s="12" t="n">
        <v>480</v>
      </c>
      <c r="Q5461" s="12" t="n">
        <v>185</v>
      </c>
      <c r="R5461" s="12" t="n">
        <v>261.8</v>
      </c>
      <c r="S5461" s="12" t="inlineStr">
        <is>
          <t>Duct bank</t>
        </is>
      </c>
      <c r="T5461" s="15" t="n">
        <v>35</v>
      </c>
      <c r="U5461" s="15" t="n">
        <v>79</v>
      </c>
      <c r="V5461" s="15">
        <f>ROUNDUP((T5461+U5461+2*'Read Me'!$B$13)*(1+'Read Me'!$B$12),-1)</f>
        <v/>
      </c>
      <c r="W5461" s="15">
        <f>V5461*N5461*O5461</f>
        <v/>
      </c>
      <c r="X5461" s="12">
        <f>IF(LEFT(I5461,2)="MV",2*N5461*IF(L5461="1/C",O5461,1),0)</f>
        <v/>
      </c>
      <c r="Y5461" s="12">
        <f>IF(OR(LEFT(K5461,4)="LVAX",LEFT(K5461,6)="MV15AX",LEFT(K5461,4)="CTAX",LEFT(K5461,2)="W|"),2*N5461*O5461,0)</f>
        <v/>
      </c>
      <c r="Z5461" s="12" t="inlineStr">
        <is>
          <t>VD 0.3 %</t>
        </is>
      </c>
      <c r="AA5461" s="12">
        <f>N5461*O5461</f>
        <v/>
      </c>
    </row>
    <row r="5462">
      <c r="A5462" s="12" t="inlineStr">
        <is>
          <t>I-P-0298</t>
        </is>
      </c>
      <c r="B5462" s="12" t="inlineStr">
        <is>
          <t>I</t>
        </is>
      </c>
      <c r="C5462" s="12" t="inlineStr">
        <is>
          <t>Modular / portable power</t>
        </is>
      </c>
      <c r="D5462" s="12" t="inlineStr">
        <is>
          <t>Motor 2 of 2, 185 kW</t>
        </is>
      </c>
      <c r="E5462" s="12" t="inlineStr"/>
      <c r="F5462" s="12" t="inlineStr">
        <is>
          <t>SC-2 PCM + 15 kV GCB</t>
        </is>
      </c>
      <c r="G5462" s="12" t="inlineStr"/>
      <c r="H5462" s="12" t="inlineStr">
        <is>
          <t>SC-2 tempering-air fans (2 x 100 %)</t>
        </is>
      </c>
      <c r="I5462" s="12" t="inlineStr">
        <is>
          <t>LV 600 V</t>
        </is>
      </c>
      <c r="J5462" s="12" t="inlineStr">
        <is>
          <t>Type TC-ER 600 V 3/C Cu XHHW-2 + ground, PVC jacket</t>
        </is>
      </c>
      <c r="K5462" s="12" t="inlineStr">
        <is>
          <t>LV|3/C+G|500</t>
        </is>
      </c>
      <c r="L5462" s="12" t="inlineStr">
        <is>
          <t>3/C+G</t>
        </is>
      </c>
      <c r="M5462" s="12" t="inlineStr">
        <is>
          <t>500 kcmil</t>
        </is>
      </c>
      <c r="N5462" s="12" t="n">
        <v>1</v>
      </c>
      <c r="O5462" s="12" t="n">
        <v>1</v>
      </c>
      <c r="P5462" s="12" t="n">
        <v>480</v>
      </c>
      <c r="Q5462" s="12" t="n">
        <v>185</v>
      </c>
      <c r="R5462" s="12" t="n">
        <v>261.8</v>
      </c>
      <c r="S5462" s="12" t="inlineStr">
        <is>
          <t>Duct bank</t>
        </is>
      </c>
      <c r="T5462" s="15" t="n">
        <v>35</v>
      </c>
      <c r="U5462" s="15" t="n">
        <v>79</v>
      </c>
      <c r="V5462" s="15">
        <f>ROUNDUP((T5462+U5462+2*'Read Me'!$B$13)*(1+'Read Me'!$B$12),-1)</f>
        <v/>
      </c>
      <c r="W5462" s="15">
        <f>V5462*N5462*O5462</f>
        <v/>
      </c>
      <c r="X5462" s="12">
        <f>IF(LEFT(I5462,2)="MV",2*N5462*IF(L5462="1/C",O5462,1),0)</f>
        <v/>
      </c>
      <c r="Y5462" s="12">
        <f>IF(OR(LEFT(K5462,4)="LVAX",LEFT(K5462,6)="MV15AX",LEFT(K5462,4)="CTAX",LEFT(K5462,2)="W|"),2*N5462*O5462,0)</f>
        <v/>
      </c>
      <c r="Z5462" s="12" t="inlineStr">
        <is>
          <t>VD 0.3 %</t>
        </is>
      </c>
      <c r="AA5462" s="12">
        <f>N5462*O5462</f>
        <v/>
      </c>
    </row>
    <row r="5463">
      <c r="A5463" s="12" t="inlineStr">
        <is>
          <t>I-P-0299</t>
        </is>
      </c>
      <c r="B5463" s="12" t="inlineStr">
        <is>
          <t>I</t>
        </is>
      </c>
      <c r="C5463" s="12" t="inlineStr">
        <is>
          <t>Modular / portable power</t>
        </is>
      </c>
      <c r="D5463" s="12" t="inlineStr">
        <is>
          <t>Area / platform lighting circuit 1 (4 fixtures)</t>
        </is>
      </c>
      <c r="E5463" s="12" t="inlineStr"/>
      <c r="F5463" s="12" t="inlineStr">
        <is>
          <t>SC-2 PCM + 15 kV GCB</t>
        </is>
      </c>
      <c r="G5463" s="12" t="inlineStr"/>
      <c r="H5463" s="12" t="inlineStr">
        <is>
          <t>SC-2 tempering-air fans (2 x 100 %)</t>
        </is>
      </c>
      <c r="I5463" s="12" t="inlineStr">
        <is>
          <t>LV 600 V</t>
        </is>
      </c>
      <c r="J5463" s="12" t="inlineStr">
        <is>
          <t>Type TC-ER 600 V 3/C Cu XHHW-2 + ground, PVC jacket</t>
        </is>
      </c>
      <c r="K5463" s="12" t="inlineStr">
        <is>
          <t>LV|3/C+G|10</t>
        </is>
      </c>
      <c r="L5463" s="12" t="inlineStr">
        <is>
          <t>3/C+G</t>
        </is>
      </c>
      <c r="M5463" s="12" t="inlineStr">
        <is>
          <t>10</t>
        </is>
      </c>
      <c r="N5463" s="12" t="n">
        <v>1</v>
      </c>
      <c r="O5463" s="12" t="n">
        <v>1</v>
      </c>
      <c r="P5463" s="12" t="n">
        <v>480</v>
      </c>
      <c r="Q5463" s="12" t="n">
        <v>3</v>
      </c>
      <c r="R5463" s="12" t="n">
        <v>5</v>
      </c>
      <c r="S5463" s="12" t="inlineStr">
        <is>
          <t>Duct bank</t>
        </is>
      </c>
      <c r="T5463" s="15" t="n">
        <v>335</v>
      </c>
      <c r="U5463" s="15" t="n">
        <v>79</v>
      </c>
      <c r="V5463" s="15">
        <f>ROUNDUP((T5463+U5463+2*'Read Me'!$B$13)*(1+'Read Me'!$B$12),-1)</f>
        <v/>
      </c>
      <c r="W5463" s="15">
        <f>V5463*N5463*O5463</f>
        <v/>
      </c>
      <c r="X5463" s="12">
        <f>IF(LEFT(I5463,2)="MV",2*N5463*IF(L5463="1/C",O5463,1),0)</f>
        <v/>
      </c>
      <c r="Y5463" s="12">
        <f>IF(OR(LEFT(K5463,4)="LVAX",LEFT(K5463,6)="MV15AX",LEFT(K5463,4)="CTAX",LEFT(K5463,2)="W|"),2*N5463*O5463,0)</f>
        <v/>
      </c>
      <c r="Z5463" s="12" t="inlineStr">
        <is>
          <t>fixture-to-fixture run included</t>
        </is>
      </c>
      <c r="AA5463" s="12">
        <f>N5463*O5463</f>
        <v/>
      </c>
    </row>
    <row r="5464">
      <c r="A5464" s="12" t="inlineStr">
        <is>
          <t>I-P-0300</t>
        </is>
      </c>
      <c r="B5464" s="12" t="inlineStr">
        <is>
          <t>I</t>
        </is>
      </c>
      <c r="C5464" s="12" t="inlineStr">
        <is>
          <t>Modular / portable power</t>
        </is>
      </c>
      <c r="D5464" s="12" t="inlineStr">
        <is>
          <t>SC-2 emergency DC lube-oil pump (125 V DC, coast-down)</t>
        </is>
      </c>
      <c r="E5464" s="12" t="inlineStr"/>
      <c r="F5464" s="12" t="inlineStr">
        <is>
          <t>SC-2 PCM + 15 kV GCB</t>
        </is>
      </c>
      <c r="G5464" s="12" t="inlineStr">
        <is>
          <t>SC-2</t>
        </is>
      </c>
      <c r="H5464" s="12" t="inlineStr">
        <is>
          <t>SC-2: aeroderivative simple-cycle unit (LM6000 class)</t>
        </is>
      </c>
      <c r="I5464" s="12" t="inlineStr">
        <is>
          <t>LV 600 V</t>
        </is>
      </c>
      <c r="J5464" s="12" t="inlineStr">
        <is>
          <t>XHHW-2 600 V 1/C Cu (feeder sets in tray / duct)</t>
        </is>
      </c>
      <c r="K5464" s="12" t="inlineStr">
        <is>
          <t>LV1C|1/C|2</t>
        </is>
      </c>
      <c r="L5464" s="12" t="inlineStr">
        <is>
          <t>1/C</t>
        </is>
      </c>
      <c r="M5464" s="12" t="inlineStr">
        <is>
          <t>2</t>
        </is>
      </c>
      <c r="N5464" s="12" t="n">
        <v>1</v>
      </c>
      <c r="O5464" s="12" t="n">
        <v>2</v>
      </c>
      <c r="P5464" s="12" t="n">
        <v>125</v>
      </c>
      <c r="Q5464" s="12" t="n">
        <v>7.5</v>
      </c>
      <c r="R5464" s="12" t="n">
        <v>65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LM6000 class: DC pump keeps the bearings fed on loss of AC</t>
        </is>
      </c>
      <c r="AA5464" s="12">
        <f>N5464*O5464</f>
        <v/>
      </c>
    </row>
    <row r="5465">
      <c r="A5465" s="12" t="inlineStr">
        <is>
          <t>I-P-0301</t>
        </is>
      </c>
      <c r="B5465" s="12" t="inlineStr">
        <is>
          <t>I</t>
        </is>
      </c>
      <c r="C5465" s="12" t="inlineStr">
        <is>
          <t>Modular / portable power</t>
        </is>
      </c>
      <c r="D5465" s="12" t="inlineStr">
        <is>
          <t>SC-2 120 V AC UPS to the unit control and protection</t>
        </is>
      </c>
      <c r="E5465" s="12" t="inlineStr"/>
      <c r="F5465" s="12" t="inlineStr">
        <is>
          <t>SC-2 PCM + 15 kV GCB</t>
        </is>
      </c>
      <c r="G5465" s="12" t="inlineStr">
        <is>
          <t>SC-2</t>
        </is>
      </c>
      <c r="H5465" s="12" t="inlineStr">
        <is>
          <t>SC-2: aeroderivative simple-cycle unit (LM6000 class)</t>
        </is>
      </c>
      <c r="I5465" s="12" t="inlineStr">
        <is>
          <t>LV 600 V</t>
        </is>
      </c>
      <c r="J5465" s="12" t="inlineStr">
        <is>
          <t>XHHW-2 600 V 1/C Cu (feeder sets in tray / duct)</t>
        </is>
      </c>
      <c r="K5465" s="12" t="inlineStr">
        <is>
          <t>LV1C|1/C|6</t>
        </is>
      </c>
      <c r="L5465" s="12" t="inlineStr">
        <is>
          <t>1/C</t>
        </is>
      </c>
      <c r="M5465" s="12" t="inlineStr">
        <is>
          <t>6</t>
        </is>
      </c>
      <c r="N5465" s="12" t="n">
        <v>1</v>
      </c>
      <c r="O5465" s="12" t="n">
        <v>2</v>
      </c>
      <c r="P5465" s="12" t="n">
        <v>120</v>
      </c>
      <c r="Q5465" s="12" t="n">
        <v>5</v>
      </c>
      <c r="R5465" s="12" t="n"/>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c r="AA5465" s="12">
        <f>N5465*O5465</f>
        <v/>
      </c>
    </row>
    <row r="5466">
      <c r="A5466" s="12" t="inlineStr">
        <is>
          <t>I-P-0302</t>
        </is>
      </c>
      <c r="B5466" s="12" t="inlineStr">
        <is>
          <t>I</t>
        </is>
      </c>
      <c r="C5466" s="12" t="inlineStr">
        <is>
          <t>Modular / portable power</t>
        </is>
      </c>
      <c r="D5466" s="12" t="inlineStr">
        <is>
          <t>SC-2 hydraulic starter pump motor (start sequence only)</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LV|3/C+G|3/0</t>
        </is>
      </c>
      <c r="L5466" s="12" t="inlineStr">
        <is>
          <t>3/C+G</t>
        </is>
      </c>
      <c r="M5466" s="12" t="inlineStr">
        <is>
          <t>3/0</t>
        </is>
      </c>
      <c r="N5466" s="12" t="n">
        <v>2</v>
      </c>
      <c r="O5466" s="12" t="n">
        <v>1</v>
      </c>
      <c r="P5466" s="12" t="n">
        <v>480</v>
      </c>
      <c r="Q5466" s="12" t="n">
        <v>225</v>
      </c>
      <c r="R5466" s="12" t="n">
        <v>318.4</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typical LM6000 hydraulic start; verify starter type / rating with the OEM</t>
        </is>
      </c>
      <c r="AA5466" s="12">
        <f>N5466*O5466</f>
        <v/>
      </c>
    </row>
    <row r="5467">
      <c r="A5467" s="12" t="inlineStr">
        <is>
          <t>I-P-0303</t>
        </is>
      </c>
      <c r="B5467" s="12" t="inlineStr">
        <is>
          <t>I</t>
        </is>
      </c>
      <c r="C5467" s="12" t="inlineStr">
        <is>
          <t>Modular / portable power</t>
        </is>
      </c>
      <c r="D5467" s="12" t="inlineStr">
        <is>
          <t>SC-2 480 V welding receptacle 1</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LV|3/C+G|2</t>
        </is>
      </c>
      <c r="L5467" s="12" t="inlineStr">
        <is>
          <t>3/C+G</t>
        </is>
      </c>
      <c r="M5467" s="12" t="inlineStr">
        <is>
          <t>2</t>
        </is>
      </c>
      <c r="N5467" s="12" t="n">
        <v>1</v>
      </c>
      <c r="O5467" s="12" t="n">
        <v>1</v>
      </c>
      <c r="P5467" s="12" t="n">
        <v>480</v>
      </c>
      <c r="Q5467" s="12" t="n">
        <v>60</v>
      </c>
      <c r="R5467" s="12" t="n">
        <v>76</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0.4 %</t>
        </is>
      </c>
      <c r="AA5467" s="12">
        <f>N5467*O5467</f>
        <v/>
      </c>
    </row>
    <row r="5468">
      <c r="A5468" s="12" t="inlineStr">
        <is>
          <t>I-P-0304</t>
        </is>
      </c>
      <c r="B5468" s="12" t="inlineStr">
        <is>
          <t>I</t>
        </is>
      </c>
      <c r="C5468" s="12" t="inlineStr">
        <is>
          <t>Modular / portable power</t>
        </is>
      </c>
      <c r="D5468" s="12" t="inlineStr">
        <is>
          <t>SC-2 480 V welding receptacle 2</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LV|3/C+G|2</t>
        </is>
      </c>
      <c r="L5468" s="12" t="inlineStr">
        <is>
          <t>3/C+G</t>
        </is>
      </c>
      <c r="M5468" s="12" t="inlineStr">
        <is>
          <t>2</t>
        </is>
      </c>
      <c r="N5468" s="12" t="n">
        <v>1</v>
      </c>
      <c r="O5468" s="12" t="n">
        <v>1</v>
      </c>
      <c r="P5468" s="12" t="n">
        <v>480</v>
      </c>
      <c r="Q5468" s="12" t="n">
        <v>60</v>
      </c>
      <c r="R5468" s="12" t="n">
        <v>76</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0.4 %</t>
        </is>
      </c>
      <c r="AA5468" s="12">
        <f>N5468*O5468</f>
        <v/>
      </c>
    </row>
    <row r="5469">
      <c r="A5469" s="12" t="inlineStr">
        <is>
          <t>I-P-0305</t>
        </is>
      </c>
      <c r="B5469" s="12" t="inlineStr">
        <is>
          <t>I</t>
        </is>
      </c>
      <c r="C5469" s="12" t="inlineStr">
        <is>
          <t>Modular / portable power</t>
        </is>
      </c>
      <c r="D5469" s="12" t="inlineStr">
        <is>
          <t>Motor 1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I-P-0306</t>
        </is>
      </c>
      <c r="B5470" s="12" t="inlineStr">
        <is>
          <t>I</t>
        </is>
      </c>
      <c r="C5470" s="12" t="inlineStr">
        <is>
          <t>Modular / portable power</t>
        </is>
      </c>
      <c r="D5470" s="12" t="inlineStr">
        <is>
          <t>Motor 2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I-P-0307</t>
        </is>
      </c>
      <c r="B5471" s="12" t="inlineStr">
        <is>
          <t>I</t>
        </is>
      </c>
      <c r="C5471" s="12" t="inlineStr">
        <is>
          <t>Modular / portable power</t>
        </is>
      </c>
      <c r="D5471" s="12" t="inlineStr">
        <is>
          <t>Motor 3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I-P-0308</t>
        </is>
      </c>
      <c r="B5472" s="12" t="inlineStr">
        <is>
          <t>I</t>
        </is>
      </c>
      <c r="C5472" s="12" t="inlineStr">
        <is>
          <t>Modular / portable power</t>
        </is>
      </c>
      <c r="D5472" s="12" t="inlineStr">
        <is>
          <t>Motor 4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I-P-0309</t>
        </is>
      </c>
      <c r="B5473" s="12" t="inlineStr">
        <is>
          <t>I</t>
        </is>
      </c>
      <c r="C5473" s="12" t="inlineStr">
        <is>
          <t>Modular / portable power</t>
        </is>
      </c>
      <c r="D5473" s="12" t="inlineStr">
        <is>
          <t>Motor 5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I-P-0310</t>
        </is>
      </c>
      <c r="B5474" s="12" t="inlineStr">
        <is>
          <t>I</t>
        </is>
      </c>
      <c r="C5474" s="12" t="inlineStr">
        <is>
          <t>Modular / portable power</t>
        </is>
      </c>
      <c r="D5474" s="12" t="inlineStr">
        <is>
          <t>Motor 6 of 10, 30 kW</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LV|3/C+G|6</t>
        </is>
      </c>
      <c r="L5474" s="12" t="inlineStr">
        <is>
          <t>3/C+G</t>
        </is>
      </c>
      <c r="M5474" s="12" t="inlineStr">
        <is>
          <t>6</t>
        </is>
      </c>
      <c r="N5474" s="12" t="n">
        <v>1</v>
      </c>
      <c r="O5474" s="12" t="n">
        <v>1</v>
      </c>
      <c r="P5474" s="12" t="n">
        <v>480</v>
      </c>
      <c r="Q5474" s="12" t="n">
        <v>30</v>
      </c>
      <c r="R5474" s="12" t="n">
        <v>42.5</v>
      </c>
      <c r="S5474" s="12" t="inlineStr">
        <is>
          <t>Duct bank</t>
        </is>
      </c>
      <c r="T5474" s="15" t="n">
        <v>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VD 0.6 %</t>
        </is>
      </c>
      <c r="AA5474" s="12">
        <f>N5474*O5474</f>
        <v/>
      </c>
    </row>
    <row r="5475">
      <c r="A5475" s="12" t="inlineStr">
        <is>
          <t>I-P-0311</t>
        </is>
      </c>
      <c r="B5475" s="12" t="inlineStr">
        <is>
          <t>I</t>
        </is>
      </c>
      <c r="C5475" s="12" t="inlineStr">
        <is>
          <t>Modular / portable power</t>
        </is>
      </c>
      <c r="D5475" s="12" t="inlineStr">
        <is>
          <t>Motor 7 of 10, 30 kW</t>
        </is>
      </c>
      <c r="E5475" s="12" t="inlineStr"/>
      <c r="F5475" s="12" t="inlineStr">
        <is>
          <t>SC-2 PCM + 15 kV GCB</t>
        </is>
      </c>
      <c r="G5475" s="12" t="inlineStr">
        <is>
          <t>SC-2</t>
        </is>
      </c>
      <c r="H5475" s="12" t="inlineStr">
        <is>
          <t>SC-2: aeroderivative simple-cycle unit (LM6000 class)</t>
        </is>
      </c>
      <c r="I5475" s="12" t="inlineStr">
        <is>
          <t>LV 600 V</t>
        </is>
      </c>
      <c r="J5475" s="12" t="inlineStr">
        <is>
          <t>Type TC-ER 600 V 3/C Cu XHHW-2 + ground, PVC jacket</t>
        </is>
      </c>
      <c r="K5475" s="12" t="inlineStr">
        <is>
          <t>LV|3/C+G|6</t>
        </is>
      </c>
      <c r="L5475" s="12" t="inlineStr">
        <is>
          <t>3/C+G</t>
        </is>
      </c>
      <c r="M5475" s="12" t="inlineStr">
        <is>
          <t>6</t>
        </is>
      </c>
      <c r="N5475" s="12" t="n">
        <v>1</v>
      </c>
      <c r="O5475" s="12" t="n">
        <v>1</v>
      </c>
      <c r="P5475" s="12" t="n">
        <v>480</v>
      </c>
      <c r="Q5475" s="12" t="n">
        <v>30</v>
      </c>
      <c r="R5475" s="12" t="n">
        <v>42.5</v>
      </c>
      <c r="S5475" s="12" t="inlineStr">
        <is>
          <t>Duct bank</t>
        </is>
      </c>
      <c r="T5475" s="15" t="n">
        <v>35</v>
      </c>
      <c r="U5475" s="15" t="n">
        <v>32</v>
      </c>
      <c r="V5475" s="15">
        <f>ROUNDUP((T5475+U5475+2*'Read Me'!$B$13)*(1+'Read Me'!$B$12),-1)</f>
        <v/>
      </c>
      <c r="W5475" s="15">
        <f>V5475*N5475*O5475</f>
        <v/>
      </c>
      <c r="X5475" s="12">
        <f>IF(LEFT(I5475,2)="MV",2*N5475*IF(L5475="1/C",O5475,1),0)</f>
        <v/>
      </c>
      <c r="Y5475" s="12">
        <f>IF(OR(LEFT(K5475,4)="LVAX",LEFT(K5475,6)="MV15AX",LEFT(K5475,4)="CTAX",LEFT(K5475,2)="W|"),2*N5475*O5475,0)</f>
        <v/>
      </c>
      <c r="Z5475" s="12" t="inlineStr">
        <is>
          <t>VD 0.6 %</t>
        </is>
      </c>
      <c r="AA5475" s="12">
        <f>N5475*O5475</f>
        <v/>
      </c>
    </row>
    <row r="5476">
      <c r="A5476" s="12" t="inlineStr">
        <is>
          <t>I-P-0312</t>
        </is>
      </c>
      <c r="B5476" s="12" t="inlineStr">
        <is>
          <t>I</t>
        </is>
      </c>
      <c r="C5476" s="12" t="inlineStr">
        <is>
          <t>Modular / portable power</t>
        </is>
      </c>
      <c r="D5476" s="12" t="inlineStr">
        <is>
          <t>Motor 8 of 10, 30 kW</t>
        </is>
      </c>
      <c r="E5476" s="12" t="inlineStr"/>
      <c r="F5476" s="12" t="inlineStr">
        <is>
          <t>SC-2 PCM + 15 kV GCB</t>
        </is>
      </c>
      <c r="G5476" s="12" t="inlineStr">
        <is>
          <t>SC-2</t>
        </is>
      </c>
      <c r="H5476" s="12" t="inlineStr">
        <is>
          <t>SC-2: aeroderivative simple-cycle unit (LM6000 class)</t>
        </is>
      </c>
      <c r="I5476" s="12" t="inlineStr">
        <is>
          <t>LV 600 V</t>
        </is>
      </c>
      <c r="J5476" s="12" t="inlineStr">
        <is>
          <t>Type TC-ER 600 V 3/C Cu XHHW-2 + ground, PVC jacket</t>
        </is>
      </c>
      <c r="K5476" s="12" t="inlineStr">
        <is>
          <t>LV|3/C+G|6</t>
        </is>
      </c>
      <c r="L5476" s="12" t="inlineStr">
        <is>
          <t>3/C+G</t>
        </is>
      </c>
      <c r="M5476" s="12" t="inlineStr">
        <is>
          <t>6</t>
        </is>
      </c>
      <c r="N5476" s="12" t="n">
        <v>1</v>
      </c>
      <c r="O5476" s="12" t="n">
        <v>1</v>
      </c>
      <c r="P5476" s="12" t="n">
        <v>480</v>
      </c>
      <c r="Q5476" s="12" t="n">
        <v>30</v>
      </c>
      <c r="R5476" s="12" t="n">
        <v>42.5</v>
      </c>
      <c r="S5476" s="12" t="inlineStr">
        <is>
          <t>Duct bank</t>
        </is>
      </c>
      <c r="T5476" s="15" t="n">
        <v>35</v>
      </c>
      <c r="U5476" s="15" t="n">
        <v>32</v>
      </c>
      <c r="V5476" s="15">
        <f>ROUNDUP((T5476+U5476+2*'Read Me'!$B$13)*(1+'Read Me'!$B$12),-1)</f>
        <v/>
      </c>
      <c r="W5476" s="15">
        <f>V5476*N5476*O5476</f>
        <v/>
      </c>
      <c r="X5476" s="12">
        <f>IF(LEFT(I5476,2)="MV",2*N5476*IF(L5476="1/C",O5476,1),0)</f>
        <v/>
      </c>
      <c r="Y5476" s="12">
        <f>IF(OR(LEFT(K5476,4)="LVAX",LEFT(K5476,6)="MV15AX",LEFT(K5476,4)="CTAX",LEFT(K5476,2)="W|"),2*N5476*O5476,0)</f>
        <v/>
      </c>
      <c r="Z5476" s="12" t="inlineStr">
        <is>
          <t>VD 0.6 %</t>
        </is>
      </c>
      <c r="AA5476" s="12">
        <f>N5476*O5476</f>
        <v/>
      </c>
    </row>
    <row r="5477">
      <c r="A5477" s="12" t="inlineStr">
        <is>
          <t>I-P-0313</t>
        </is>
      </c>
      <c r="B5477" s="12" t="inlineStr">
        <is>
          <t>I</t>
        </is>
      </c>
      <c r="C5477" s="12" t="inlineStr">
        <is>
          <t>Modular / portable power</t>
        </is>
      </c>
      <c r="D5477" s="12" t="inlineStr">
        <is>
          <t>Motor 9 of 10, 30 kW</t>
        </is>
      </c>
      <c r="E5477" s="12" t="inlineStr"/>
      <c r="F5477" s="12" t="inlineStr">
        <is>
          <t>SC-2 PCM + 15 kV GCB</t>
        </is>
      </c>
      <c r="G5477" s="12" t="inlineStr">
        <is>
          <t>SC-2</t>
        </is>
      </c>
      <c r="H5477" s="12" t="inlineStr">
        <is>
          <t>SC-2: aeroderivative simple-cycle unit (LM6000 class)</t>
        </is>
      </c>
      <c r="I5477" s="12" t="inlineStr">
        <is>
          <t>LV 600 V</t>
        </is>
      </c>
      <c r="J5477" s="12" t="inlineStr">
        <is>
          <t>Type TC-ER 600 V 3/C Cu XHHW-2 + ground, PVC jacket</t>
        </is>
      </c>
      <c r="K5477" s="12" t="inlineStr">
        <is>
          <t>LV|3/C+G|6</t>
        </is>
      </c>
      <c r="L5477" s="12" t="inlineStr">
        <is>
          <t>3/C+G</t>
        </is>
      </c>
      <c r="M5477" s="12" t="inlineStr">
        <is>
          <t>6</t>
        </is>
      </c>
      <c r="N5477" s="12" t="n">
        <v>1</v>
      </c>
      <c r="O5477" s="12" t="n">
        <v>1</v>
      </c>
      <c r="P5477" s="12" t="n">
        <v>480</v>
      </c>
      <c r="Q5477" s="12" t="n">
        <v>30</v>
      </c>
      <c r="R5477" s="12" t="n">
        <v>42.5</v>
      </c>
      <c r="S5477" s="12" t="inlineStr">
        <is>
          <t>Duct bank</t>
        </is>
      </c>
      <c r="T5477" s="15" t="n">
        <v>35</v>
      </c>
      <c r="U5477" s="15" t="n">
        <v>32</v>
      </c>
      <c r="V5477" s="15">
        <f>ROUNDUP((T5477+U5477+2*'Read Me'!$B$13)*(1+'Read Me'!$B$12),-1)</f>
        <v/>
      </c>
      <c r="W5477" s="15">
        <f>V5477*N5477*O5477</f>
        <v/>
      </c>
      <c r="X5477" s="12">
        <f>IF(LEFT(I5477,2)="MV",2*N5477*IF(L5477="1/C",O5477,1),0)</f>
        <v/>
      </c>
      <c r="Y5477" s="12">
        <f>IF(OR(LEFT(K5477,4)="LVAX",LEFT(K5477,6)="MV15AX",LEFT(K5477,4)="CTAX",LEFT(K5477,2)="W|"),2*N5477*O5477,0)</f>
        <v/>
      </c>
      <c r="Z5477" s="12" t="inlineStr">
        <is>
          <t>VD 0.6 %</t>
        </is>
      </c>
      <c r="AA5477" s="12">
        <f>N5477*O5477</f>
        <v/>
      </c>
    </row>
    <row r="5478">
      <c r="A5478" s="12" t="inlineStr">
        <is>
          <t>I-P-0314</t>
        </is>
      </c>
      <c r="B5478" s="12" t="inlineStr">
        <is>
          <t>I</t>
        </is>
      </c>
      <c r="C5478" s="12" t="inlineStr">
        <is>
          <t>Modular / portable power</t>
        </is>
      </c>
      <c r="D5478" s="12" t="inlineStr">
        <is>
          <t>Motor 10 of 10, 30 kW</t>
        </is>
      </c>
      <c r="E5478" s="12" t="inlineStr"/>
      <c r="F5478" s="12" t="inlineStr">
        <is>
          <t>SC-2 PCM + 15 kV GCB</t>
        </is>
      </c>
      <c r="G5478" s="12" t="inlineStr">
        <is>
          <t>SC-2</t>
        </is>
      </c>
      <c r="H5478" s="12" t="inlineStr">
        <is>
          <t>SC-2: aeroderivative simple-cycle unit (LM6000 class)</t>
        </is>
      </c>
      <c r="I5478" s="12" t="inlineStr">
        <is>
          <t>LV 600 V</t>
        </is>
      </c>
      <c r="J5478" s="12" t="inlineStr">
        <is>
          <t>Type TC-ER 600 V 3/C Cu XHHW-2 + ground, PVC jacket</t>
        </is>
      </c>
      <c r="K5478" s="12" t="inlineStr">
        <is>
          <t>LV|3/C+G|6</t>
        </is>
      </c>
      <c r="L5478" s="12" t="inlineStr">
        <is>
          <t>3/C+G</t>
        </is>
      </c>
      <c r="M5478" s="12" t="inlineStr">
        <is>
          <t>6</t>
        </is>
      </c>
      <c r="N5478" s="12" t="n">
        <v>1</v>
      </c>
      <c r="O5478" s="12" t="n">
        <v>1</v>
      </c>
      <c r="P5478" s="12" t="n">
        <v>480</v>
      </c>
      <c r="Q5478" s="12" t="n">
        <v>30</v>
      </c>
      <c r="R5478" s="12" t="n">
        <v>42.5</v>
      </c>
      <c r="S5478" s="12" t="inlineStr">
        <is>
          <t>Duct bank</t>
        </is>
      </c>
      <c r="T5478" s="15" t="n">
        <v>35</v>
      </c>
      <c r="U5478" s="15" t="n">
        <v>32</v>
      </c>
      <c r="V5478" s="15">
        <f>ROUNDUP((T5478+U5478+2*'Read Me'!$B$13)*(1+'Read Me'!$B$12),-1)</f>
        <v/>
      </c>
      <c r="W5478" s="15">
        <f>V5478*N5478*O5478</f>
        <v/>
      </c>
      <c r="X5478" s="12">
        <f>IF(LEFT(I5478,2)="MV",2*N5478*IF(L5478="1/C",O5478,1),0)</f>
        <v/>
      </c>
      <c r="Y5478" s="12">
        <f>IF(OR(LEFT(K5478,4)="LVAX",LEFT(K5478,6)="MV15AX",LEFT(K5478,4)="CTAX",LEFT(K5478,2)="W|"),2*N5478*O5478,0)</f>
        <v/>
      </c>
      <c r="Z5478" s="12" t="inlineStr">
        <is>
          <t>VD 0.6 %</t>
        </is>
      </c>
      <c r="AA5478" s="12">
        <f>N5478*O5478</f>
        <v/>
      </c>
    </row>
    <row r="5479">
      <c r="A5479" s="12" t="inlineStr">
        <is>
          <t>I-P-0315</t>
        </is>
      </c>
      <c r="B5479" s="12" t="inlineStr">
        <is>
          <t>I</t>
        </is>
      </c>
      <c r="C5479" s="12" t="inlineStr">
        <is>
          <t>Modular / portable power</t>
        </is>
      </c>
      <c r="D5479" s="12" t="inlineStr">
        <is>
          <t>Area / platform lighting circuit 1 (8 fixtures)</t>
        </is>
      </c>
      <c r="E5479" s="12" t="inlineStr"/>
      <c r="F5479" s="12" t="inlineStr">
        <is>
          <t>SC-2 PCM + 15 kV GCB</t>
        </is>
      </c>
      <c r="G5479" s="12" t="inlineStr">
        <is>
          <t>SC-2</t>
        </is>
      </c>
      <c r="H5479" s="12" t="inlineStr">
        <is>
          <t>SC-2: aeroderivative simple-cycle unit (LM6000 class)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3</v>
      </c>
      <c r="R5479" s="12" t="n">
        <v>5</v>
      </c>
      <c r="S5479" s="12" t="inlineStr">
        <is>
          <t>Duct bank</t>
        </is>
      </c>
      <c r="T5479" s="15" t="n">
        <v>335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fixture-to-fixture run included</t>
        </is>
      </c>
      <c r="AA5479" s="12">
        <f>N5479*O5479</f>
        <v/>
      </c>
    </row>
    <row r="5480">
      <c r="A5480" s="12" t="inlineStr">
        <is>
          <t>I-P-0316</t>
        </is>
      </c>
      <c r="B5480" s="12" t="inlineStr">
        <is>
          <t>I</t>
        </is>
      </c>
      <c r="C5480" s="12" t="inlineStr">
        <is>
          <t>Modular / portable power</t>
        </is>
      </c>
      <c r="D5480" s="12" t="inlineStr">
        <is>
          <t>SWG-MY station service from its internal 480 V aux transformer: charger, heaters, HVAC</t>
        </is>
      </c>
      <c r="E5480" s="12" t="inlineStr">
        <is>
          <t>SWG-MY</t>
        </is>
      </c>
      <c r="F5480" s="12" t="inlineStr">
        <is>
          <t xml:space="preserve">SWG-MY: 35 kV switchgear lineup for the modular blocks (group breaker </t>
        </is>
      </c>
      <c r="G5480" s="12" t="inlineStr">
        <is>
          <t>SWG-MY</t>
        </is>
      </c>
      <c r="H5480" s="12" t="inlineStr">
        <is>
          <t xml:space="preserve">SWG-MY: 35 kV switchgear lineup for the modular blocks (group breaker </t>
        </is>
      </c>
      <c r="I5480" s="12" t="inlineStr">
        <is>
          <t>LV 600 V</t>
        </is>
      </c>
      <c r="J5480" s="12" t="inlineStr">
        <is>
          <t>Type TC-ER 600 V 3/C Cu XHHW-2 + ground, PVC jacket</t>
        </is>
      </c>
      <c r="K5480" s="12" t="inlineStr">
        <is>
          <t>LV|3/C+G|2</t>
        </is>
      </c>
      <c r="L5480" s="12" t="inlineStr">
        <is>
          <t>3/C+G</t>
        </is>
      </c>
      <c r="M5480" s="12" t="inlineStr">
        <is>
          <t>2</t>
        </is>
      </c>
      <c r="N5480" s="12" t="n">
        <v>1</v>
      </c>
      <c r="O5480" s="12" t="n">
        <v>1</v>
      </c>
      <c r="P5480" s="12" t="n">
        <v>480</v>
      </c>
      <c r="Q5480" s="12" t="n">
        <v>45</v>
      </c>
      <c r="R5480" s="12" t="n">
        <v>60</v>
      </c>
      <c r="S5480" s="12" t="inlineStr">
        <is>
          <t>Tray</t>
        </is>
      </c>
      <c r="T5480" s="15" t="n">
        <v>40</v>
      </c>
      <c r="U5480" s="15" t="n">
        <v>10</v>
      </c>
      <c r="V5480" s="15">
        <f>ROUNDUP((T5480+U5480+2*'Read Me'!$B$13)*(1+'Read Me'!$B$12),-1)</f>
        <v/>
      </c>
      <c r="W5480" s="15">
        <f>V5480*N5480*O5480</f>
        <v/>
      </c>
      <c r="X5480" s="12">
        <f>IF(LEFT(I5480,2)="MV",2*N5480*IF(L5480="1/C",O5480,1),0)</f>
        <v/>
      </c>
      <c r="Y5480" s="12">
        <f>IF(OR(LEFT(K5480,4)="LVAX",LEFT(K5480,6)="MV15AX",LEFT(K5480,4)="CTAX",LEFT(K5480,2)="W|"),2*N5480*O5480,0)</f>
        <v/>
      </c>
      <c r="Z5480" s="12" t="inlineStr">
        <is>
          <t>internal to the lineup</t>
        </is>
      </c>
      <c r="AA5480" s="12">
        <f>N5480*O5480</f>
        <v/>
      </c>
    </row>
    <row r="5481">
      <c r="A5481" s="12" t="inlineStr">
        <is>
          <t>I-P-0317</t>
        </is>
      </c>
      <c r="B5481" s="12" t="inlineStr">
        <is>
          <t>I</t>
        </is>
      </c>
      <c r="C5481" s="12" t="inlineStr">
        <is>
          <t>Modular / portable power</t>
        </is>
      </c>
      <c r="D5481" s="12" t="inlineStr">
        <is>
          <t>SWG-PK station service, HVAC, lighting, DC charger (station-service transformer inside)</t>
        </is>
      </c>
      <c r="E5481" s="12" t="inlineStr">
        <is>
          <t>SWG-PK</t>
        </is>
      </c>
      <c r="F5481" s="12" t="inlineStr">
        <is>
          <t>SWG-PK: 34.5 kV park collector switchgear (2 bus sections, tie; 8 feed</t>
        </is>
      </c>
      <c r="G5481" s="12" t="inlineStr">
        <is>
          <t>SWG-PK</t>
        </is>
      </c>
      <c r="H5481" s="12" t="inlineStr">
        <is>
          <t>SWG-PK: 34.5 kV park collector switchgear (2 bus sections, tie; 8 feed</t>
        </is>
      </c>
      <c r="I5481" s="12" t="inlineStr">
        <is>
          <t>LV 600 V</t>
        </is>
      </c>
      <c r="J5481" s="12" t="inlineStr">
        <is>
          <t>Type TC-ER 600 V 3/C Cu XHHW-2 + ground, PVC jacket</t>
        </is>
      </c>
      <c r="K5481" s="12" t="inlineStr">
        <is>
          <t>LV|3/C+G|2</t>
        </is>
      </c>
      <c r="L5481" s="12" t="inlineStr">
        <is>
          <t>3/C+G</t>
        </is>
      </c>
      <c r="M5481" s="12" t="inlineStr">
        <is>
          <t>2</t>
        </is>
      </c>
      <c r="N5481" s="12" t="n">
        <v>1</v>
      </c>
      <c r="O5481" s="12" t="n">
        <v>1</v>
      </c>
      <c r="P5481" s="12" t="n">
        <v>480</v>
      </c>
      <c r="Q5481" s="12" t="n">
        <v>60</v>
      </c>
      <c r="R5481" s="12" t="n">
        <v>85</v>
      </c>
      <c r="S5481" s="12" t="inlineStr">
        <is>
          <t>Tray</t>
        </is>
      </c>
      <c r="T5481" s="15" t="n">
        <v>100</v>
      </c>
      <c r="U5481" s="15" t="n">
        <v>10</v>
      </c>
      <c r="V5481" s="15">
        <f>ROUNDUP((T5481+U5481+2*'Read Me'!$B$13)*(1+'Read Me'!$B$12),-1)</f>
        <v/>
      </c>
      <c r="W5481" s="15">
        <f>V5481*N5481*O5481</f>
        <v/>
      </c>
      <c r="X5481" s="12">
        <f>IF(LEFT(I5481,2)="MV",2*N5481*IF(L5481="1/C",O5481,1),0)</f>
        <v/>
      </c>
      <c r="Y5481" s="12">
        <f>IF(OR(LEFT(K5481,4)="LVAX",LEFT(K5481,6)="MV15AX",LEFT(K5481,4)="CTAX",LEFT(K5481,2)="W|"),2*N5481*O5481,0)</f>
        <v/>
      </c>
      <c r="Z5481" s="12" t="inlineStr">
        <is>
          <t>internal to the e-house</t>
        </is>
      </c>
      <c r="AA5481" s="12">
        <f>N5481*O5481</f>
        <v/>
      </c>
    </row>
    <row r="5482">
      <c r="A5482" s="12" t="inlineStr">
        <is>
          <t>I-P-0318</t>
        </is>
      </c>
      <c r="B5482" s="12" t="inlineStr">
        <is>
          <t>I</t>
        </is>
      </c>
      <c r="C5482" s="12" t="inlineStr">
        <is>
          <t>Modular / portable power</t>
        </is>
      </c>
      <c r="D5482" s="12" t="inlineStr">
        <is>
          <t>Motor 1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I-P-0319</t>
        </is>
      </c>
      <c r="B5483" s="12" t="inlineStr">
        <is>
          <t>I</t>
        </is>
      </c>
      <c r="C5483" s="12" t="inlineStr">
        <is>
          <t>Modular / portable power</t>
        </is>
      </c>
      <c r="D5483" s="12" t="inlineStr">
        <is>
          <t>Motor 2 of 6, 2 kW</t>
        </is>
      </c>
      <c r="E5483" s="12" t="inlineStr"/>
      <c r="F5483" s="12" t="inlineStr">
        <is>
          <t>MOD-LV 480 V board + 480 V : 13.8 kV step-up</t>
        </is>
      </c>
      <c r="G5483" s="12" t="inlineStr"/>
      <c r="H5483" s="12" t="inlineStr">
        <is>
          <t>T-MOD 230 kV take-off gantry with arresters</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290</v>
      </c>
      <c r="U5483" s="15" t="n">
        <v>47</v>
      </c>
      <c r="V5483" s="15">
        <f>ROUNDUP((T5483+U5483+2*'Read Me'!$B$13)*(1+'Read Me'!$B$12),-1)</f>
        <v/>
      </c>
      <c r="W5483" s="15">
        <f>V5483*N5483*O5483</f>
        <v/>
      </c>
      <c r="X5483" s="12">
        <f>IF(LEFT(I5483,2)="MV",2*N5483*IF(L5483="1/C",O5483,1),0)</f>
        <v/>
      </c>
      <c r="Y5483" s="12">
        <f>IF(OR(LEFT(K5483,4)="LVAX",LEFT(K5483,6)="MV15AX",LEFT(K5483,4)="CTAX",LEFT(K5483,2)="W|"),2*N5483*O5483,0)</f>
        <v/>
      </c>
      <c r="Z5483" s="12" t="inlineStr">
        <is>
          <t>VD 0.5 %</t>
        </is>
      </c>
      <c r="AA5483" s="12">
        <f>N5483*O5483</f>
        <v/>
      </c>
    </row>
    <row r="5484">
      <c r="A5484" s="12" t="inlineStr">
        <is>
          <t>I-P-0320</t>
        </is>
      </c>
      <c r="B5484" s="12" t="inlineStr">
        <is>
          <t>I</t>
        </is>
      </c>
      <c r="C5484" s="12" t="inlineStr">
        <is>
          <t>Modular / portable power</t>
        </is>
      </c>
      <c r="D5484" s="12" t="inlineStr">
        <is>
          <t>Motor 3 of 6, 2 kW</t>
        </is>
      </c>
      <c r="E5484" s="12" t="inlineStr"/>
      <c r="F5484" s="12" t="inlineStr">
        <is>
          <t>MOD-LV 480 V board + 480 V : 13.8 kV step-up</t>
        </is>
      </c>
      <c r="G5484" s="12" t="inlineStr"/>
      <c r="H5484" s="12" t="inlineStr">
        <is>
          <t>T-MOD 230 kV take-off gantry with arresters</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290</v>
      </c>
      <c r="U5484" s="15" t="n">
        <v>47</v>
      </c>
      <c r="V5484" s="15">
        <f>ROUNDUP((T5484+U5484+2*'Read Me'!$B$13)*(1+'Read Me'!$B$12),-1)</f>
        <v/>
      </c>
      <c r="W5484" s="15">
        <f>V5484*N5484*O5484</f>
        <v/>
      </c>
      <c r="X5484" s="12">
        <f>IF(LEFT(I5484,2)="MV",2*N5484*IF(L5484="1/C",O5484,1),0)</f>
        <v/>
      </c>
      <c r="Y5484" s="12">
        <f>IF(OR(LEFT(K5484,4)="LVAX",LEFT(K5484,6)="MV15AX",LEFT(K5484,4)="CTAX",LEFT(K5484,2)="W|"),2*N5484*O5484,0)</f>
        <v/>
      </c>
      <c r="Z5484" s="12" t="inlineStr">
        <is>
          <t>VD 0.5 %</t>
        </is>
      </c>
      <c r="AA5484" s="12">
        <f>N5484*O5484</f>
        <v/>
      </c>
    </row>
    <row r="5485">
      <c r="A5485" s="12" t="inlineStr">
        <is>
          <t>I-P-0321</t>
        </is>
      </c>
      <c r="B5485" s="12" t="inlineStr">
        <is>
          <t>I</t>
        </is>
      </c>
      <c r="C5485" s="12" t="inlineStr">
        <is>
          <t>Modular / portable power</t>
        </is>
      </c>
      <c r="D5485" s="12" t="inlineStr">
        <is>
          <t>Motor 4 of 6, 2 kW</t>
        </is>
      </c>
      <c r="E5485" s="12" t="inlineStr"/>
      <c r="F5485" s="12" t="inlineStr">
        <is>
          <t>MOD-LV 480 V board + 480 V : 13.8 kV step-up</t>
        </is>
      </c>
      <c r="G5485" s="12" t="inlineStr"/>
      <c r="H5485" s="12" t="inlineStr">
        <is>
          <t>T-MOD 230 kV take-off gantry with arresters</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290</v>
      </c>
      <c r="U5485" s="15" t="n">
        <v>47</v>
      </c>
      <c r="V5485" s="15">
        <f>ROUNDUP((T5485+U5485+2*'Read Me'!$B$13)*(1+'Read Me'!$B$12),-1)</f>
        <v/>
      </c>
      <c r="W5485" s="15">
        <f>V5485*N5485*O5485</f>
        <v/>
      </c>
      <c r="X5485" s="12">
        <f>IF(LEFT(I5485,2)="MV",2*N5485*IF(L5485="1/C",O5485,1),0)</f>
        <v/>
      </c>
      <c r="Y5485" s="12">
        <f>IF(OR(LEFT(K5485,4)="LVAX",LEFT(K5485,6)="MV15AX",LEFT(K5485,4)="CTAX",LEFT(K5485,2)="W|"),2*N5485*O5485,0)</f>
        <v/>
      </c>
      <c r="Z5485" s="12" t="inlineStr">
        <is>
          <t>VD 0.5 %</t>
        </is>
      </c>
      <c r="AA5485" s="12">
        <f>N5485*O5485</f>
        <v/>
      </c>
    </row>
    <row r="5486">
      <c r="A5486" s="12" t="inlineStr">
        <is>
          <t>I-P-0322</t>
        </is>
      </c>
      <c r="B5486" s="12" t="inlineStr">
        <is>
          <t>I</t>
        </is>
      </c>
      <c r="C5486" s="12" t="inlineStr">
        <is>
          <t>Modular / portable power</t>
        </is>
      </c>
      <c r="D5486" s="12" t="inlineStr">
        <is>
          <t>Motor 5 of 6, 2 kW</t>
        </is>
      </c>
      <c r="E5486" s="12" t="inlineStr"/>
      <c r="F5486" s="12" t="inlineStr">
        <is>
          <t>MOD-LV 480 V board + 480 V : 13.8 kV step-up</t>
        </is>
      </c>
      <c r="G5486" s="12" t="inlineStr"/>
      <c r="H5486" s="12" t="inlineStr">
        <is>
          <t>T-MOD 230 kV take-off gantry with arresters</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290</v>
      </c>
      <c r="U5486" s="15" t="n">
        <v>47</v>
      </c>
      <c r="V5486" s="15">
        <f>ROUNDUP((T5486+U5486+2*'Read Me'!$B$13)*(1+'Read Me'!$B$12),-1)</f>
        <v/>
      </c>
      <c r="W5486" s="15">
        <f>V5486*N5486*O5486</f>
        <v/>
      </c>
      <c r="X5486" s="12">
        <f>IF(LEFT(I5486,2)="MV",2*N5486*IF(L5486="1/C",O5486,1),0)</f>
        <v/>
      </c>
      <c r="Y5486" s="12">
        <f>IF(OR(LEFT(K5486,4)="LVAX",LEFT(K5486,6)="MV15AX",LEFT(K5486,4)="CTAX",LEFT(K5486,2)="W|"),2*N5486*O5486,0)</f>
        <v/>
      </c>
      <c r="Z5486" s="12" t="inlineStr">
        <is>
          <t>VD 0.5 %</t>
        </is>
      </c>
      <c r="AA5486" s="12">
        <f>N5486*O5486</f>
        <v/>
      </c>
    </row>
    <row r="5487">
      <c r="A5487" s="12" t="inlineStr">
        <is>
          <t>I-P-0323</t>
        </is>
      </c>
      <c r="B5487" s="12" t="inlineStr">
        <is>
          <t>I</t>
        </is>
      </c>
      <c r="C5487" s="12" t="inlineStr">
        <is>
          <t>Modular / portable power</t>
        </is>
      </c>
      <c r="D5487" s="12" t="inlineStr">
        <is>
          <t>Motor 6 of 6, 2 kW</t>
        </is>
      </c>
      <c r="E5487" s="12" t="inlineStr"/>
      <c r="F5487" s="12" t="inlineStr">
        <is>
          <t>MOD-LV 480 V board + 480 V : 13.8 kV step-up</t>
        </is>
      </c>
      <c r="G5487" s="12" t="inlineStr"/>
      <c r="H5487" s="12" t="inlineStr">
        <is>
          <t>T-MOD 230 kV take-off gantry with arresters</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290</v>
      </c>
      <c r="U5487" s="15" t="n">
        <v>47</v>
      </c>
      <c r="V5487" s="15">
        <f>ROUNDUP((T5487+U5487+2*'Read Me'!$B$13)*(1+'Read Me'!$B$12),-1)</f>
        <v/>
      </c>
      <c r="W5487" s="15">
        <f>V5487*N5487*O5487</f>
        <v/>
      </c>
      <c r="X5487" s="12">
        <f>IF(LEFT(I5487,2)="MV",2*N5487*IF(L5487="1/C",O5487,1),0)</f>
        <v/>
      </c>
      <c r="Y5487" s="12">
        <f>IF(OR(LEFT(K5487,4)="LVAX",LEFT(K5487,6)="MV15AX",LEFT(K5487,4)="CTAX",LEFT(K5487,2)="W|"),2*N5487*O5487,0)</f>
        <v/>
      </c>
      <c r="Z5487" s="12" t="inlineStr">
        <is>
          <t>VD 0.5 %</t>
        </is>
      </c>
      <c r="AA5487" s="12">
        <f>N5487*O5487</f>
        <v/>
      </c>
    </row>
    <row r="5488">
      <c r="A5488" s="12" t="inlineStr">
        <is>
          <t>I-P-0324</t>
        </is>
      </c>
      <c r="B5488" s="12" t="inlineStr">
        <is>
          <t>I</t>
        </is>
      </c>
      <c r="C5488" s="12" t="inlineStr">
        <is>
          <t>Modular / portable power</t>
        </is>
      </c>
      <c r="D5488" s="12" t="inlineStr">
        <is>
          <t>Motor 1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I-P-0325</t>
        </is>
      </c>
      <c r="B5489" s="12" t="inlineStr">
        <is>
          <t>I</t>
        </is>
      </c>
      <c r="C5489" s="12" t="inlineStr">
        <is>
          <t>Modular / portable power</t>
        </is>
      </c>
      <c r="D5489" s="12" t="inlineStr">
        <is>
          <t>Motor 2 of 6, 2 kW</t>
        </is>
      </c>
      <c r="E5489" s="12" t="inlineStr"/>
      <c r="F5489" s="12" t="inlineStr">
        <is>
          <t>MOD-LV 480 V board + 480 V : 13.8 kV step-up</t>
        </is>
      </c>
      <c r="G5489" s="12" t="inlineStr"/>
      <c r="H5489" s="12" t="inlineStr">
        <is>
          <t>T-MOD-1 / T-MOD-2 firewall</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91</v>
      </c>
      <c r="V5489" s="15">
        <f>ROUNDUP((T5489+U5489+2*'Read Me'!$B$13)*(1+'Read Me'!$B$12),-1)</f>
        <v/>
      </c>
      <c r="W5489" s="15">
        <f>V5489*N5489*O5489</f>
        <v/>
      </c>
      <c r="X5489" s="12">
        <f>IF(LEFT(I5489,2)="MV",2*N5489*IF(L5489="1/C",O5489,1),0)</f>
        <v/>
      </c>
      <c r="Y5489" s="12">
        <f>IF(OR(LEFT(K5489,4)="LVAX",LEFT(K5489,6)="MV15AX",LEFT(K5489,4)="CTAX",LEFT(K5489,2)="W|"),2*N5489*O5489,0)</f>
        <v/>
      </c>
      <c r="Z5489" s="12" t="inlineStr">
        <is>
          <t>VD 0.7 %</t>
        </is>
      </c>
      <c r="AA5489" s="12">
        <f>N5489*O5489</f>
        <v/>
      </c>
    </row>
    <row r="5490">
      <c r="A5490" s="12" t="inlineStr">
        <is>
          <t>I-P-0326</t>
        </is>
      </c>
      <c r="B5490" s="12" t="inlineStr">
        <is>
          <t>I</t>
        </is>
      </c>
      <c r="C5490" s="12" t="inlineStr">
        <is>
          <t>Modular / portable power</t>
        </is>
      </c>
      <c r="D5490" s="12" t="inlineStr">
        <is>
          <t>Motor 3 of 6, 2 kW</t>
        </is>
      </c>
      <c r="E5490" s="12" t="inlineStr"/>
      <c r="F5490" s="12" t="inlineStr">
        <is>
          <t>MOD-LV 480 V board + 480 V : 13.8 kV step-up</t>
        </is>
      </c>
      <c r="G5490" s="12" t="inlineStr"/>
      <c r="H5490" s="12" t="inlineStr">
        <is>
          <t>T-MOD-1 / T-MOD-2 firewall</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91</v>
      </c>
      <c r="V5490" s="15">
        <f>ROUNDUP((T5490+U5490+2*'Read Me'!$B$13)*(1+'Read Me'!$B$12),-1)</f>
        <v/>
      </c>
      <c r="W5490" s="15">
        <f>V5490*N5490*O5490</f>
        <v/>
      </c>
      <c r="X5490" s="12">
        <f>IF(LEFT(I5490,2)="MV",2*N5490*IF(L5490="1/C",O5490,1),0)</f>
        <v/>
      </c>
      <c r="Y5490" s="12">
        <f>IF(OR(LEFT(K5490,4)="LVAX",LEFT(K5490,6)="MV15AX",LEFT(K5490,4)="CTAX",LEFT(K5490,2)="W|"),2*N5490*O5490,0)</f>
        <v/>
      </c>
      <c r="Z5490" s="12" t="inlineStr">
        <is>
          <t>VD 0.7 %</t>
        </is>
      </c>
      <c r="AA5490" s="12">
        <f>N5490*O5490</f>
        <v/>
      </c>
    </row>
    <row r="5491">
      <c r="A5491" s="12" t="inlineStr">
        <is>
          <t>I-P-0327</t>
        </is>
      </c>
      <c r="B5491" s="12" t="inlineStr">
        <is>
          <t>I</t>
        </is>
      </c>
      <c r="C5491" s="12" t="inlineStr">
        <is>
          <t>Modular / portable power</t>
        </is>
      </c>
      <c r="D5491" s="12" t="inlineStr">
        <is>
          <t>Motor 4 of 6, 2 kW</t>
        </is>
      </c>
      <c r="E5491" s="12" t="inlineStr"/>
      <c r="F5491" s="12" t="inlineStr">
        <is>
          <t>MOD-LV 480 V board + 480 V : 13.8 kV step-up</t>
        </is>
      </c>
      <c r="G5491" s="12" t="inlineStr"/>
      <c r="H5491" s="12" t="inlineStr">
        <is>
          <t>T-MOD-1 / T-MOD-2 firewall</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91</v>
      </c>
      <c r="V5491" s="15">
        <f>ROUNDUP((T5491+U5491+2*'Read Me'!$B$13)*(1+'Read Me'!$B$12),-1)</f>
        <v/>
      </c>
      <c r="W5491" s="15">
        <f>V5491*N5491*O5491</f>
        <v/>
      </c>
      <c r="X5491" s="12">
        <f>IF(LEFT(I5491,2)="MV",2*N5491*IF(L5491="1/C",O5491,1),0)</f>
        <v/>
      </c>
      <c r="Y5491" s="12">
        <f>IF(OR(LEFT(K5491,4)="LVAX",LEFT(K5491,6)="MV15AX",LEFT(K5491,4)="CTAX",LEFT(K5491,2)="W|"),2*N5491*O5491,0)</f>
        <v/>
      </c>
      <c r="Z5491" s="12" t="inlineStr">
        <is>
          <t>VD 0.7 %</t>
        </is>
      </c>
      <c r="AA5491" s="12">
        <f>N5491*O5491</f>
        <v/>
      </c>
    </row>
    <row r="5492">
      <c r="A5492" s="12" t="inlineStr">
        <is>
          <t>I-P-0328</t>
        </is>
      </c>
      <c r="B5492" s="12" t="inlineStr">
        <is>
          <t>I</t>
        </is>
      </c>
      <c r="C5492" s="12" t="inlineStr">
        <is>
          <t>Modular / portable power</t>
        </is>
      </c>
      <c r="D5492" s="12" t="inlineStr">
        <is>
          <t>Motor 5 of 6, 2 kW</t>
        </is>
      </c>
      <c r="E5492" s="12" t="inlineStr"/>
      <c r="F5492" s="12" t="inlineStr">
        <is>
          <t>MOD-LV 480 V board + 480 V : 13.8 kV step-up</t>
        </is>
      </c>
      <c r="G5492" s="12" t="inlineStr"/>
      <c r="H5492" s="12" t="inlineStr">
        <is>
          <t>T-MOD-1 / T-MOD-2 firewall</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91</v>
      </c>
      <c r="V5492" s="15">
        <f>ROUNDUP((T5492+U5492+2*'Read Me'!$B$13)*(1+'Read Me'!$B$12),-1)</f>
        <v/>
      </c>
      <c r="W5492" s="15">
        <f>V5492*N5492*O5492</f>
        <v/>
      </c>
      <c r="X5492" s="12">
        <f>IF(LEFT(I5492,2)="MV",2*N5492*IF(L5492="1/C",O5492,1),0)</f>
        <v/>
      </c>
      <c r="Y5492" s="12">
        <f>IF(OR(LEFT(K5492,4)="LVAX",LEFT(K5492,6)="MV15AX",LEFT(K5492,4)="CTAX",LEFT(K5492,2)="W|"),2*N5492*O5492,0)</f>
        <v/>
      </c>
      <c r="Z5492" s="12" t="inlineStr">
        <is>
          <t>VD 0.7 %</t>
        </is>
      </c>
      <c r="AA5492" s="12">
        <f>N5492*O5492</f>
        <v/>
      </c>
    </row>
    <row r="5493">
      <c r="A5493" s="12" t="inlineStr">
        <is>
          <t>I-P-0329</t>
        </is>
      </c>
      <c r="B5493" s="12" t="inlineStr">
        <is>
          <t>I</t>
        </is>
      </c>
      <c r="C5493" s="12" t="inlineStr">
        <is>
          <t>Modular / portable power</t>
        </is>
      </c>
      <c r="D5493" s="12" t="inlineStr">
        <is>
          <t>Motor 6 of 6, 2 kW</t>
        </is>
      </c>
      <c r="E5493" s="12" t="inlineStr"/>
      <c r="F5493" s="12" t="inlineStr">
        <is>
          <t>MOD-LV 480 V board + 480 V : 13.8 kV step-up</t>
        </is>
      </c>
      <c r="G5493" s="12" t="inlineStr"/>
      <c r="H5493" s="12" t="inlineStr">
        <is>
          <t>T-MOD-1 / T-MOD-2 firewall</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91</v>
      </c>
      <c r="V5493" s="15">
        <f>ROUNDUP((T5493+U5493+2*'Read Me'!$B$13)*(1+'Read Me'!$B$12),-1)</f>
        <v/>
      </c>
      <c r="W5493" s="15">
        <f>V5493*N5493*O5493</f>
        <v/>
      </c>
      <c r="X5493" s="12">
        <f>IF(LEFT(I5493,2)="MV",2*N5493*IF(L5493="1/C",O5493,1),0)</f>
        <v/>
      </c>
      <c r="Y5493" s="12">
        <f>IF(OR(LEFT(K5493,4)="LVAX",LEFT(K5493,6)="MV15AX",LEFT(K5493,4)="CTAX",LEFT(K5493,2)="W|"),2*N5493*O5493,0)</f>
        <v/>
      </c>
      <c r="Z5493" s="12" t="inlineStr">
        <is>
          <t>VD 0.7 %</t>
        </is>
      </c>
      <c r="AA5493" s="12">
        <f>N5493*O5493</f>
        <v/>
      </c>
    </row>
    <row r="5494">
      <c r="A5494" s="12" t="inlineStr">
        <is>
          <t>I-P-0330</t>
        </is>
      </c>
      <c r="B5494" s="12" t="inlineStr">
        <is>
          <t>I</t>
        </is>
      </c>
      <c r="C5494" s="12" t="inlineStr">
        <is>
          <t>Modular / portable power</t>
        </is>
      </c>
      <c r="D5494" s="12" t="inlineStr">
        <is>
          <t>Motor 1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I-P-0331</t>
        </is>
      </c>
      <c r="B5495" s="12" t="inlineStr">
        <is>
          <t>I</t>
        </is>
      </c>
      <c r="C5495" s="12" t="inlineStr">
        <is>
          <t>Modular / portable power</t>
        </is>
      </c>
      <c r="D5495" s="12" t="inlineStr">
        <is>
          <t>Motor 2 of 6, 2 kW</t>
        </is>
      </c>
      <c r="E5495" s="12" t="inlineStr"/>
      <c r="F5495" s="12" t="inlineStr">
        <is>
          <t>MOD-LV 480 V board + 480 V : 13.8 kV step-up</t>
        </is>
      </c>
      <c r="G5495" s="12" t="inlineStr">
        <is>
          <t>T-MOD-1</t>
        </is>
      </c>
      <c r="H5495" s="12" t="inlineStr">
        <is>
          <t>T-MOD-1: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404</v>
      </c>
      <c r="U5495" s="15" t="n">
        <v>43</v>
      </c>
      <c r="V5495" s="15">
        <f>ROUNDUP((T5495+U5495+2*'Read Me'!$B$13)*(1+'Read Me'!$B$12),-1)</f>
        <v/>
      </c>
      <c r="W5495" s="15">
        <f>V5495*N5495*O5495</f>
        <v/>
      </c>
      <c r="X5495" s="12">
        <f>IF(LEFT(I5495,2)="MV",2*N5495*IF(L5495="1/C",O5495,1),0)</f>
        <v/>
      </c>
      <c r="Y5495" s="12">
        <f>IF(OR(LEFT(K5495,4)="LVAX",LEFT(K5495,6)="MV15AX",LEFT(K5495,4)="CTAX",LEFT(K5495,2)="W|"),2*N5495*O5495,0)</f>
        <v/>
      </c>
      <c r="Z5495" s="12" t="inlineStr">
        <is>
          <t>VD 0.6 %</t>
        </is>
      </c>
      <c r="AA5495" s="12">
        <f>N5495*O5495</f>
        <v/>
      </c>
    </row>
    <row r="5496">
      <c r="A5496" s="12" t="inlineStr">
        <is>
          <t>I-P-0332</t>
        </is>
      </c>
      <c r="B5496" s="12" t="inlineStr">
        <is>
          <t>I</t>
        </is>
      </c>
      <c r="C5496" s="12" t="inlineStr">
        <is>
          <t>Modular / portable power</t>
        </is>
      </c>
      <c r="D5496" s="12" t="inlineStr">
        <is>
          <t>Motor 3 of 6, 2 kW</t>
        </is>
      </c>
      <c r="E5496" s="12" t="inlineStr"/>
      <c r="F5496" s="12" t="inlineStr">
        <is>
          <t>MOD-LV 480 V board + 480 V : 13.8 kV step-up</t>
        </is>
      </c>
      <c r="G5496" s="12" t="inlineStr">
        <is>
          <t>T-MOD-1</t>
        </is>
      </c>
      <c r="H5496" s="12" t="inlineStr">
        <is>
          <t>T-MOD-1: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404</v>
      </c>
      <c r="U5496" s="15" t="n">
        <v>43</v>
      </c>
      <c r="V5496" s="15">
        <f>ROUNDUP((T5496+U5496+2*'Read Me'!$B$13)*(1+'Read Me'!$B$12),-1)</f>
        <v/>
      </c>
      <c r="W5496" s="15">
        <f>V5496*N5496*O5496</f>
        <v/>
      </c>
      <c r="X5496" s="12">
        <f>IF(LEFT(I5496,2)="MV",2*N5496*IF(L5496="1/C",O5496,1),0)</f>
        <v/>
      </c>
      <c r="Y5496" s="12">
        <f>IF(OR(LEFT(K5496,4)="LVAX",LEFT(K5496,6)="MV15AX",LEFT(K5496,4)="CTAX",LEFT(K5496,2)="W|"),2*N5496*O5496,0)</f>
        <v/>
      </c>
      <c r="Z5496" s="12" t="inlineStr">
        <is>
          <t>VD 0.6 %</t>
        </is>
      </c>
      <c r="AA5496" s="12">
        <f>N5496*O5496</f>
        <v/>
      </c>
    </row>
    <row r="5497">
      <c r="A5497" s="12" t="inlineStr">
        <is>
          <t>I-P-0333</t>
        </is>
      </c>
      <c r="B5497" s="12" t="inlineStr">
        <is>
          <t>I</t>
        </is>
      </c>
      <c r="C5497" s="12" t="inlineStr">
        <is>
          <t>Modular / portable power</t>
        </is>
      </c>
      <c r="D5497" s="12" t="inlineStr">
        <is>
          <t>Motor 4 of 6, 2 kW</t>
        </is>
      </c>
      <c r="E5497" s="12" t="inlineStr"/>
      <c r="F5497" s="12" t="inlineStr">
        <is>
          <t>MOD-LV 480 V board + 480 V : 13.8 kV step-up</t>
        </is>
      </c>
      <c r="G5497" s="12" t="inlineStr">
        <is>
          <t>T-MOD-1</t>
        </is>
      </c>
      <c r="H5497" s="12" t="inlineStr">
        <is>
          <t>T-MOD-1: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404</v>
      </c>
      <c r="U5497" s="15" t="n">
        <v>43</v>
      </c>
      <c r="V5497" s="15">
        <f>ROUNDUP((T5497+U5497+2*'Read Me'!$B$13)*(1+'Read Me'!$B$12),-1)</f>
        <v/>
      </c>
      <c r="W5497" s="15">
        <f>V5497*N5497*O5497</f>
        <v/>
      </c>
      <c r="X5497" s="12">
        <f>IF(LEFT(I5497,2)="MV",2*N5497*IF(L5497="1/C",O5497,1),0)</f>
        <v/>
      </c>
      <c r="Y5497" s="12">
        <f>IF(OR(LEFT(K5497,4)="LVAX",LEFT(K5497,6)="MV15AX",LEFT(K5497,4)="CTAX",LEFT(K5497,2)="W|"),2*N5497*O5497,0)</f>
        <v/>
      </c>
      <c r="Z5497" s="12" t="inlineStr">
        <is>
          <t>VD 0.6 %</t>
        </is>
      </c>
      <c r="AA5497" s="12">
        <f>N5497*O5497</f>
        <v/>
      </c>
    </row>
    <row r="5498">
      <c r="A5498" s="12" t="inlineStr">
        <is>
          <t>I-P-0334</t>
        </is>
      </c>
      <c r="B5498" s="12" t="inlineStr">
        <is>
          <t>I</t>
        </is>
      </c>
      <c r="C5498" s="12" t="inlineStr">
        <is>
          <t>Modular / portable power</t>
        </is>
      </c>
      <c r="D5498" s="12" t="inlineStr">
        <is>
          <t>Motor 5 of 6, 2 kW</t>
        </is>
      </c>
      <c r="E5498" s="12" t="inlineStr"/>
      <c r="F5498" s="12" t="inlineStr">
        <is>
          <t>MOD-LV 480 V board + 480 V : 13.8 kV step-up</t>
        </is>
      </c>
      <c r="G5498" s="12" t="inlineStr">
        <is>
          <t>T-MOD-1</t>
        </is>
      </c>
      <c r="H5498" s="12" t="inlineStr">
        <is>
          <t>T-MOD-1: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404</v>
      </c>
      <c r="U5498" s="15" t="n">
        <v>43</v>
      </c>
      <c r="V5498" s="15">
        <f>ROUNDUP((T5498+U5498+2*'Read Me'!$B$13)*(1+'Read Me'!$B$12),-1)</f>
        <v/>
      </c>
      <c r="W5498" s="15">
        <f>V5498*N5498*O5498</f>
        <v/>
      </c>
      <c r="X5498" s="12">
        <f>IF(LEFT(I5498,2)="MV",2*N5498*IF(L5498="1/C",O5498,1),0)</f>
        <v/>
      </c>
      <c r="Y5498" s="12">
        <f>IF(OR(LEFT(K5498,4)="LVAX",LEFT(K5498,6)="MV15AX",LEFT(K5498,4)="CTAX",LEFT(K5498,2)="W|"),2*N5498*O5498,0)</f>
        <v/>
      </c>
      <c r="Z5498" s="12" t="inlineStr">
        <is>
          <t>VD 0.6 %</t>
        </is>
      </c>
      <c r="AA5498" s="12">
        <f>N5498*O5498</f>
        <v/>
      </c>
    </row>
    <row r="5499">
      <c r="A5499" s="12" t="inlineStr">
        <is>
          <t>I-P-0335</t>
        </is>
      </c>
      <c r="B5499" s="12" t="inlineStr">
        <is>
          <t>I</t>
        </is>
      </c>
      <c r="C5499" s="12" t="inlineStr">
        <is>
          <t>Modular / portable power</t>
        </is>
      </c>
      <c r="D5499" s="12" t="inlineStr">
        <is>
          <t>Motor 6 of 6, 2 kW</t>
        </is>
      </c>
      <c r="E5499" s="12" t="inlineStr"/>
      <c r="F5499" s="12" t="inlineStr">
        <is>
          <t>MOD-LV 480 V board + 480 V : 13.8 kV step-up</t>
        </is>
      </c>
      <c r="G5499" s="12" t="inlineStr">
        <is>
          <t>T-MOD-1</t>
        </is>
      </c>
      <c r="H5499" s="12" t="inlineStr">
        <is>
          <t>T-MOD-1: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404</v>
      </c>
      <c r="U5499" s="15" t="n">
        <v>43</v>
      </c>
      <c r="V5499" s="15">
        <f>ROUNDUP((T5499+U5499+2*'Read Me'!$B$13)*(1+'Read Me'!$B$12),-1)</f>
        <v/>
      </c>
      <c r="W5499" s="15">
        <f>V5499*N5499*O5499</f>
        <v/>
      </c>
      <c r="X5499" s="12">
        <f>IF(LEFT(I5499,2)="MV",2*N5499*IF(L5499="1/C",O5499,1),0)</f>
        <v/>
      </c>
      <c r="Y5499" s="12">
        <f>IF(OR(LEFT(K5499,4)="LVAX",LEFT(K5499,6)="MV15AX",LEFT(K5499,4)="CTAX",LEFT(K5499,2)="W|"),2*N5499*O5499,0)</f>
        <v/>
      </c>
      <c r="Z5499" s="12" t="inlineStr">
        <is>
          <t>VD 0.6 %</t>
        </is>
      </c>
      <c r="AA5499" s="12">
        <f>N5499*O5499</f>
        <v/>
      </c>
    </row>
    <row r="5500">
      <c r="A5500" s="12" t="inlineStr">
        <is>
          <t>I-P-0336</t>
        </is>
      </c>
      <c r="B5500" s="12" t="inlineStr">
        <is>
          <t>I</t>
        </is>
      </c>
      <c r="C5500" s="12" t="inlineStr">
        <is>
          <t>Modular / portable power</t>
        </is>
      </c>
      <c r="D5500" s="12" t="inlineStr">
        <is>
          <t>Motor 1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I-P-0337</t>
        </is>
      </c>
      <c r="B5501" s="12" t="inlineStr">
        <is>
          <t>I</t>
        </is>
      </c>
      <c r="C5501" s="12" t="inlineStr">
        <is>
          <t>Modular / portable power</t>
        </is>
      </c>
      <c r="D5501" s="12" t="inlineStr">
        <is>
          <t>Motor 2 of 6, 2 kW</t>
        </is>
      </c>
      <c r="E5501" s="12" t="inlineStr"/>
      <c r="F5501" s="12" t="inlineStr">
        <is>
          <t>MOD-LV 480 V board + 480 V : 13.8 kV step-up</t>
        </is>
      </c>
      <c r="G5501" s="12" t="inlineStr">
        <is>
          <t>T-MOD-2</t>
        </is>
      </c>
      <c r="H5501" s="12" t="inlineStr">
        <is>
          <t>T-MOD-2: 230 / 34.5 kV</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61</v>
      </c>
      <c r="V5501" s="15">
        <f>ROUNDUP((T5501+U5501+2*'Read Me'!$B$13)*(1+'Read Me'!$B$12),-1)</f>
        <v/>
      </c>
      <c r="W5501" s="15">
        <f>V5501*N5501*O5501</f>
        <v/>
      </c>
      <c r="X5501" s="12">
        <f>IF(LEFT(I5501,2)="MV",2*N5501*IF(L5501="1/C",O5501,1),0)</f>
        <v/>
      </c>
      <c r="Y5501" s="12">
        <f>IF(OR(LEFT(K5501,4)="LVAX",LEFT(K5501,6)="MV15AX",LEFT(K5501,4)="CTAX",LEFT(K5501,2)="W|"),2*N5501*O5501,0)</f>
        <v/>
      </c>
      <c r="Z5501" s="12" t="inlineStr">
        <is>
          <t>VD 0.5 %</t>
        </is>
      </c>
      <c r="AA5501" s="12">
        <f>N5501*O5501</f>
        <v/>
      </c>
    </row>
    <row r="5502">
      <c r="A5502" s="12" t="inlineStr">
        <is>
          <t>I-P-0338</t>
        </is>
      </c>
      <c r="B5502" s="12" t="inlineStr">
        <is>
          <t>I</t>
        </is>
      </c>
      <c r="C5502" s="12" t="inlineStr">
        <is>
          <t>Modular / portable power</t>
        </is>
      </c>
      <c r="D5502" s="12" t="inlineStr">
        <is>
          <t>Motor 3 of 6, 2 kW</t>
        </is>
      </c>
      <c r="E5502" s="12" t="inlineStr"/>
      <c r="F5502" s="12" t="inlineStr">
        <is>
          <t>MOD-LV 480 V board + 480 V : 13.8 kV step-up</t>
        </is>
      </c>
      <c r="G5502" s="12" t="inlineStr">
        <is>
          <t>T-MOD-2</t>
        </is>
      </c>
      <c r="H5502" s="12" t="inlineStr">
        <is>
          <t>T-MOD-2: 230 / 34.5 kV</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61</v>
      </c>
      <c r="V5502" s="15">
        <f>ROUNDUP((T5502+U5502+2*'Read Me'!$B$13)*(1+'Read Me'!$B$12),-1)</f>
        <v/>
      </c>
      <c r="W5502" s="15">
        <f>V5502*N5502*O5502</f>
        <v/>
      </c>
      <c r="X5502" s="12">
        <f>IF(LEFT(I5502,2)="MV",2*N5502*IF(L5502="1/C",O5502,1),0)</f>
        <v/>
      </c>
      <c r="Y5502" s="12">
        <f>IF(OR(LEFT(K5502,4)="LVAX",LEFT(K5502,6)="MV15AX",LEFT(K5502,4)="CTAX",LEFT(K5502,2)="W|"),2*N5502*O5502,0)</f>
        <v/>
      </c>
      <c r="Z5502" s="12" t="inlineStr">
        <is>
          <t>VD 0.5 %</t>
        </is>
      </c>
      <c r="AA5502" s="12">
        <f>N5502*O5502</f>
        <v/>
      </c>
    </row>
    <row r="5503">
      <c r="A5503" s="12" t="inlineStr">
        <is>
          <t>I-P-0339</t>
        </is>
      </c>
      <c r="B5503" s="12" t="inlineStr">
        <is>
          <t>I</t>
        </is>
      </c>
      <c r="C5503" s="12" t="inlineStr">
        <is>
          <t>Modular / portable power</t>
        </is>
      </c>
      <c r="D5503" s="12" t="inlineStr">
        <is>
          <t>Motor 4 of 6, 2 kW</t>
        </is>
      </c>
      <c r="E5503" s="12" t="inlineStr"/>
      <c r="F5503" s="12" t="inlineStr">
        <is>
          <t>MOD-LV 480 V board + 480 V : 13.8 kV step-up</t>
        </is>
      </c>
      <c r="G5503" s="12" t="inlineStr">
        <is>
          <t>T-MOD-2</t>
        </is>
      </c>
      <c r="H5503" s="12" t="inlineStr">
        <is>
          <t>T-MOD-2: 230 / 34.5 kV</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61</v>
      </c>
      <c r="V5503" s="15">
        <f>ROUNDUP((T5503+U5503+2*'Read Me'!$B$13)*(1+'Read Me'!$B$12),-1)</f>
        <v/>
      </c>
      <c r="W5503" s="15">
        <f>V5503*N5503*O5503</f>
        <v/>
      </c>
      <c r="X5503" s="12">
        <f>IF(LEFT(I5503,2)="MV",2*N5503*IF(L5503="1/C",O5503,1),0)</f>
        <v/>
      </c>
      <c r="Y5503" s="12">
        <f>IF(OR(LEFT(K5503,4)="LVAX",LEFT(K5503,6)="MV15AX",LEFT(K5503,4)="CTAX",LEFT(K5503,2)="W|"),2*N5503*O5503,0)</f>
        <v/>
      </c>
      <c r="Z5503" s="12" t="inlineStr">
        <is>
          <t>VD 0.5 %</t>
        </is>
      </c>
      <c r="AA5503" s="12">
        <f>N5503*O5503</f>
        <v/>
      </c>
    </row>
    <row r="5504">
      <c r="A5504" s="12" t="inlineStr">
        <is>
          <t>I-P-0340</t>
        </is>
      </c>
      <c r="B5504" s="12" t="inlineStr">
        <is>
          <t>I</t>
        </is>
      </c>
      <c r="C5504" s="12" t="inlineStr">
        <is>
          <t>Modular / portable power</t>
        </is>
      </c>
      <c r="D5504" s="12" t="inlineStr">
        <is>
          <t>Motor 5 of 6, 2 kW</t>
        </is>
      </c>
      <c r="E5504" s="12" t="inlineStr"/>
      <c r="F5504" s="12" t="inlineStr">
        <is>
          <t>MOD-LV 480 V board + 480 V : 13.8 kV step-up</t>
        </is>
      </c>
      <c r="G5504" s="12" t="inlineStr">
        <is>
          <t>T-MOD-2</t>
        </is>
      </c>
      <c r="H5504" s="12" t="inlineStr">
        <is>
          <t>T-MOD-2: 230 / 34.5 kV</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61</v>
      </c>
      <c r="V5504" s="15">
        <f>ROUNDUP((T5504+U5504+2*'Read Me'!$B$13)*(1+'Read Me'!$B$12),-1)</f>
        <v/>
      </c>
      <c r="W5504" s="15">
        <f>V5504*N5504*O5504</f>
        <v/>
      </c>
      <c r="X5504" s="12">
        <f>IF(LEFT(I5504,2)="MV",2*N5504*IF(L5504="1/C",O5504,1),0)</f>
        <v/>
      </c>
      <c r="Y5504" s="12">
        <f>IF(OR(LEFT(K5504,4)="LVAX",LEFT(K5504,6)="MV15AX",LEFT(K5504,4)="CTAX",LEFT(K5504,2)="W|"),2*N5504*O5504,0)</f>
        <v/>
      </c>
      <c r="Z5504" s="12" t="inlineStr">
        <is>
          <t>VD 0.5 %</t>
        </is>
      </c>
      <c r="AA5504" s="12">
        <f>N5504*O5504</f>
        <v/>
      </c>
    </row>
    <row r="5505">
      <c r="A5505" s="12" t="inlineStr">
        <is>
          <t>I-P-0341</t>
        </is>
      </c>
      <c r="B5505" s="12" t="inlineStr">
        <is>
          <t>I</t>
        </is>
      </c>
      <c r="C5505" s="12" t="inlineStr">
        <is>
          <t>Modular / portable power</t>
        </is>
      </c>
      <c r="D5505" s="12" t="inlineStr">
        <is>
          <t>Motor 6 of 6, 2 kW</t>
        </is>
      </c>
      <c r="E5505" s="12" t="inlineStr"/>
      <c r="F5505" s="12" t="inlineStr">
        <is>
          <t>MOD-LV 480 V board + 480 V : 13.8 kV step-up</t>
        </is>
      </c>
      <c r="G5505" s="12" t="inlineStr">
        <is>
          <t>T-MOD-2</t>
        </is>
      </c>
      <c r="H5505" s="12" t="inlineStr">
        <is>
          <t>T-MOD-2: 230 / 34.5 kV</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61</v>
      </c>
      <c r="V5505" s="15">
        <f>ROUNDUP((T5505+U5505+2*'Read Me'!$B$13)*(1+'Read Me'!$B$12),-1)</f>
        <v/>
      </c>
      <c r="W5505" s="15">
        <f>V5505*N5505*O5505</f>
        <v/>
      </c>
      <c r="X5505" s="12">
        <f>IF(LEFT(I5505,2)="MV",2*N5505*IF(L5505="1/C",O5505,1),0)</f>
        <v/>
      </c>
      <c r="Y5505" s="12">
        <f>IF(OR(LEFT(K5505,4)="LVAX",LEFT(K5505,6)="MV15AX",LEFT(K5505,4)="CTAX",LEFT(K5505,2)="W|"),2*N5505*O5505,0)</f>
        <v/>
      </c>
      <c r="Z5505" s="12" t="inlineStr">
        <is>
          <t>VD 0.5 %</t>
        </is>
      </c>
      <c r="AA5505" s="12">
        <f>N5505*O5505</f>
        <v/>
      </c>
    </row>
    <row r="5506">
      <c r="A5506" s="12" t="inlineStr">
        <is>
          <t>I-P-0342</t>
        </is>
      </c>
      <c r="B5506" s="12" t="inlineStr">
        <is>
          <t>I</t>
        </is>
      </c>
      <c r="C5506" s="12" t="inlineStr">
        <is>
          <t>Modular / portable power</t>
        </is>
      </c>
      <c r="D5506" s="12" t="inlineStr">
        <is>
          <t>Motor 1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I-P-0343</t>
        </is>
      </c>
      <c r="B5507" s="12" t="inlineStr">
        <is>
          <t>I</t>
        </is>
      </c>
      <c r="C5507" s="12" t="inlineStr">
        <is>
          <t>Modular / portable power</t>
        </is>
      </c>
      <c r="D5507" s="12" t="inlineStr">
        <is>
          <t>Motor 2 of 6, 2 kW</t>
        </is>
      </c>
      <c r="E5507" s="12" t="inlineStr"/>
      <c r="F5507" s="12" t="inlineStr">
        <is>
          <t>MOD-LV 480 V board + 480 V : 13.8 kV step-up</t>
        </is>
      </c>
      <c r="G5507" s="12" t="inlineStr"/>
      <c r="H5507" s="12" t="inlineStr">
        <is>
          <t>T-MOD-3 230 kV gantry extension with arresters</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290</v>
      </c>
      <c r="U5507" s="15" t="n">
        <v>36</v>
      </c>
      <c r="V5507" s="15">
        <f>ROUNDUP((T5507+U5507+2*'Read Me'!$B$13)*(1+'Read Me'!$B$12),-1)</f>
        <v/>
      </c>
      <c r="W5507" s="15">
        <f>V5507*N5507*O5507</f>
        <v/>
      </c>
      <c r="X5507" s="12">
        <f>IF(LEFT(I5507,2)="MV",2*N5507*IF(L5507="1/C",O5507,1),0)</f>
        <v/>
      </c>
      <c r="Y5507" s="12">
        <f>IF(OR(LEFT(K5507,4)="LVAX",LEFT(K5507,6)="MV15AX",LEFT(K5507,4)="CTAX",LEFT(K5507,2)="W|"),2*N5507*O5507,0)</f>
        <v/>
      </c>
      <c r="Z5507" s="12" t="inlineStr">
        <is>
          <t>VD 0.4 %</t>
        </is>
      </c>
      <c r="AA5507" s="12">
        <f>N5507*O5507</f>
        <v/>
      </c>
    </row>
    <row r="5508">
      <c r="A5508" s="12" t="inlineStr">
        <is>
          <t>I-P-0344</t>
        </is>
      </c>
      <c r="B5508" s="12" t="inlineStr">
        <is>
          <t>I</t>
        </is>
      </c>
      <c r="C5508" s="12" t="inlineStr">
        <is>
          <t>Modular / portable power</t>
        </is>
      </c>
      <c r="D5508" s="12" t="inlineStr">
        <is>
          <t>Motor 3 of 6, 2 kW</t>
        </is>
      </c>
      <c r="E5508" s="12" t="inlineStr"/>
      <c r="F5508" s="12" t="inlineStr">
        <is>
          <t>MOD-LV 480 V board + 480 V : 13.8 kV step-up</t>
        </is>
      </c>
      <c r="G5508" s="12" t="inlineStr"/>
      <c r="H5508" s="12" t="inlineStr">
        <is>
          <t>T-MOD-3 230 kV gantry extension with arresters</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290</v>
      </c>
      <c r="U5508" s="15" t="n">
        <v>36</v>
      </c>
      <c r="V5508" s="15">
        <f>ROUNDUP((T5508+U5508+2*'Read Me'!$B$13)*(1+'Read Me'!$B$12),-1)</f>
        <v/>
      </c>
      <c r="W5508" s="15">
        <f>V5508*N5508*O5508</f>
        <v/>
      </c>
      <c r="X5508" s="12">
        <f>IF(LEFT(I5508,2)="MV",2*N5508*IF(L5508="1/C",O5508,1),0)</f>
        <v/>
      </c>
      <c r="Y5508" s="12">
        <f>IF(OR(LEFT(K5508,4)="LVAX",LEFT(K5508,6)="MV15AX",LEFT(K5508,4)="CTAX",LEFT(K5508,2)="W|"),2*N5508*O5508,0)</f>
        <v/>
      </c>
      <c r="Z5508" s="12" t="inlineStr">
        <is>
          <t>VD 0.4 %</t>
        </is>
      </c>
      <c r="AA5508" s="12">
        <f>N5508*O5508</f>
        <v/>
      </c>
    </row>
    <row r="5509">
      <c r="A5509" s="12" t="inlineStr">
        <is>
          <t>I-P-0345</t>
        </is>
      </c>
      <c r="B5509" s="12" t="inlineStr">
        <is>
          <t>I</t>
        </is>
      </c>
      <c r="C5509" s="12" t="inlineStr">
        <is>
          <t>Modular / portable power</t>
        </is>
      </c>
      <c r="D5509" s="12" t="inlineStr">
        <is>
          <t>Motor 4 of 6, 2 kW</t>
        </is>
      </c>
      <c r="E5509" s="12" t="inlineStr"/>
      <c r="F5509" s="12" t="inlineStr">
        <is>
          <t>MOD-LV 480 V board + 480 V : 13.8 kV step-up</t>
        </is>
      </c>
      <c r="G5509" s="12" t="inlineStr"/>
      <c r="H5509" s="12" t="inlineStr">
        <is>
          <t>T-MOD-3 230 kV gantry extension with arresters</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290</v>
      </c>
      <c r="U5509" s="15" t="n">
        <v>36</v>
      </c>
      <c r="V5509" s="15">
        <f>ROUNDUP((T5509+U5509+2*'Read Me'!$B$13)*(1+'Read Me'!$B$12),-1)</f>
        <v/>
      </c>
      <c r="W5509" s="15">
        <f>V5509*N5509*O5509</f>
        <v/>
      </c>
      <c r="X5509" s="12">
        <f>IF(LEFT(I5509,2)="MV",2*N5509*IF(L5509="1/C",O5509,1),0)</f>
        <v/>
      </c>
      <c r="Y5509" s="12">
        <f>IF(OR(LEFT(K5509,4)="LVAX",LEFT(K5509,6)="MV15AX",LEFT(K5509,4)="CTAX",LEFT(K5509,2)="W|"),2*N5509*O5509,0)</f>
        <v/>
      </c>
      <c r="Z5509" s="12" t="inlineStr">
        <is>
          <t>VD 0.4 %</t>
        </is>
      </c>
      <c r="AA5509" s="12">
        <f>N5509*O5509</f>
        <v/>
      </c>
    </row>
    <row r="5510">
      <c r="A5510" s="12" t="inlineStr">
        <is>
          <t>I-P-0346</t>
        </is>
      </c>
      <c r="B5510" s="12" t="inlineStr">
        <is>
          <t>I</t>
        </is>
      </c>
      <c r="C5510" s="12" t="inlineStr">
        <is>
          <t>Modular / portable power</t>
        </is>
      </c>
      <c r="D5510" s="12" t="inlineStr">
        <is>
          <t>Motor 5 of 6, 2 kW</t>
        </is>
      </c>
      <c r="E5510" s="12" t="inlineStr"/>
      <c r="F5510" s="12" t="inlineStr">
        <is>
          <t>MOD-LV 480 V board + 480 V : 13.8 kV step-up</t>
        </is>
      </c>
      <c r="G5510" s="12" t="inlineStr"/>
      <c r="H5510" s="12" t="inlineStr">
        <is>
          <t>T-MOD-3 230 kV gantry extension with arresters</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290</v>
      </c>
      <c r="U5510" s="15" t="n">
        <v>36</v>
      </c>
      <c r="V5510" s="15">
        <f>ROUNDUP((T5510+U5510+2*'Read Me'!$B$13)*(1+'Read Me'!$B$12),-1)</f>
        <v/>
      </c>
      <c r="W5510" s="15">
        <f>V5510*N5510*O5510</f>
        <v/>
      </c>
      <c r="X5510" s="12">
        <f>IF(LEFT(I5510,2)="MV",2*N5510*IF(L5510="1/C",O5510,1),0)</f>
        <v/>
      </c>
      <c r="Y5510" s="12">
        <f>IF(OR(LEFT(K5510,4)="LVAX",LEFT(K5510,6)="MV15AX",LEFT(K5510,4)="CTAX",LEFT(K5510,2)="W|"),2*N5510*O5510,0)</f>
        <v/>
      </c>
      <c r="Z5510" s="12" t="inlineStr">
        <is>
          <t>VD 0.4 %</t>
        </is>
      </c>
      <c r="AA5510" s="12">
        <f>N5510*O5510</f>
        <v/>
      </c>
    </row>
    <row r="5511">
      <c r="A5511" s="12" t="inlineStr">
        <is>
          <t>I-P-0347</t>
        </is>
      </c>
      <c r="B5511" s="12" t="inlineStr">
        <is>
          <t>I</t>
        </is>
      </c>
      <c r="C5511" s="12" t="inlineStr">
        <is>
          <t>Modular / portable power</t>
        </is>
      </c>
      <c r="D5511" s="12" t="inlineStr">
        <is>
          <t>Motor 6 of 6, 2 kW</t>
        </is>
      </c>
      <c r="E5511" s="12" t="inlineStr"/>
      <c r="F5511" s="12" t="inlineStr">
        <is>
          <t>MOD-LV 480 V board + 480 V : 13.8 kV step-up</t>
        </is>
      </c>
      <c r="G5511" s="12" t="inlineStr"/>
      <c r="H5511" s="12" t="inlineStr">
        <is>
          <t>T-MOD-3 230 kV gantry extension with arresters</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290</v>
      </c>
      <c r="U5511" s="15" t="n">
        <v>36</v>
      </c>
      <c r="V5511" s="15">
        <f>ROUNDUP((T5511+U5511+2*'Read Me'!$B$13)*(1+'Read Me'!$B$12),-1)</f>
        <v/>
      </c>
      <c r="W5511" s="15">
        <f>V5511*N5511*O5511</f>
        <v/>
      </c>
      <c r="X5511" s="12">
        <f>IF(LEFT(I5511,2)="MV",2*N5511*IF(L5511="1/C",O5511,1),0)</f>
        <v/>
      </c>
      <c r="Y5511" s="12">
        <f>IF(OR(LEFT(K5511,4)="LVAX",LEFT(K5511,6)="MV15AX",LEFT(K5511,4)="CTAX",LEFT(K5511,2)="W|"),2*N5511*O5511,0)</f>
        <v/>
      </c>
      <c r="Z5511" s="12" t="inlineStr">
        <is>
          <t>VD 0.4 %</t>
        </is>
      </c>
      <c r="AA5511" s="12">
        <f>N5511*O5511</f>
        <v/>
      </c>
    </row>
    <row r="5512">
      <c r="A5512" s="12" t="inlineStr">
        <is>
          <t>I-P-0348</t>
        </is>
      </c>
      <c r="B5512" s="12" t="inlineStr">
        <is>
          <t>I</t>
        </is>
      </c>
      <c r="C5512" s="12" t="inlineStr">
        <is>
          <t>Modular / portable power</t>
        </is>
      </c>
      <c r="D5512" s="12" t="inlineStr">
        <is>
          <t>TGF-SWG station service from its internal 480 V aux transformer: charger, heaters, HVAC</t>
        </is>
      </c>
      <c r="E5512" s="12" t="inlineStr">
        <is>
          <t>TGF-SWG</t>
        </is>
      </c>
      <c r="F5512" s="12" t="inlineStr">
        <is>
          <t>TGF-SWG: mobile 13.8 kV switchgear trailer (fleet collector)</t>
        </is>
      </c>
      <c r="G5512" s="12" t="inlineStr">
        <is>
          <t>TGF-SWG</t>
        </is>
      </c>
      <c r="H5512" s="12" t="inlineStr">
        <is>
          <t>TGF-SWG: mobile 13.8 kV switchgear trailer (fleet collector)</t>
        </is>
      </c>
      <c r="I5512" s="12" t="inlineStr">
        <is>
          <t>LV 600 V</t>
        </is>
      </c>
      <c r="J5512" s="12" t="inlineStr">
        <is>
          <t>Type TC-ER 600 V 3/C Cu XHHW-2 + ground, PVC jacket</t>
        </is>
      </c>
      <c r="K5512" s="12" t="inlineStr">
        <is>
          <t>LV|3/C+G|2</t>
        </is>
      </c>
      <c r="L5512" s="12" t="inlineStr">
        <is>
          <t>3/C+G</t>
        </is>
      </c>
      <c r="M5512" s="12" t="inlineStr">
        <is>
          <t>2</t>
        </is>
      </c>
      <c r="N5512" s="12" t="n">
        <v>1</v>
      </c>
      <c r="O5512" s="12" t="n">
        <v>1</v>
      </c>
      <c r="P5512" s="12" t="n">
        <v>480</v>
      </c>
      <c r="Q5512" s="12" t="n">
        <v>45</v>
      </c>
      <c r="R5512" s="12" t="n">
        <v>60</v>
      </c>
      <c r="S5512" s="12" t="inlineStr">
        <is>
          <t>Tray</t>
        </is>
      </c>
      <c r="T5512" s="15" t="n">
        <v>40</v>
      </c>
      <c r="U5512" s="15" t="n">
        <v>10</v>
      </c>
      <c r="V5512" s="15">
        <f>ROUNDUP((T5512+U5512+2*'Read Me'!$B$13)*(1+'Read Me'!$B$12),-1)</f>
        <v/>
      </c>
      <c r="W5512" s="15">
        <f>V5512*N5512*O5512</f>
        <v/>
      </c>
      <c r="X5512" s="12">
        <f>IF(LEFT(I5512,2)="MV",2*N5512*IF(L5512="1/C",O5512,1),0)</f>
        <v/>
      </c>
      <c r="Y5512" s="12">
        <f>IF(OR(LEFT(K5512,4)="LVAX",LEFT(K5512,6)="MV15AX",LEFT(K5512,4)="CTAX",LEFT(K5512,2)="W|"),2*N5512*O5512,0)</f>
        <v/>
      </c>
      <c r="Z5512" s="12" t="inlineStr">
        <is>
          <t>internal to the lineup</t>
        </is>
      </c>
      <c r="AA5512" s="12">
        <f>N5512*O5512</f>
        <v/>
      </c>
    </row>
    <row r="5513">
      <c r="A5513" s="12" t="inlineStr">
        <is>
          <t>I-P-0349</t>
        </is>
      </c>
      <c r="B5513" s="12" t="inlineStr">
        <is>
          <t>I</t>
        </is>
      </c>
      <c r="C5513" s="12" t="inlineStr">
        <is>
          <t>Modular / portable power</t>
        </is>
      </c>
      <c r="D5513" s="12" t="inlineStr">
        <is>
          <t>Motor 1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I-P-0350</t>
        </is>
      </c>
      <c r="B5514" s="12" t="inlineStr">
        <is>
          <t>I</t>
        </is>
      </c>
      <c r="C5514" s="12" t="inlineStr">
        <is>
          <t>Modular / portable power</t>
        </is>
      </c>
      <c r="D5514" s="12" t="inlineStr">
        <is>
          <t>Motor 2 of 6, 22 kW</t>
        </is>
      </c>
      <c r="E5514" s="12" t="inlineStr"/>
      <c r="F5514" s="12" t="inlineStr">
        <is>
          <t>MOD-LV 480 V board + 480 V : 13.8 kV step-up</t>
        </is>
      </c>
      <c r="G5514" s="12" t="inlineStr">
        <is>
          <t>TM-1</t>
        </is>
      </c>
      <c r="H5514" s="12" t="inlineStr">
        <is>
          <t>TM-1: trailer-mounted aeroderivative GT (TM2500 class, ~35 MW)</t>
        </is>
      </c>
      <c r="I5514" s="12" t="inlineStr">
        <is>
          <t>LV 600 V</t>
        </is>
      </c>
      <c r="J5514" s="12" t="inlineStr">
        <is>
          <t>Type TC-ER 600 V 3/C Cu XHHW-2 + ground, PVC jacket</t>
        </is>
      </c>
      <c r="K5514" s="12" t="inlineStr">
        <is>
          <t>LV|3/C+G|6</t>
        </is>
      </c>
      <c r="L5514" s="12" t="inlineStr">
        <is>
          <t>3/C+G</t>
        </is>
      </c>
      <c r="M5514" s="12" t="inlineStr">
        <is>
          <t>6</t>
        </is>
      </c>
      <c r="N5514" s="12" t="n">
        <v>1</v>
      </c>
      <c r="O5514" s="12" t="n">
        <v>1</v>
      </c>
      <c r="P5514" s="12" t="n">
        <v>480</v>
      </c>
      <c r="Q5514" s="12" t="n">
        <v>22</v>
      </c>
      <c r="R5514" s="12" t="n">
        <v>31.1</v>
      </c>
      <c r="S5514" s="12" t="inlineStr">
        <is>
          <t>Duct bank</t>
        </is>
      </c>
      <c r="T5514" s="15" t="n">
        <v>323</v>
      </c>
      <c r="U5514" s="15" t="n">
        <v>38</v>
      </c>
      <c r="V5514" s="15">
        <f>ROUNDUP((T5514+U5514+2*'Read Me'!$B$13)*(1+'Read Me'!$B$12),-1)</f>
        <v/>
      </c>
      <c r="W5514" s="15">
        <f>V5514*N5514*O5514</f>
        <v/>
      </c>
      <c r="X5514" s="12">
        <f>IF(LEFT(I5514,2)="MV",2*N5514*IF(L5514="1/C",O5514,1),0)</f>
        <v/>
      </c>
      <c r="Y5514" s="12">
        <f>IF(OR(LEFT(K5514,4)="LVAX",LEFT(K5514,6)="MV15AX",LEFT(K5514,4)="CTAX",LEFT(K5514,2)="W|"),2*N5514*O5514,0)</f>
        <v/>
      </c>
      <c r="Z5514" s="12" t="inlineStr">
        <is>
          <t>VD 2.2 %</t>
        </is>
      </c>
      <c r="AA5514" s="12">
        <f>N5514*O5514</f>
        <v/>
      </c>
    </row>
    <row r="5515">
      <c r="A5515" s="12" t="inlineStr">
        <is>
          <t>I-P-0351</t>
        </is>
      </c>
      <c r="B5515" s="12" t="inlineStr">
        <is>
          <t>I</t>
        </is>
      </c>
      <c r="C5515" s="12" t="inlineStr">
        <is>
          <t>Modular / portable power</t>
        </is>
      </c>
      <c r="D5515" s="12" t="inlineStr">
        <is>
          <t>Motor 3 of 6, 22 kW</t>
        </is>
      </c>
      <c r="E5515" s="12" t="inlineStr"/>
      <c r="F5515" s="12" t="inlineStr">
        <is>
          <t>MOD-LV 480 V board + 480 V : 13.8 kV step-up</t>
        </is>
      </c>
      <c r="G5515" s="12" t="inlineStr">
        <is>
          <t>TM-1</t>
        </is>
      </c>
      <c r="H5515" s="12" t="inlineStr">
        <is>
          <t>TM-1: trailer-mounted aeroderivative GT (TM2500 class, ~35 MW)</t>
        </is>
      </c>
      <c r="I5515" s="12" t="inlineStr">
        <is>
          <t>LV 600 V</t>
        </is>
      </c>
      <c r="J5515" s="12" t="inlineStr">
        <is>
          <t>Type TC-ER 600 V 3/C Cu XHHW-2 + ground, PVC jacket</t>
        </is>
      </c>
      <c r="K5515" s="12" t="inlineStr">
        <is>
          <t>LV|3/C+G|6</t>
        </is>
      </c>
      <c r="L5515" s="12" t="inlineStr">
        <is>
          <t>3/C+G</t>
        </is>
      </c>
      <c r="M5515" s="12" t="inlineStr">
        <is>
          <t>6</t>
        </is>
      </c>
      <c r="N5515" s="12" t="n">
        <v>1</v>
      </c>
      <c r="O5515" s="12" t="n">
        <v>1</v>
      </c>
      <c r="P5515" s="12" t="n">
        <v>480</v>
      </c>
      <c r="Q5515" s="12" t="n">
        <v>22</v>
      </c>
      <c r="R5515" s="12" t="n">
        <v>31.1</v>
      </c>
      <c r="S5515" s="12" t="inlineStr">
        <is>
          <t>Duct bank</t>
        </is>
      </c>
      <c r="T5515" s="15" t="n">
        <v>323</v>
      </c>
      <c r="U5515" s="15" t="n">
        <v>38</v>
      </c>
      <c r="V5515" s="15">
        <f>ROUNDUP((T5515+U5515+2*'Read Me'!$B$13)*(1+'Read Me'!$B$12),-1)</f>
        <v/>
      </c>
      <c r="W5515" s="15">
        <f>V5515*N5515*O5515</f>
        <v/>
      </c>
      <c r="X5515" s="12">
        <f>IF(LEFT(I5515,2)="MV",2*N5515*IF(L5515="1/C",O5515,1),0)</f>
        <v/>
      </c>
      <c r="Y5515" s="12">
        <f>IF(OR(LEFT(K5515,4)="LVAX",LEFT(K5515,6)="MV15AX",LEFT(K5515,4)="CTAX",LEFT(K5515,2)="W|"),2*N5515*O5515,0)</f>
        <v/>
      </c>
      <c r="Z5515" s="12" t="inlineStr">
        <is>
          <t>VD 2.2 %</t>
        </is>
      </c>
      <c r="AA5515" s="12">
        <f>N5515*O5515</f>
        <v/>
      </c>
    </row>
    <row r="5516">
      <c r="A5516" s="12" t="inlineStr">
        <is>
          <t>I-P-0352</t>
        </is>
      </c>
      <c r="B5516" s="12" t="inlineStr">
        <is>
          <t>I</t>
        </is>
      </c>
      <c r="C5516" s="12" t="inlineStr">
        <is>
          <t>Modular / portable power</t>
        </is>
      </c>
      <c r="D5516" s="12" t="inlineStr">
        <is>
          <t>Motor 4 of 6, 22 kW</t>
        </is>
      </c>
      <c r="E5516" s="12" t="inlineStr"/>
      <c r="F5516" s="12" t="inlineStr">
        <is>
          <t>MOD-LV 480 V board + 480 V : 13.8 kV step-up</t>
        </is>
      </c>
      <c r="G5516" s="12" t="inlineStr">
        <is>
          <t>TM-1</t>
        </is>
      </c>
      <c r="H5516" s="12" t="inlineStr">
        <is>
          <t>TM-1: trailer-mounted aeroderivative GT (TM2500 class, ~35 MW)</t>
        </is>
      </c>
      <c r="I5516" s="12" t="inlineStr">
        <is>
          <t>LV 600 V</t>
        </is>
      </c>
      <c r="J5516" s="12" t="inlineStr">
        <is>
          <t>Type TC-ER 600 V 3/C Cu XHHW-2 + ground, PVC jacket</t>
        </is>
      </c>
      <c r="K5516" s="12" t="inlineStr">
        <is>
          <t>LV|3/C+G|6</t>
        </is>
      </c>
      <c r="L5516" s="12" t="inlineStr">
        <is>
          <t>3/C+G</t>
        </is>
      </c>
      <c r="M5516" s="12" t="inlineStr">
        <is>
          <t>6</t>
        </is>
      </c>
      <c r="N5516" s="12" t="n">
        <v>1</v>
      </c>
      <c r="O5516" s="12" t="n">
        <v>1</v>
      </c>
      <c r="P5516" s="12" t="n">
        <v>480</v>
      </c>
      <c r="Q5516" s="12" t="n">
        <v>22</v>
      </c>
      <c r="R5516" s="12" t="n">
        <v>31.1</v>
      </c>
      <c r="S5516" s="12" t="inlineStr">
        <is>
          <t>Duct bank</t>
        </is>
      </c>
      <c r="T5516" s="15" t="n">
        <v>323</v>
      </c>
      <c r="U5516" s="15" t="n">
        <v>38</v>
      </c>
      <c r="V5516" s="15">
        <f>ROUNDUP((T5516+U5516+2*'Read Me'!$B$13)*(1+'Read Me'!$B$12),-1)</f>
        <v/>
      </c>
      <c r="W5516" s="15">
        <f>V5516*N5516*O5516</f>
        <v/>
      </c>
      <c r="X5516" s="12">
        <f>IF(LEFT(I5516,2)="MV",2*N5516*IF(L5516="1/C",O5516,1),0)</f>
        <v/>
      </c>
      <c r="Y5516" s="12">
        <f>IF(OR(LEFT(K5516,4)="LVAX",LEFT(K5516,6)="MV15AX",LEFT(K5516,4)="CTAX",LEFT(K5516,2)="W|"),2*N5516*O5516,0)</f>
        <v/>
      </c>
      <c r="Z5516" s="12" t="inlineStr">
        <is>
          <t>VD 2.2 %</t>
        </is>
      </c>
      <c r="AA5516" s="12">
        <f>N5516*O5516</f>
        <v/>
      </c>
    </row>
    <row r="5517">
      <c r="A5517" s="12" t="inlineStr">
        <is>
          <t>I-P-0353</t>
        </is>
      </c>
      <c r="B5517" s="12" t="inlineStr">
        <is>
          <t>I</t>
        </is>
      </c>
      <c r="C5517" s="12" t="inlineStr">
        <is>
          <t>Modular / portable power</t>
        </is>
      </c>
      <c r="D5517" s="12" t="inlineStr">
        <is>
          <t>Motor 5 of 6, 22 kW</t>
        </is>
      </c>
      <c r="E5517" s="12" t="inlineStr"/>
      <c r="F5517" s="12" t="inlineStr">
        <is>
          <t>MOD-LV 480 V board + 480 V : 13.8 kV step-up</t>
        </is>
      </c>
      <c r="G5517" s="12" t="inlineStr">
        <is>
          <t>TM-1</t>
        </is>
      </c>
      <c r="H5517" s="12" t="inlineStr">
        <is>
          <t>TM-1: trailer-mounted aeroderivative GT (TM2500 class, ~35 MW)</t>
        </is>
      </c>
      <c r="I5517" s="12" t="inlineStr">
        <is>
          <t>LV 600 V</t>
        </is>
      </c>
      <c r="J5517" s="12" t="inlineStr">
        <is>
          <t>Type TC-ER 600 V 3/C Cu XHHW-2 + ground, PVC jacket</t>
        </is>
      </c>
      <c r="K5517" s="12" t="inlineStr">
        <is>
          <t>LV|3/C+G|6</t>
        </is>
      </c>
      <c r="L5517" s="12" t="inlineStr">
        <is>
          <t>3/C+G</t>
        </is>
      </c>
      <c r="M5517" s="12" t="inlineStr">
        <is>
          <t>6</t>
        </is>
      </c>
      <c r="N5517" s="12" t="n">
        <v>1</v>
      </c>
      <c r="O5517" s="12" t="n">
        <v>1</v>
      </c>
      <c r="P5517" s="12" t="n">
        <v>480</v>
      </c>
      <c r="Q5517" s="12" t="n">
        <v>22</v>
      </c>
      <c r="R5517" s="12" t="n">
        <v>31.1</v>
      </c>
      <c r="S5517" s="12" t="inlineStr">
        <is>
          <t>Duct bank</t>
        </is>
      </c>
      <c r="T5517" s="15" t="n">
        <v>323</v>
      </c>
      <c r="U5517" s="15" t="n">
        <v>38</v>
      </c>
      <c r="V5517" s="15">
        <f>ROUNDUP((T5517+U5517+2*'Read Me'!$B$13)*(1+'Read Me'!$B$12),-1)</f>
        <v/>
      </c>
      <c r="W5517" s="15">
        <f>V5517*N5517*O5517</f>
        <v/>
      </c>
      <c r="X5517" s="12">
        <f>IF(LEFT(I5517,2)="MV",2*N5517*IF(L5517="1/C",O5517,1),0)</f>
        <v/>
      </c>
      <c r="Y5517" s="12">
        <f>IF(OR(LEFT(K5517,4)="LVAX",LEFT(K5517,6)="MV15AX",LEFT(K5517,4)="CTAX",LEFT(K5517,2)="W|"),2*N5517*O5517,0)</f>
        <v/>
      </c>
      <c r="Z5517" s="12" t="inlineStr">
        <is>
          <t>VD 2.2 %</t>
        </is>
      </c>
      <c r="AA5517" s="12">
        <f>N5517*O5517</f>
        <v/>
      </c>
    </row>
    <row r="5518">
      <c r="A5518" s="12" t="inlineStr">
        <is>
          <t>I-P-0354</t>
        </is>
      </c>
      <c r="B5518" s="12" t="inlineStr">
        <is>
          <t>I</t>
        </is>
      </c>
      <c r="C5518" s="12" t="inlineStr">
        <is>
          <t>Modular / portable power</t>
        </is>
      </c>
      <c r="D5518" s="12" t="inlineStr">
        <is>
          <t>Motor 6 of 6, 22 kW</t>
        </is>
      </c>
      <c r="E5518" s="12" t="inlineStr"/>
      <c r="F5518" s="12" t="inlineStr">
        <is>
          <t>MOD-LV 480 V board + 480 V : 13.8 kV step-up</t>
        </is>
      </c>
      <c r="G5518" s="12" t="inlineStr">
        <is>
          <t>TM-1</t>
        </is>
      </c>
      <c r="H5518" s="12" t="inlineStr">
        <is>
          <t>TM-1: trailer-mounted aeroderivative GT (TM2500 class, ~35 MW)</t>
        </is>
      </c>
      <c r="I5518" s="12" t="inlineStr">
        <is>
          <t>LV 600 V</t>
        </is>
      </c>
      <c r="J5518" s="12" t="inlineStr">
        <is>
          <t>Type TC-ER 600 V 3/C Cu XHHW-2 + ground, PVC jacket</t>
        </is>
      </c>
      <c r="K5518" s="12" t="inlineStr">
        <is>
          <t>LV|3/C+G|6</t>
        </is>
      </c>
      <c r="L5518" s="12" t="inlineStr">
        <is>
          <t>3/C+G</t>
        </is>
      </c>
      <c r="M5518" s="12" t="inlineStr">
        <is>
          <t>6</t>
        </is>
      </c>
      <c r="N5518" s="12" t="n">
        <v>1</v>
      </c>
      <c r="O5518" s="12" t="n">
        <v>1</v>
      </c>
      <c r="P5518" s="12" t="n">
        <v>480</v>
      </c>
      <c r="Q5518" s="12" t="n">
        <v>22</v>
      </c>
      <c r="R5518" s="12" t="n">
        <v>31.1</v>
      </c>
      <c r="S5518" s="12" t="inlineStr">
        <is>
          <t>Duct bank</t>
        </is>
      </c>
      <c r="T5518" s="15" t="n">
        <v>323</v>
      </c>
      <c r="U5518" s="15" t="n">
        <v>38</v>
      </c>
      <c r="V5518" s="15">
        <f>ROUNDUP((T5518+U5518+2*'Read Me'!$B$13)*(1+'Read Me'!$B$12),-1)</f>
        <v/>
      </c>
      <c r="W5518" s="15">
        <f>V5518*N5518*O5518</f>
        <v/>
      </c>
      <c r="X5518" s="12">
        <f>IF(LEFT(I5518,2)="MV",2*N5518*IF(L5518="1/C",O5518,1),0)</f>
        <v/>
      </c>
      <c r="Y5518" s="12">
        <f>IF(OR(LEFT(K5518,4)="LVAX",LEFT(K5518,6)="MV15AX",LEFT(K5518,4)="CTAX",LEFT(K5518,2)="W|"),2*N5518*O5518,0)</f>
        <v/>
      </c>
      <c r="Z5518" s="12" t="inlineStr">
        <is>
          <t>VD 2.2 %</t>
        </is>
      </c>
      <c r="AA5518" s="12">
        <f>N5518*O5518</f>
        <v/>
      </c>
    </row>
    <row r="5519">
      <c r="A5519" s="12" t="inlineStr">
        <is>
          <t>I-P-0355</t>
        </is>
      </c>
      <c r="B5519" s="12" t="inlineStr">
        <is>
          <t>I</t>
        </is>
      </c>
      <c r="C5519" s="12" t="inlineStr">
        <is>
          <t>Modular / portable power</t>
        </is>
      </c>
      <c r="D5519" s="12" t="inlineStr">
        <is>
          <t>Motor 1 of 2, 75 kW</t>
        </is>
      </c>
      <c r="E5519" s="12" t="inlineStr"/>
      <c r="F5519" s="12" t="inlineStr">
        <is>
          <t>SC-2 PCM + 15 kV GCB</t>
        </is>
      </c>
      <c r="G5519" s="12" t="inlineStr"/>
      <c r="H5519" s="12" t="inlineStr">
        <is>
          <t>Water-injection skid</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75</v>
      </c>
      <c r="R5519" s="12" t="n">
        <v>106.1</v>
      </c>
      <c r="S5519" s="12" t="inlineStr">
        <is>
          <t>Duct bank</t>
        </is>
      </c>
      <c r="T5519" s="15" t="n">
        <v>0</v>
      </c>
      <c r="U5519" s="15" t="n">
        <v>60</v>
      </c>
      <c r="V5519" s="15">
        <f>ROUNDUP((T5519+U5519+2*'Read Me'!$B$13)*(1+'Read Me'!$B$12),-1)</f>
        <v/>
      </c>
      <c r="W5519" s="15">
        <f>V5519*N5519*O5519</f>
        <v/>
      </c>
      <c r="X5519" s="12">
        <f>IF(LEFT(I5519,2)="MV",2*N5519*IF(L5519="1/C",O5519,1),0)</f>
        <v/>
      </c>
      <c r="Y5519" s="12">
        <f>IF(OR(LEFT(K5519,4)="LVAX",LEFT(K5519,6)="MV15AX",LEFT(K5519,4)="CTAX",LEFT(K5519,2)="W|"),2*N5519*O5519,0)</f>
        <v/>
      </c>
      <c r="Z5519" s="12" t="inlineStr">
        <is>
          <t>VD 0.3 %</t>
        </is>
      </c>
      <c r="AA5519" s="12">
        <f>N5519*O5519</f>
        <v/>
      </c>
    </row>
    <row r="5520">
      <c r="A5520" s="12" t="inlineStr">
        <is>
          <t>I-P-0356</t>
        </is>
      </c>
      <c r="B5520" s="12" t="inlineStr">
        <is>
          <t>I</t>
        </is>
      </c>
      <c r="C5520" s="12" t="inlineStr">
        <is>
          <t>Modular / portable power</t>
        </is>
      </c>
      <c r="D5520" s="12" t="inlineStr">
        <is>
          <t>Motor 2 of 2, 75 kW</t>
        </is>
      </c>
      <c r="E5520" s="12" t="inlineStr"/>
      <c r="F5520" s="12" t="inlineStr">
        <is>
          <t>SC-2 PCM + 15 kV GCB</t>
        </is>
      </c>
      <c r="G5520" s="12" t="inlineStr"/>
      <c r="H5520" s="12" t="inlineStr">
        <is>
          <t>Water-injection skid</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75</v>
      </c>
      <c r="R5520" s="12" t="n">
        <v>106.1</v>
      </c>
      <c r="S5520" s="12" t="inlineStr">
        <is>
          <t>Duct bank</t>
        </is>
      </c>
      <c r="T5520" s="15" t="n">
        <v>0</v>
      </c>
      <c r="U5520" s="15" t="n">
        <v>60</v>
      </c>
      <c r="V5520" s="15">
        <f>ROUNDUP((T5520+U5520+2*'Read Me'!$B$13)*(1+'Read Me'!$B$12),-1)</f>
        <v/>
      </c>
      <c r="W5520" s="15">
        <f>V5520*N5520*O5520</f>
        <v/>
      </c>
      <c r="X5520" s="12">
        <f>IF(LEFT(I5520,2)="MV",2*N5520*IF(L5520="1/C",O5520,1),0)</f>
        <v/>
      </c>
      <c r="Y5520" s="12">
        <f>IF(OR(LEFT(K5520,4)="LVAX",LEFT(K5520,6)="MV15AX",LEFT(K5520,4)="CTAX",LEFT(K5520,2)="W|"),2*N5520*O5520,0)</f>
        <v/>
      </c>
      <c r="Z5520" s="12" t="inlineStr">
        <is>
          <t>VD 0.3 %</t>
        </is>
      </c>
      <c r="AA5520" s="12">
        <f>N5520*O5520</f>
        <v/>
      </c>
    </row>
    <row r="5521">
      <c r="A5521" s="12" t="inlineStr">
        <is>
          <t>I-MV-0001</t>
        </is>
      </c>
      <c r="B5521" s="12" t="inlineStr">
        <is>
          <t>I</t>
        </is>
      </c>
      <c r="C5521" s="12" t="inlineStr">
        <is>
          <t>Modular / portable power</t>
        </is>
      </c>
      <c r="D5521" s="12" t="inlineStr">
        <is>
          <t>AX-1 generator neutral to its high-resistance grounding resistor (in the package)</t>
        </is>
      </c>
      <c r="E5521" s="12" t="inlineStr">
        <is>
          <t>AX-1</t>
        </is>
      </c>
      <c r="F5521" s="12" t="inlineStr">
        <is>
          <t xml:space="preserve">AX-1: compact modular aeroderivative installation, LM2500XPRESS class </t>
        </is>
      </c>
      <c r="G5521" s="12" t="inlineStr">
        <is>
          <t>AX-1</t>
        </is>
      </c>
      <c r="H5521" s="12" t="inlineStr">
        <is>
          <t xml:space="preserve">AX-1: compact modular aeroderivative installation, LM2500XPRESS class </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I-MV-0002</t>
        </is>
      </c>
      <c r="B5522" s="12" t="inlineStr">
        <is>
          <t>I</t>
        </is>
      </c>
      <c r="C5522" s="12" t="inlineStr">
        <is>
          <t>Modular / portable power</t>
        </is>
      </c>
      <c r="D5522" s="12" t="inlineStr">
        <is>
          <t>AX-1 13.8 kV generator leads to AX-GSU</t>
        </is>
      </c>
      <c r="E5522" s="12" t="inlineStr">
        <is>
          <t>AX-1</t>
        </is>
      </c>
      <c r="F5522" s="12" t="inlineStr">
        <is>
          <t xml:space="preserve">AX-1: compact modular aeroderivative installation, LM2500XPRESS class </t>
        </is>
      </c>
      <c r="G5522" s="12" t="inlineStr">
        <is>
          <t>AX-GSU</t>
        </is>
      </c>
      <c r="H5522" s="12" t="inlineStr">
        <is>
          <t>AX-GSU: 13.8 / 34.5 kV step-up, ~45 MVA (AX-1 unit step-up)</t>
        </is>
      </c>
      <c r="I5522" s="12" t="inlineStr">
        <is>
          <t>MV 15 kV</t>
        </is>
      </c>
      <c r="J5522" s="12" t="inlineStr">
        <is>
          <t>MV-105 15 kV 1/C Cu, EPR 133%, Cu tape shield, PVC jacket (triplexed)</t>
        </is>
      </c>
      <c r="K5522" s="12" t="inlineStr">
        <is>
          <t>MV15|1/C|750</t>
        </is>
      </c>
      <c r="L5522" s="12" t="inlineStr">
        <is>
          <t>1/C</t>
        </is>
      </c>
      <c r="M5522" s="12" t="inlineStr">
        <is>
          <t>750 kcmil</t>
        </is>
      </c>
      <c r="N5522" s="12" t="n">
        <v>4</v>
      </c>
      <c r="O5522" s="12" t="n">
        <v>3</v>
      </c>
      <c r="P5522" s="12" t="n">
        <v>13800</v>
      </c>
      <c r="Q5522" s="12" t="n">
        <v>35000</v>
      </c>
      <c r="R5522" s="12" t="n">
        <v>1627</v>
      </c>
      <c r="S5522" s="12" t="inlineStr">
        <is>
          <t>Duct bank</t>
        </is>
      </c>
      <c r="T5522" s="15" t="n">
        <v>28</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is>
          <t>4 sets per phase</t>
        </is>
      </c>
      <c r="AA5522" s="12">
        <f>N5522*O5522</f>
        <v/>
      </c>
    </row>
    <row r="5523">
      <c r="A5523" s="12" t="inlineStr">
        <is>
          <t>I-MV-0003</t>
        </is>
      </c>
      <c r="B5523" s="12" t="inlineStr">
        <is>
          <t>I</t>
        </is>
      </c>
      <c r="C5523" s="12" t="inlineStr">
        <is>
          <t>Modular / portable power</t>
        </is>
      </c>
      <c r="D5523" s="12" t="inlineStr">
        <is>
          <t>CGE-1 generator neutral to its high-resistance grounding resistor (in the package)</t>
        </is>
      </c>
      <c r="E5523" s="12" t="inlineStr">
        <is>
          <t>CGE-1</t>
        </is>
      </c>
      <c r="F5523" s="12" t="inlineStr">
        <is>
          <t>CGE-1: containerized gas-engine generator ~4.4 MW, 13.8 kV (40 ft engi</t>
        </is>
      </c>
      <c r="G5523" s="12" t="inlineStr">
        <is>
          <t>CGE-1</t>
        </is>
      </c>
      <c r="H5523" s="12" t="inlineStr">
        <is>
          <t>CGE-1: containerized gas-engine generator ~4.4 MW, 13.8 kV (40 ft engi</t>
        </is>
      </c>
      <c r="I5523" s="12" t="inlineStr">
        <is>
          <t>MV 15 kV</t>
        </is>
      </c>
      <c r="J5523" s="12" t="inlineStr">
        <is>
          <t>MV-105 15 kV 1/C Cu, EPR 133%, Cu tape shield, PVC jacket (triplexed)</t>
        </is>
      </c>
      <c r="K5523" s="12" t="inlineStr">
        <is>
          <t>MV15|1/C|2</t>
        </is>
      </c>
      <c r="L5523" s="12" t="inlineStr">
        <is>
          <t>1/C</t>
        </is>
      </c>
      <c r="M5523" s="12" t="inlineStr">
        <is>
          <t>2</t>
        </is>
      </c>
      <c r="N5523" s="12" t="n">
        <v>1</v>
      </c>
      <c r="O5523" s="12" t="n">
        <v>1</v>
      </c>
      <c r="P5523" s="12" t="n">
        <v>13800</v>
      </c>
      <c r="Q5523" s="12" t="n"/>
      <c r="R5523" s="12" t="n"/>
      <c r="S5523" s="12" t="inlineStr">
        <is>
          <t>Conduit</t>
        </is>
      </c>
      <c r="T5523" s="15" t="n">
        <v>15</v>
      </c>
      <c r="U5523" s="15" t="n">
        <v>5</v>
      </c>
      <c r="V5523" s="15">
        <f>ROUNDUP((T5523+U5523+2*'Read Me'!$B$13)*(1+'Read Me'!$B$12),-1)</f>
        <v/>
      </c>
      <c r="W5523" s="15">
        <f>V5523*N5523*O5523</f>
        <v/>
      </c>
      <c r="X5523" s="12">
        <f>IF(LEFT(I5523,2)="MV",2*N5523*IF(L5523="1/C",O5523,1),0)</f>
        <v/>
      </c>
      <c r="Y5523" s="12">
        <f>IF(OR(LEFT(K5523,4)="LVAX",LEFT(K5523,6)="MV15AX",LEFT(K5523,4)="CTAX",LEFT(K5523,2)="W|"),2*N5523*O5523,0)</f>
        <v/>
      </c>
      <c r="Z5523" s="12" t="inlineStr">
        <is>
          <t>NGR in the generator / terminal-box enclosure</t>
        </is>
      </c>
      <c r="AA5523" s="12">
        <f>N5523*O5523</f>
        <v/>
      </c>
    </row>
    <row r="5524">
      <c r="A5524" s="12" t="inlineStr">
        <is>
          <t>I-MV-0004</t>
        </is>
      </c>
      <c r="B5524" s="12" t="inlineStr">
        <is>
          <t>I</t>
        </is>
      </c>
      <c r="C5524" s="12" t="inlineStr">
        <is>
          <t>Modular / portable power</t>
        </is>
      </c>
      <c r="D5524" s="12" t="inlineStr">
        <is>
          <t>CGE-2 generator neutral to its high-resistance grounding resistor (in the package)</t>
        </is>
      </c>
      <c r="E5524" s="12" t="inlineStr">
        <is>
          <t>CGE-2</t>
        </is>
      </c>
      <c r="F5524" s="12" t="inlineStr">
        <is>
          <t>CGE-2: containerized gas-engine generator ~4.4 MW, 13.8 kV (40 ft engi</t>
        </is>
      </c>
      <c r="G5524" s="12" t="inlineStr">
        <is>
          <t>CGE-2</t>
        </is>
      </c>
      <c r="H5524" s="12" t="inlineStr">
        <is>
          <t>CGE-2: containerized gas-engine generator ~4.4 MW, 13.8 kV (40 ft engi</t>
        </is>
      </c>
      <c r="I5524" s="12" t="inlineStr">
        <is>
          <t>MV 15 kV</t>
        </is>
      </c>
      <c r="J5524" s="12" t="inlineStr">
        <is>
          <t>MV-105 15 kV 1/C Cu, EPR 133%, Cu tape shield, PVC jacket (triplexed)</t>
        </is>
      </c>
      <c r="K5524" s="12" t="inlineStr">
        <is>
          <t>MV15|1/C|2</t>
        </is>
      </c>
      <c r="L5524" s="12" t="inlineStr">
        <is>
          <t>1/C</t>
        </is>
      </c>
      <c r="M5524" s="12" t="inlineStr">
        <is>
          <t>2</t>
        </is>
      </c>
      <c r="N5524" s="12" t="n">
        <v>1</v>
      </c>
      <c r="O5524" s="12" t="n">
        <v>1</v>
      </c>
      <c r="P5524" s="12" t="n">
        <v>13800</v>
      </c>
      <c r="Q5524" s="12" t="n"/>
      <c r="R5524" s="12" t="n"/>
      <c r="S5524" s="12" t="inlineStr">
        <is>
          <t>Conduit</t>
        </is>
      </c>
      <c r="T5524" s="15" t="n">
        <v>15</v>
      </c>
      <c r="U5524" s="15" t="n">
        <v>5</v>
      </c>
      <c r="V5524" s="15">
        <f>ROUNDUP((T5524+U5524+2*'Read Me'!$B$13)*(1+'Read Me'!$B$12),-1)</f>
        <v/>
      </c>
      <c r="W5524" s="15">
        <f>V5524*N5524*O5524</f>
        <v/>
      </c>
      <c r="X5524" s="12">
        <f>IF(LEFT(I5524,2)="MV",2*N5524*IF(L5524="1/C",O5524,1),0)</f>
        <v/>
      </c>
      <c r="Y5524" s="12">
        <f>IF(OR(LEFT(K5524,4)="LVAX",LEFT(K5524,6)="MV15AX",LEFT(K5524,4)="CTAX",LEFT(K5524,2)="W|"),2*N5524*O5524,0)</f>
        <v/>
      </c>
      <c r="Z5524" s="12" t="inlineStr">
        <is>
          <t>NGR in the generator / terminal-box enclosure</t>
        </is>
      </c>
      <c r="AA5524" s="12">
        <f>N5524*O5524</f>
        <v/>
      </c>
    </row>
    <row r="5525">
      <c r="A5525" s="12" t="inlineStr">
        <is>
          <t>I-MV-0005</t>
        </is>
      </c>
      <c r="B5525" s="12" t="inlineStr">
        <is>
          <t>I</t>
        </is>
      </c>
      <c r="C5525" s="12" t="inlineStr">
        <is>
          <t>Modular / portable power</t>
        </is>
      </c>
      <c r="D5525" s="12" t="inlineStr">
        <is>
          <t>CGE-3 generator neutral to its high-resistance grounding resistor (in the package)</t>
        </is>
      </c>
      <c r="E5525" s="12" t="inlineStr">
        <is>
          <t>CGE-3</t>
        </is>
      </c>
      <c r="F5525" s="12" t="inlineStr">
        <is>
          <t>CGE-3: containerized gas-engine generator ~4.4 MW, 13.8 kV (40 ft engi</t>
        </is>
      </c>
      <c r="G5525" s="12" t="inlineStr">
        <is>
          <t>CGE-3</t>
        </is>
      </c>
      <c r="H5525" s="12" t="inlineStr">
        <is>
          <t>CGE-3: containerized gas-engine generator ~4.4 MW, 13.8 kV (40 ft engi</t>
        </is>
      </c>
      <c r="I5525" s="12" t="inlineStr">
        <is>
          <t>MV 15 kV</t>
        </is>
      </c>
      <c r="J5525" s="12" t="inlineStr">
        <is>
          <t>MV-105 15 kV 1/C Cu, EPR 133%, Cu tape shield, PVC jacket (triplexed)</t>
        </is>
      </c>
      <c r="K5525" s="12" t="inlineStr">
        <is>
          <t>MV15|1/C|2</t>
        </is>
      </c>
      <c r="L5525" s="12" t="inlineStr">
        <is>
          <t>1/C</t>
        </is>
      </c>
      <c r="M5525" s="12" t="inlineStr">
        <is>
          <t>2</t>
        </is>
      </c>
      <c r="N5525" s="12" t="n">
        <v>1</v>
      </c>
      <c r="O5525" s="12" t="n">
        <v>1</v>
      </c>
      <c r="P5525" s="12" t="n">
        <v>13800</v>
      </c>
      <c r="Q5525" s="12" t="n"/>
      <c r="R5525" s="12" t="n"/>
      <c r="S5525" s="12" t="inlineStr">
        <is>
          <t>Conduit</t>
        </is>
      </c>
      <c r="T5525" s="15" t="n">
        <v>15</v>
      </c>
      <c r="U5525" s="15" t="n">
        <v>5</v>
      </c>
      <c r="V5525" s="15">
        <f>ROUNDUP((T5525+U5525+2*'Read Me'!$B$13)*(1+'Read Me'!$B$12),-1)</f>
        <v/>
      </c>
      <c r="W5525" s="15">
        <f>V5525*N5525*O5525</f>
        <v/>
      </c>
      <c r="X5525" s="12">
        <f>IF(LEFT(I5525,2)="MV",2*N5525*IF(L5525="1/C",O5525,1),0)</f>
        <v/>
      </c>
      <c r="Y5525" s="12">
        <f>IF(OR(LEFT(K5525,4)="LVAX",LEFT(K5525,6)="MV15AX",LEFT(K5525,4)="CTAX",LEFT(K5525,2)="W|"),2*N5525*O5525,0)</f>
        <v/>
      </c>
      <c r="Z5525" s="12" t="inlineStr">
        <is>
          <t>NGR in the generator / terminal-box enclosure</t>
        </is>
      </c>
      <c r="AA5525" s="12">
        <f>N5525*O5525</f>
        <v/>
      </c>
    </row>
    <row r="5526">
      <c r="A5526" s="12" t="inlineStr">
        <is>
          <t>I-MV-0006</t>
        </is>
      </c>
      <c r="B5526" s="12" t="inlineStr">
        <is>
          <t>I</t>
        </is>
      </c>
      <c r="C5526" s="12" t="inlineStr">
        <is>
          <t>Modular / portable power</t>
        </is>
      </c>
      <c r="D5526" s="12" t="inlineStr">
        <is>
          <t>CGE-4 generator neutral to its high-resistance grounding resistor (in the package)</t>
        </is>
      </c>
      <c r="E5526" s="12" t="inlineStr">
        <is>
          <t>CGE-4</t>
        </is>
      </c>
      <c r="F5526" s="12" t="inlineStr">
        <is>
          <t>CGE-4: containerized gas-engine generator ~4.4 MW, 13.8 kV (40 ft engi</t>
        </is>
      </c>
      <c r="G5526" s="12" t="inlineStr">
        <is>
          <t>CGE-4</t>
        </is>
      </c>
      <c r="H5526" s="12" t="inlineStr">
        <is>
          <t>CGE-4: containerized gas-engine generator ~4.4 MW, 13.8 kV (40 ft engi</t>
        </is>
      </c>
      <c r="I5526" s="12" t="inlineStr">
        <is>
          <t>MV 15 kV</t>
        </is>
      </c>
      <c r="J5526" s="12" t="inlineStr">
        <is>
          <t>MV-105 15 kV 1/C Cu, EPR 133%, Cu tape shield, PVC jacket (triplexed)</t>
        </is>
      </c>
      <c r="K5526" s="12" t="inlineStr">
        <is>
          <t>MV15|1/C|2</t>
        </is>
      </c>
      <c r="L5526" s="12" t="inlineStr">
        <is>
          <t>1/C</t>
        </is>
      </c>
      <c r="M5526" s="12" t="inlineStr">
        <is>
          <t>2</t>
        </is>
      </c>
      <c r="N5526" s="12" t="n">
        <v>1</v>
      </c>
      <c r="O5526" s="12" t="n">
        <v>1</v>
      </c>
      <c r="P5526" s="12" t="n">
        <v>13800</v>
      </c>
      <c r="Q5526" s="12" t="n"/>
      <c r="R5526" s="12" t="n"/>
      <c r="S5526" s="12" t="inlineStr">
        <is>
          <t>Conduit</t>
        </is>
      </c>
      <c r="T5526" s="15" t="n">
        <v>15</v>
      </c>
      <c r="U5526" s="15" t="n">
        <v>5</v>
      </c>
      <c r="V5526" s="15">
        <f>ROUNDUP((T5526+U5526+2*'Read Me'!$B$13)*(1+'Read Me'!$B$12),-1)</f>
        <v/>
      </c>
      <c r="W5526" s="15">
        <f>V5526*N5526*O5526</f>
        <v/>
      </c>
      <c r="X5526" s="12">
        <f>IF(LEFT(I5526,2)="MV",2*N5526*IF(L5526="1/C",O5526,1),0)</f>
        <v/>
      </c>
      <c r="Y5526" s="12">
        <f>IF(OR(LEFT(K5526,4)="LVAX",LEFT(K5526,6)="MV15AX",LEFT(K5526,4)="CTAX",LEFT(K5526,2)="W|"),2*N5526*O5526,0)</f>
        <v/>
      </c>
      <c r="Z5526" s="12" t="inlineStr">
        <is>
          <t>NGR in the generator / terminal-box enclosure</t>
        </is>
      </c>
      <c r="AA5526" s="12">
        <f>N5526*O5526</f>
        <v/>
      </c>
    </row>
    <row r="5527">
      <c r="A5527" s="12" t="inlineStr">
        <is>
          <t>I-MV-0007</t>
        </is>
      </c>
      <c r="B5527" s="12" t="inlineStr">
        <is>
          <t>I</t>
        </is>
      </c>
      <c r="C5527" s="12" t="inlineStr">
        <is>
          <t>Modular / portable power</t>
        </is>
      </c>
      <c r="D5527" s="12" t="inlineStr">
        <is>
          <t>CGE-AUX 13.8 kV primary</t>
        </is>
      </c>
      <c r="E5527" s="12" t="inlineStr">
        <is>
          <t>CGE-SWG</t>
        </is>
      </c>
      <c r="F5527" s="12" t="inlineStr">
        <is>
          <t>CGE-SWG: 13.8 kV switchgear container (engine breakers, site feeder)</t>
        </is>
      </c>
      <c r="G5527" s="12" t="inlineStr">
        <is>
          <t>CGE-AUX</t>
        </is>
      </c>
      <c r="H5527" s="12" t="inlineStr">
        <is>
          <t>CGE-AUX: 13.8 / 0.48 kV auxiliary transformer (cooling containers, rad</t>
        </is>
      </c>
      <c r="I5527" s="12" t="inlineStr">
        <is>
          <t>MV 15 kV</t>
        </is>
      </c>
      <c r="J5527" s="12" t="inlineStr">
        <is>
          <t>MV-105 15 kV 1/C Cu, EPR 133%, Cu tape shield, PVC jacket (triplexed)</t>
        </is>
      </c>
      <c r="K5527" s="12" t="inlineStr">
        <is>
          <t>MV15|1/C|2</t>
        </is>
      </c>
      <c r="L5527" s="12" t="inlineStr">
        <is>
          <t>1/C</t>
        </is>
      </c>
      <c r="M5527" s="12" t="inlineStr">
        <is>
          <t>2</t>
        </is>
      </c>
      <c r="N5527" s="12" t="n">
        <v>1</v>
      </c>
      <c r="O5527" s="12" t="n">
        <v>3</v>
      </c>
      <c r="P5527" s="12" t="n">
        <v>13800</v>
      </c>
      <c r="Q5527" s="12" t="n">
        <v>600</v>
      </c>
      <c r="R5527" s="12" t="n">
        <v>25</v>
      </c>
      <c r="S5527" s="12" t="inlineStr">
        <is>
          <t>Duct bank</t>
        </is>
      </c>
      <c r="T5527" s="15" t="n">
        <v>12</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c r="AA5527" s="12">
        <f>N5527*O5527</f>
        <v/>
      </c>
    </row>
    <row r="5528">
      <c r="A5528" s="12" t="inlineStr">
        <is>
          <t>I-MV-0008</t>
        </is>
      </c>
      <c r="B5528" s="12" t="inlineStr">
        <is>
          <t>I</t>
        </is>
      </c>
      <c r="C5528" s="12" t="inlineStr">
        <is>
          <t>Modular / portable power</t>
        </is>
      </c>
      <c r="D5528" s="12" t="inlineStr">
        <is>
          <t>CGE-SWG 13.8 kV to CGE-GSU</t>
        </is>
      </c>
      <c r="E5528" s="12" t="inlineStr">
        <is>
          <t>CGE-SWG</t>
        </is>
      </c>
      <c r="F5528" s="12" t="inlineStr">
        <is>
          <t>CGE-SWG: 13.8 kV switchgear container (engine breakers, site feeder)</t>
        </is>
      </c>
      <c r="G5528" s="12" t="inlineStr">
        <is>
          <t>CGE-GSU</t>
        </is>
      </c>
      <c r="H5528" s="12" t="inlineStr">
        <is>
          <t>CGE-GSU: 13.8 / 34.5 kV step-up, ~20 MVA (containerized engines)</t>
        </is>
      </c>
      <c r="I5528" s="12" t="inlineStr">
        <is>
          <t>MV 15 kV</t>
        </is>
      </c>
      <c r="J5528" s="12" t="inlineStr">
        <is>
          <t>MV-105 15 kV 1/C Cu, EPR 133%, Cu tape shield, PVC jacket (triplexed)</t>
        </is>
      </c>
      <c r="K5528" s="12" t="inlineStr">
        <is>
          <t>MV15|1/C|750</t>
        </is>
      </c>
      <c r="L5528" s="12" t="inlineStr">
        <is>
          <t>1/C</t>
        </is>
      </c>
      <c r="M5528" s="12" t="inlineStr">
        <is>
          <t>750 kcmil</t>
        </is>
      </c>
      <c r="N5528" s="12" t="n">
        <v>2</v>
      </c>
      <c r="O5528" s="12" t="n">
        <v>3</v>
      </c>
      <c r="P5528" s="12" t="n">
        <v>13800</v>
      </c>
      <c r="Q5528" s="12" t="n">
        <v>17600</v>
      </c>
      <c r="R5528" s="12" t="n">
        <v>818</v>
      </c>
      <c r="S5528" s="12" t="inlineStr">
        <is>
          <t>Duct bank</t>
        </is>
      </c>
      <c r="T5528" s="15" t="n">
        <v>10</v>
      </c>
      <c r="U5528" s="15" t="n">
        <v>32</v>
      </c>
      <c r="V5528" s="15">
        <f>ROUNDUP((T5528+U5528+2*'Read Me'!$B$13)*(1+'Read Me'!$B$12),-1)</f>
        <v/>
      </c>
      <c r="W5528" s="15">
        <f>V5528*N5528*O5528</f>
        <v/>
      </c>
      <c r="X5528" s="12">
        <f>IF(LEFT(I5528,2)="MV",2*N5528*IF(L5528="1/C",O5528,1),0)</f>
        <v/>
      </c>
      <c r="Y5528" s="12">
        <f>IF(OR(LEFT(K5528,4)="LVAX",LEFT(K5528,6)="MV15AX",LEFT(K5528,4)="CTAX",LEFT(K5528,2)="W|"),2*N5528*O5528,0)</f>
        <v/>
      </c>
      <c r="Z5528" s="12" t="inlineStr">
        <is>
          <t>2 sets per phase</t>
        </is>
      </c>
      <c r="AA5528" s="12">
        <f>N5528*O5528</f>
        <v/>
      </c>
    </row>
    <row r="5529">
      <c r="A5529" s="12" t="inlineStr">
        <is>
          <t>I-MV-0009</t>
        </is>
      </c>
      <c r="B5529" s="12" t="inlineStr">
        <is>
          <t>I</t>
        </is>
      </c>
      <c r="C5529" s="12" t="inlineStr">
        <is>
          <t>Modular / portable power</t>
        </is>
      </c>
      <c r="D5529" s="12" t="inlineStr">
        <is>
          <t>CGE-1 13.8 kV generator leads to the switchgear container</t>
        </is>
      </c>
      <c r="E5529" s="12" t="inlineStr">
        <is>
          <t>CGE-1</t>
        </is>
      </c>
      <c r="F5529" s="12" t="inlineStr">
        <is>
          <t>CGE-1: containerized gas-engine generator ~4.4 MW, 13.8 kV (40 ft engi</t>
        </is>
      </c>
      <c r="G5529" s="12" t="inlineStr">
        <is>
          <t>CGE-SWG</t>
        </is>
      </c>
      <c r="H5529" s="12" t="inlineStr">
        <is>
          <t>CGE-SWG: 13.8 kV switchgear container (engine breakers, site feeder)</t>
        </is>
      </c>
      <c r="I5529" s="12" t="inlineStr">
        <is>
          <t>MV 15 kV</t>
        </is>
      </c>
      <c r="J5529" s="12" t="inlineStr">
        <is>
          <t>MV-105 15 kV 1/C Cu, EPR 133%, Cu tape shield, PVC jacket (triplexed)</t>
        </is>
      </c>
      <c r="K5529" s="12" t="inlineStr">
        <is>
          <t>MV15|1/C|4/0</t>
        </is>
      </c>
      <c r="L5529" s="12" t="inlineStr">
        <is>
          <t>1/C</t>
        </is>
      </c>
      <c r="M5529" s="12" t="inlineStr">
        <is>
          <t>4/0</t>
        </is>
      </c>
      <c r="N5529" s="12" t="n">
        <v>1</v>
      </c>
      <c r="O5529" s="12" t="n">
        <v>3</v>
      </c>
      <c r="P5529" s="12" t="n">
        <v>13800</v>
      </c>
      <c r="Q5529" s="12" t="n">
        <v>4400</v>
      </c>
      <c r="R5529" s="12" t="n">
        <v>205</v>
      </c>
      <c r="S5529" s="12" t="inlineStr">
        <is>
          <t>Duct bank</t>
        </is>
      </c>
      <c r="T5529" s="15" t="n">
        <v>79</v>
      </c>
      <c r="U5529" s="15" t="n">
        <v>32</v>
      </c>
      <c r="V5529" s="15">
        <f>ROUNDUP((T5529+U5529+2*'Read Me'!$B$13)*(1+'Read Me'!$B$12),-1)</f>
        <v/>
      </c>
      <c r="W5529" s="15">
        <f>V5529*N5529*O5529</f>
        <v/>
      </c>
      <c r="X5529" s="12">
        <f>IF(LEFT(I5529,2)="MV",2*N5529*IF(L5529="1/C",O5529,1),0)</f>
        <v/>
      </c>
      <c r="Y5529" s="12">
        <f>IF(OR(LEFT(K5529,4)="LVAX",LEFT(K5529,6)="MV15AX",LEFT(K5529,4)="CTAX",LEFT(K5529,2)="W|"),2*N5529*O5529,0)</f>
        <v/>
      </c>
      <c r="Z5529" s="12" t="inlineStr">
        <is>
          <t>1 set per phase</t>
        </is>
      </c>
      <c r="AA5529" s="12">
        <f>N5529*O5529</f>
        <v/>
      </c>
    </row>
    <row r="5530">
      <c r="A5530" s="12" t="inlineStr">
        <is>
          <t>I-MV-0010</t>
        </is>
      </c>
      <c r="B5530" s="12" t="inlineStr">
        <is>
          <t>I</t>
        </is>
      </c>
      <c r="C5530" s="12" t="inlineStr">
        <is>
          <t>Modular / portable power</t>
        </is>
      </c>
      <c r="D5530" s="12" t="inlineStr">
        <is>
          <t>CGE-2 13.8 kV generator leads to the switchgear container</t>
        </is>
      </c>
      <c r="E5530" s="12" t="inlineStr">
        <is>
          <t>CGE-2</t>
        </is>
      </c>
      <c r="F5530" s="12" t="inlineStr">
        <is>
          <t>CGE-2: containerized gas-engine generator ~4.4 MW, 13.8 kV (40 ft engi</t>
        </is>
      </c>
      <c r="G5530" s="12" t="inlineStr">
        <is>
          <t>CGE-SWG</t>
        </is>
      </c>
      <c r="H5530" s="12" t="inlineStr">
        <is>
          <t>CGE-SWG: 13.8 kV switchgear container (engine breakers, site feeder)</t>
        </is>
      </c>
      <c r="I5530" s="12" t="inlineStr">
        <is>
          <t>MV 15 kV</t>
        </is>
      </c>
      <c r="J5530" s="12" t="inlineStr">
        <is>
          <t>MV-105 15 kV 1/C Cu, EPR 133%, Cu tape shield, PVC jacket (triplexed)</t>
        </is>
      </c>
      <c r="K5530" s="12" t="inlineStr">
        <is>
          <t>MV15|1/C|4/0</t>
        </is>
      </c>
      <c r="L5530" s="12" t="inlineStr">
        <is>
          <t>1/C</t>
        </is>
      </c>
      <c r="M5530" s="12" t="inlineStr">
        <is>
          <t>4/0</t>
        </is>
      </c>
      <c r="N5530" s="12" t="n">
        <v>1</v>
      </c>
      <c r="O5530" s="12" t="n">
        <v>3</v>
      </c>
      <c r="P5530" s="12" t="n">
        <v>13800</v>
      </c>
      <c r="Q5530" s="12" t="n">
        <v>4400</v>
      </c>
      <c r="R5530" s="12" t="n">
        <v>205</v>
      </c>
      <c r="S5530" s="12" t="inlineStr">
        <is>
          <t>Duct bank</t>
        </is>
      </c>
      <c r="T5530" s="15" t="n">
        <v>61</v>
      </c>
      <c r="U5530" s="15" t="n">
        <v>32</v>
      </c>
      <c r="V5530" s="15">
        <f>ROUNDUP((T5530+U5530+2*'Read Me'!$B$13)*(1+'Read Me'!$B$12),-1)</f>
        <v/>
      </c>
      <c r="W5530" s="15">
        <f>V5530*N5530*O5530</f>
        <v/>
      </c>
      <c r="X5530" s="12">
        <f>IF(LEFT(I5530,2)="MV",2*N5530*IF(L5530="1/C",O5530,1),0)</f>
        <v/>
      </c>
      <c r="Y5530" s="12">
        <f>IF(OR(LEFT(K5530,4)="LVAX",LEFT(K5530,6)="MV15AX",LEFT(K5530,4)="CTAX",LEFT(K5530,2)="W|"),2*N5530*O5530,0)</f>
        <v/>
      </c>
      <c r="Z5530" s="12" t="inlineStr">
        <is>
          <t>1 set per phase</t>
        </is>
      </c>
      <c r="AA5530" s="12">
        <f>N5530*O5530</f>
        <v/>
      </c>
    </row>
    <row r="5531">
      <c r="A5531" s="12" t="inlineStr">
        <is>
          <t>I-MV-0011</t>
        </is>
      </c>
      <c r="B5531" s="12" t="inlineStr">
        <is>
          <t>I</t>
        </is>
      </c>
      <c r="C5531" s="12" t="inlineStr">
        <is>
          <t>Modular / portable power</t>
        </is>
      </c>
      <c r="D5531" s="12" t="inlineStr">
        <is>
          <t>CGE-3 13.8 kV generator leads to the switchgear container</t>
        </is>
      </c>
      <c r="E5531" s="12" t="inlineStr">
        <is>
          <t>CGE-3</t>
        </is>
      </c>
      <c r="F5531" s="12" t="inlineStr">
        <is>
          <t>CGE-3: containerized gas-engine generator ~4.4 MW, 13.8 kV (40 ft engi</t>
        </is>
      </c>
      <c r="G5531" s="12" t="inlineStr">
        <is>
          <t>CGE-SWG</t>
        </is>
      </c>
      <c r="H5531" s="12" t="inlineStr">
        <is>
          <t>CGE-SWG: 13.8 kV switchgear container (engine breakers, site feeder)</t>
        </is>
      </c>
      <c r="I5531" s="12" t="inlineStr">
        <is>
          <t>MV 15 kV</t>
        </is>
      </c>
      <c r="J5531" s="12" t="inlineStr">
        <is>
          <t>MV-105 15 kV 1/C Cu, EPR 133%, Cu tape shield, PVC jacket (triplexed)</t>
        </is>
      </c>
      <c r="K5531" s="12" t="inlineStr">
        <is>
          <t>MV15|1/C|4/0</t>
        </is>
      </c>
      <c r="L5531" s="12" t="inlineStr">
        <is>
          <t>1/C</t>
        </is>
      </c>
      <c r="M5531" s="12" t="inlineStr">
        <is>
          <t>4/0</t>
        </is>
      </c>
      <c r="N5531" s="12" t="n">
        <v>1</v>
      </c>
      <c r="O5531" s="12" t="n">
        <v>3</v>
      </c>
      <c r="P5531" s="12" t="n">
        <v>13800</v>
      </c>
      <c r="Q5531" s="12" t="n">
        <v>4400</v>
      </c>
      <c r="R5531" s="12" t="n">
        <v>205</v>
      </c>
      <c r="S5531" s="12" t="inlineStr">
        <is>
          <t>Duct bank</t>
        </is>
      </c>
      <c r="T5531" s="15" t="n">
        <v>43</v>
      </c>
      <c r="U5531" s="15" t="n">
        <v>32</v>
      </c>
      <c r="V5531" s="15">
        <f>ROUNDUP((T5531+U5531+2*'Read Me'!$B$13)*(1+'Read Me'!$B$12),-1)</f>
        <v/>
      </c>
      <c r="W5531" s="15">
        <f>V5531*N5531*O5531</f>
        <v/>
      </c>
      <c r="X5531" s="12">
        <f>IF(LEFT(I5531,2)="MV",2*N5531*IF(L5531="1/C",O5531,1),0)</f>
        <v/>
      </c>
      <c r="Y5531" s="12">
        <f>IF(OR(LEFT(K5531,4)="LVAX",LEFT(K5531,6)="MV15AX",LEFT(K5531,4)="CTAX",LEFT(K5531,2)="W|"),2*N5531*O5531,0)</f>
        <v/>
      </c>
      <c r="Z5531" s="12" t="inlineStr">
        <is>
          <t>1 set per phase</t>
        </is>
      </c>
      <c r="AA5531" s="12">
        <f>N5531*O5531</f>
        <v/>
      </c>
    </row>
    <row r="5532">
      <c r="A5532" s="12" t="inlineStr">
        <is>
          <t>I-MV-0012</t>
        </is>
      </c>
      <c r="B5532" s="12" t="inlineStr">
        <is>
          <t>I</t>
        </is>
      </c>
      <c r="C5532" s="12" t="inlineStr">
        <is>
          <t>Modular / portable power</t>
        </is>
      </c>
      <c r="D5532" s="12" t="inlineStr">
        <is>
          <t>CGE-4 13.8 kV generator leads to the switchgear container</t>
        </is>
      </c>
      <c r="E5532" s="12" t="inlineStr">
        <is>
          <t>CGE-4</t>
        </is>
      </c>
      <c r="F5532" s="12" t="inlineStr">
        <is>
          <t>CGE-4: containerized gas-engine generator ~4.4 MW, 13.8 kV (40 ft engi</t>
        </is>
      </c>
      <c r="G5532" s="12" t="inlineStr">
        <is>
          <t>CGE-SWG</t>
        </is>
      </c>
      <c r="H5532" s="12" t="inlineStr">
        <is>
          <t>CGE-SWG: 13.8 kV switchgear container (engine breakers, site feeder)</t>
        </is>
      </c>
      <c r="I5532" s="12" t="inlineStr">
        <is>
          <t>MV 15 kV</t>
        </is>
      </c>
      <c r="J5532" s="12" t="inlineStr">
        <is>
          <t>MV-105 15 kV 1/C Cu, EPR 133%, Cu tape shield, PVC jacket (triplexed)</t>
        </is>
      </c>
      <c r="K5532" s="12" t="inlineStr">
        <is>
          <t>MV15|1/C|4/0</t>
        </is>
      </c>
      <c r="L5532" s="12" t="inlineStr">
        <is>
          <t>1/C</t>
        </is>
      </c>
      <c r="M5532" s="12" t="inlineStr">
        <is>
          <t>4/0</t>
        </is>
      </c>
      <c r="N5532" s="12" t="n">
        <v>1</v>
      </c>
      <c r="O5532" s="12" t="n">
        <v>3</v>
      </c>
      <c r="P5532" s="12" t="n">
        <v>13800</v>
      </c>
      <c r="Q5532" s="12" t="n">
        <v>4400</v>
      </c>
      <c r="R5532" s="12" t="n">
        <v>205</v>
      </c>
      <c r="S5532" s="12" t="inlineStr">
        <is>
          <t>Duct bank</t>
        </is>
      </c>
      <c r="T5532" s="15" t="n">
        <v>29</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is>
          <t>1 set per phase</t>
        </is>
      </c>
      <c r="AA5532" s="12">
        <f>N5532*O5532</f>
        <v/>
      </c>
    </row>
    <row r="5533">
      <c r="A5533" s="12" t="inlineStr">
        <is>
          <t>I-MV-0013</t>
        </is>
      </c>
      <c r="B5533" s="12" t="inlineStr">
        <is>
          <t>I</t>
        </is>
      </c>
      <c r="C5533" s="12" t="inlineStr">
        <is>
          <t>Modular / portable power</t>
        </is>
      </c>
      <c r="D5533" s="12" t="inlineStr">
        <is>
          <t>CHP-1 generator neutral to its high-resistance grounding resistor (in the package)</t>
        </is>
      </c>
      <c r="E5533" s="12" t="inlineStr">
        <is>
          <t>CHP-1</t>
        </is>
      </c>
      <c r="F5533" s="12" t="inlineStr">
        <is>
          <t>CHP-1: gas-engine generator ~2.5 MW with exhaust heat recovery, 13.8 k</t>
        </is>
      </c>
      <c r="G5533" s="12" t="inlineStr">
        <is>
          <t>CHP-1</t>
        </is>
      </c>
      <c r="H5533" s="12" t="inlineStr">
        <is>
          <t>CHP-1: gas-engine generator ~2.5 MW with exhaust heat recovery, 13.8 k</t>
        </is>
      </c>
      <c r="I5533" s="12" t="inlineStr">
        <is>
          <t>MV 15 kV</t>
        </is>
      </c>
      <c r="J5533" s="12" t="inlineStr">
        <is>
          <t>MV-105 15 kV 1/C Cu, EPR 133%, Cu tape shield, PVC jacket (triplexed)</t>
        </is>
      </c>
      <c r="K5533" s="12" t="inlineStr">
        <is>
          <t>MV15|1/C|2</t>
        </is>
      </c>
      <c r="L5533" s="12" t="inlineStr">
        <is>
          <t>1/C</t>
        </is>
      </c>
      <c r="M5533" s="12" t="inlineStr">
        <is>
          <t>2</t>
        </is>
      </c>
      <c r="N5533" s="12" t="n">
        <v>1</v>
      </c>
      <c r="O5533" s="12" t="n">
        <v>1</v>
      </c>
      <c r="P5533" s="12" t="n">
        <v>13800</v>
      </c>
      <c r="Q5533" s="12" t="n"/>
      <c r="R5533" s="12" t="n"/>
      <c r="S5533" s="12" t="inlineStr">
        <is>
          <t>Conduit</t>
        </is>
      </c>
      <c r="T5533" s="15" t="n">
        <v>15</v>
      </c>
      <c r="U5533" s="15" t="n">
        <v>5</v>
      </c>
      <c r="V5533" s="15">
        <f>ROUNDUP((T5533+U5533+2*'Read Me'!$B$13)*(1+'Read Me'!$B$12),-1)</f>
        <v/>
      </c>
      <c r="W5533" s="15">
        <f>V5533*N5533*O5533</f>
        <v/>
      </c>
      <c r="X5533" s="12">
        <f>IF(LEFT(I5533,2)="MV",2*N5533*IF(L5533="1/C",O5533,1),0)</f>
        <v/>
      </c>
      <c r="Y5533" s="12">
        <f>IF(OR(LEFT(K5533,4)="LVAX",LEFT(K5533,6)="MV15AX",LEFT(K5533,4)="CTAX",LEFT(K5533,2)="W|"),2*N5533*O5533,0)</f>
        <v/>
      </c>
      <c r="Z5533" s="12" t="inlineStr">
        <is>
          <t>NGR in the generator / terminal-box enclosure</t>
        </is>
      </c>
      <c r="AA5533" s="12">
        <f>N5533*O5533</f>
        <v/>
      </c>
    </row>
    <row r="5534">
      <c r="A5534" s="12" t="inlineStr">
        <is>
          <t>I-MV-0014</t>
        </is>
      </c>
      <c r="B5534" s="12" t="inlineStr">
        <is>
          <t>I</t>
        </is>
      </c>
      <c r="C5534" s="12" t="inlineStr">
        <is>
          <t>Modular / portable power</t>
        </is>
      </c>
      <c r="D5534" s="12" t="inlineStr">
        <is>
          <t>CHP-2 generator neutral to its high-resistance grounding resistor (in the package)</t>
        </is>
      </c>
      <c r="E5534" s="12" t="inlineStr">
        <is>
          <t>CHP-2</t>
        </is>
      </c>
      <c r="F5534" s="12" t="inlineStr">
        <is>
          <t>CHP-2: gas-engine generator ~2.5 MW with exhaust heat recovery, 13.8 k</t>
        </is>
      </c>
      <c r="G5534" s="12" t="inlineStr">
        <is>
          <t>CHP-2</t>
        </is>
      </c>
      <c r="H5534" s="12" t="inlineStr">
        <is>
          <t>CHP-2: gas-engine generator ~2.5 MW with exhaust heat recovery, 13.8 k</t>
        </is>
      </c>
      <c r="I5534" s="12" t="inlineStr">
        <is>
          <t>MV 15 kV</t>
        </is>
      </c>
      <c r="J5534" s="12" t="inlineStr">
        <is>
          <t>MV-105 15 kV 1/C Cu, EPR 133%, Cu tape shield, PVC jacket (triplexed)</t>
        </is>
      </c>
      <c r="K5534" s="12" t="inlineStr">
        <is>
          <t>MV15|1/C|2</t>
        </is>
      </c>
      <c r="L5534" s="12" t="inlineStr">
        <is>
          <t>1/C</t>
        </is>
      </c>
      <c r="M5534" s="12" t="inlineStr">
        <is>
          <t>2</t>
        </is>
      </c>
      <c r="N5534" s="12" t="n">
        <v>1</v>
      </c>
      <c r="O5534" s="12" t="n">
        <v>1</v>
      </c>
      <c r="P5534" s="12" t="n">
        <v>13800</v>
      </c>
      <c r="Q5534" s="12" t="n"/>
      <c r="R5534" s="12" t="n"/>
      <c r="S5534" s="12" t="inlineStr">
        <is>
          <t>Conduit</t>
        </is>
      </c>
      <c r="T5534" s="15" t="n">
        <v>15</v>
      </c>
      <c r="U5534" s="15" t="n">
        <v>5</v>
      </c>
      <c r="V5534" s="15">
        <f>ROUNDUP((T5534+U5534+2*'Read Me'!$B$13)*(1+'Read Me'!$B$12),-1)</f>
        <v/>
      </c>
      <c r="W5534" s="15">
        <f>V5534*N5534*O5534</f>
        <v/>
      </c>
      <c r="X5534" s="12">
        <f>IF(LEFT(I5534,2)="MV",2*N5534*IF(L5534="1/C",O5534,1),0)</f>
        <v/>
      </c>
      <c r="Y5534" s="12">
        <f>IF(OR(LEFT(K5534,4)="LVAX",LEFT(K5534,6)="MV15AX",LEFT(K5534,4)="CTAX",LEFT(K5534,2)="W|"),2*N5534*O5534,0)</f>
        <v/>
      </c>
      <c r="Z5534" s="12" t="inlineStr">
        <is>
          <t>NGR in the generator / terminal-box enclosure</t>
        </is>
      </c>
      <c r="AA5534" s="12">
        <f>N5534*O5534</f>
        <v/>
      </c>
    </row>
    <row r="5535">
      <c r="A5535" s="12" t="inlineStr">
        <is>
          <t>I-MV-0015</t>
        </is>
      </c>
      <c r="B5535" s="12" t="inlineStr">
        <is>
          <t>I</t>
        </is>
      </c>
      <c r="C5535" s="12" t="inlineStr">
        <is>
          <t>Modular / portable power</t>
        </is>
      </c>
      <c r="D5535" s="12" t="inlineStr">
        <is>
          <t>CHP-3 generator neutral to its high-resistance grounding resistor (in the package)</t>
        </is>
      </c>
      <c r="E5535" s="12" t="inlineStr">
        <is>
          <t>CHP-3</t>
        </is>
      </c>
      <c r="F5535" s="12" t="inlineStr">
        <is>
          <t>CHP-3: gas-engine generator ~2.5 MW with exhaust heat recovery, 13.8 k</t>
        </is>
      </c>
      <c r="G5535" s="12" t="inlineStr">
        <is>
          <t>CHP-3</t>
        </is>
      </c>
      <c r="H5535" s="12" t="inlineStr">
        <is>
          <t>CHP-3: gas-engine generator ~2.5 MW with exhaust heat recovery, 13.8 k</t>
        </is>
      </c>
      <c r="I5535" s="12" t="inlineStr">
        <is>
          <t>MV 15 kV</t>
        </is>
      </c>
      <c r="J5535" s="12" t="inlineStr">
        <is>
          <t>MV-105 15 kV 1/C Cu, EPR 133%, Cu tape shield, PVC jacket (triplexed)</t>
        </is>
      </c>
      <c r="K5535" s="12" t="inlineStr">
        <is>
          <t>MV15|1/C|2</t>
        </is>
      </c>
      <c r="L5535" s="12" t="inlineStr">
        <is>
          <t>1/C</t>
        </is>
      </c>
      <c r="M5535" s="12" t="inlineStr">
        <is>
          <t>2</t>
        </is>
      </c>
      <c r="N5535" s="12" t="n">
        <v>1</v>
      </c>
      <c r="O5535" s="12" t="n">
        <v>1</v>
      </c>
      <c r="P5535" s="12" t="n">
        <v>13800</v>
      </c>
      <c r="Q5535" s="12" t="n"/>
      <c r="R5535" s="12" t="n"/>
      <c r="S5535" s="12" t="inlineStr">
        <is>
          <t>Conduit</t>
        </is>
      </c>
      <c r="T5535" s="15" t="n">
        <v>15</v>
      </c>
      <c r="U5535" s="15" t="n">
        <v>5</v>
      </c>
      <c r="V5535" s="15">
        <f>ROUNDUP((T5535+U5535+2*'Read Me'!$B$13)*(1+'Read Me'!$B$12),-1)</f>
        <v/>
      </c>
      <c r="W5535" s="15">
        <f>V5535*N5535*O5535</f>
        <v/>
      </c>
      <c r="X5535" s="12">
        <f>IF(LEFT(I5535,2)="MV",2*N5535*IF(L5535="1/C",O5535,1),0)</f>
        <v/>
      </c>
      <c r="Y5535" s="12">
        <f>IF(OR(LEFT(K5535,4)="LVAX",LEFT(K5535,6)="MV15AX",LEFT(K5535,4)="CTAX",LEFT(K5535,2)="W|"),2*N5535*O5535,0)</f>
        <v/>
      </c>
      <c r="Z5535" s="12" t="inlineStr">
        <is>
          <t>NGR in the generator / terminal-box enclosure</t>
        </is>
      </c>
      <c r="AA5535" s="12">
        <f>N5535*O5535</f>
        <v/>
      </c>
    </row>
    <row r="5536">
      <c r="A5536" s="12" t="inlineStr">
        <is>
          <t>I-MV-0016</t>
        </is>
      </c>
      <c r="B5536" s="12" t="inlineStr">
        <is>
          <t>I</t>
        </is>
      </c>
      <c r="C5536" s="12" t="inlineStr">
        <is>
          <t>Modular / portable power</t>
        </is>
      </c>
      <c r="D5536" s="12" t="inlineStr">
        <is>
          <t>CHP-4 generator neutral to its high-resistance grounding resistor (in the package)</t>
        </is>
      </c>
      <c r="E5536" s="12" t="inlineStr">
        <is>
          <t>CHP-4</t>
        </is>
      </c>
      <c r="F5536" s="12" t="inlineStr">
        <is>
          <t>CHP-4: gas-engine generator ~2.5 MW with exhaust heat recovery, 13.8 k</t>
        </is>
      </c>
      <c r="G5536" s="12" t="inlineStr">
        <is>
          <t>CHP-4</t>
        </is>
      </c>
      <c r="H5536" s="12" t="inlineStr">
        <is>
          <t>CHP-4: gas-engine generator ~2.5 MW with exhaust heat recovery, 13.8 k</t>
        </is>
      </c>
      <c r="I5536" s="12" t="inlineStr">
        <is>
          <t>MV 15 kV</t>
        </is>
      </c>
      <c r="J5536" s="12" t="inlineStr">
        <is>
          <t>MV-105 15 kV 1/C Cu, EPR 133%, Cu tape shield, PVC jacket (triplexed)</t>
        </is>
      </c>
      <c r="K5536" s="12" t="inlineStr">
        <is>
          <t>MV15|1/C|2</t>
        </is>
      </c>
      <c r="L5536" s="12" t="inlineStr">
        <is>
          <t>1/C</t>
        </is>
      </c>
      <c r="M5536" s="12" t="inlineStr">
        <is>
          <t>2</t>
        </is>
      </c>
      <c r="N5536" s="12" t="n">
        <v>1</v>
      </c>
      <c r="O5536" s="12" t="n">
        <v>1</v>
      </c>
      <c r="P5536" s="12" t="n">
        <v>13800</v>
      </c>
      <c r="Q5536" s="12" t="n"/>
      <c r="R5536" s="12" t="n"/>
      <c r="S5536" s="12" t="inlineStr">
        <is>
          <t>Conduit</t>
        </is>
      </c>
      <c r="T5536" s="15" t="n">
        <v>15</v>
      </c>
      <c r="U5536" s="15" t="n">
        <v>5</v>
      </c>
      <c r="V5536" s="15">
        <f>ROUNDUP((T5536+U5536+2*'Read Me'!$B$13)*(1+'Read Me'!$B$12),-1)</f>
        <v/>
      </c>
      <c r="W5536" s="15">
        <f>V5536*N5536*O5536</f>
        <v/>
      </c>
      <c r="X5536" s="12">
        <f>IF(LEFT(I5536,2)="MV",2*N5536*IF(L5536="1/C",O5536,1),0)</f>
        <v/>
      </c>
      <c r="Y5536" s="12">
        <f>IF(OR(LEFT(K5536,4)="LVAX",LEFT(K5536,6)="MV15AX",LEFT(K5536,4)="CTAX",LEFT(K5536,2)="W|"),2*N5536*O5536,0)</f>
        <v/>
      </c>
      <c r="Z5536" s="12" t="inlineStr">
        <is>
          <t>NGR in the generator / terminal-box enclosure</t>
        </is>
      </c>
      <c r="AA5536" s="12">
        <f>N5536*O5536</f>
        <v/>
      </c>
    </row>
    <row r="5537">
      <c r="A5537" s="12" t="inlineStr">
        <is>
          <t>I-MV-0017</t>
        </is>
      </c>
      <c r="B5537" s="12" t="inlineStr">
        <is>
          <t>I</t>
        </is>
      </c>
      <c r="C5537" s="12" t="inlineStr">
        <is>
          <t>Modular / portable power</t>
        </is>
      </c>
      <c r="D5537" s="12" t="inlineStr">
        <is>
          <t>CHP-AUX 13.8 kV primary</t>
        </is>
      </c>
      <c r="E5537" s="12" t="inlineStr">
        <is>
          <t>CHP-SWG</t>
        </is>
      </c>
      <c r="F5537" s="12" t="inlineStr">
        <is>
          <t>CHP-SWG: 13.8 kV switchgear container (4 engine breakers, site feeder)</t>
        </is>
      </c>
      <c r="G5537" s="12" t="inlineStr">
        <is>
          <t>CHP-AUX</t>
        </is>
      </c>
      <c r="H5537" s="12" t="inlineStr">
        <is>
          <t>CHP-AUX: 13.8 / 0.48 kV, 750 kVA auxiliary pad-mount (engine auxiliari</t>
        </is>
      </c>
      <c r="I5537" s="12" t="inlineStr">
        <is>
          <t>MV 15 kV</t>
        </is>
      </c>
      <c r="J5537" s="12" t="inlineStr">
        <is>
          <t>MV-105 15 kV 1/C Cu, EPR 133%, Cu tape shield, PVC jacket (triplexed)</t>
        </is>
      </c>
      <c r="K5537" s="12" t="inlineStr">
        <is>
          <t>MV15|1/C|2</t>
        </is>
      </c>
      <c r="L5537" s="12" t="inlineStr">
        <is>
          <t>1/C</t>
        </is>
      </c>
      <c r="M5537" s="12" t="inlineStr">
        <is>
          <t>2</t>
        </is>
      </c>
      <c r="N5537" s="12" t="n">
        <v>1</v>
      </c>
      <c r="O5537" s="12" t="n">
        <v>3</v>
      </c>
      <c r="P5537" s="12" t="n">
        <v>13800</v>
      </c>
      <c r="Q5537" s="12" t="n">
        <v>750</v>
      </c>
      <c r="R5537" s="12" t="n">
        <v>31</v>
      </c>
      <c r="S5537" s="12" t="inlineStr">
        <is>
          <t>Duct bank</t>
        </is>
      </c>
      <c r="T5537" s="15" t="n">
        <v>4</v>
      </c>
      <c r="U5537" s="15" t="n">
        <v>32</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I-MV-0018</t>
        </is>
      </c>
      <c r="B5538" s="12" t="inlineStr">
        <is>
          <t>I</t>
        </is>
      </c>
      <c r="C5538" s="12" t="inlineStr">
        <is>
          <t>Modular / portable power</t>
        </is>
      </c>
      <c r="D5538" s="12" t="inlineStr">
        <is>
          <t>CHP-1 13.8 kV generator leads to the switchgear container</t>
        </is>
      </c>
      <c r="E5538" s="12" t="inlineStr">
        <is>
          <t>CHP-1</t>
        </is>
      </c>
      <c r="F5538" s="12" t="inlineStr">
        <is>
          <t>CHP-1: gas-engine generator ~2.5 MW with exhaust heat recovery, 13.8 k</t>
        </is>
      </c>
      <c r="G5538" s="12" t="inlineStr">
        <is>
          <t>CHP-SWG</t>
        </is>
      </c>
      <c r="H5538" s="12" t="inlineStr">
        <is>
          <t>CHP-SWG: 13.8 kV switchgear container (4 engine breakers, site feeder)</t>
        </is>
      </c>
      <c r="I5538" s="12" t="inlineStr">
        <is>
          <t>MV 15 kV</t>
        </is>
      </c>
      <c r="J5538" s="12" t="inlineStr">
        <is>
          <t>MV-105 15 kV 1/C Cu, EPR 133%, Cu tape shield, PVC jacket (triplexed)</t>
        </is>
      </c>
      <c r="K5538" s="12" t="inlineStr">
        <is>
          <t>MV15|1/C|1/0</t>
        </is>
      </c>
      <c r="L5538" s="12" t="inlineStr">
        <is>
          <t>1/C</t>
        </is>
      </c>
      <c r="M5538" s="12" t="inlineStr">
        <is>
          <t>1/0</t>
        </is>
      </c>
      <c r="N5538" s="12" t="n">
        <v>1</v>
      </c>
      <c r="O5538" s="12" t="n">
        <v>3</v>
      </c>
      <c r="P5538" s="12" t="n">
        <v>13800</v>
      </c>
      <c r="Q5538" s="12" t="n">
        <v>2500</v>
      </c>
      <c r="R5538" s="12" t="n">
        <v>116</v>
      </c>
      <c r="S5538" s="12" t="inlineStr">
        <is>
          <t>Duct bank</t>
        </is>
      </c>
      <c r="T5538" s="15" t="n">
        <v>72</v>
      </c>
      <c r="U5538" s="15" t="n">
        <v>32</v>
      </c>
      <c r="V5538" s="15">
        <f>ROUNDUP((T5538+U5538+2*'Read Me'!$B$13)*(1+'Read Me'!$B$12),-1)</f>
        <v/>
      </c>
      <c r="W5538" s="15">
        <f>V5538*N5538*O5538</f>
        <v/>
      </c>
      <c r="X5538" s="12">
        <f>IF(LEFT(I5538,2)="MV",2*N5538*IF(L5538="1/C",O5538,1),0)</f>
        <v/>
      </c>
      <c r="Y5538" s="12">
        <f>IF(OR(LEFT(K5538,4)="LVAX",LEFT(K5538,6)="MV15AX",LEFT(K5538,4)="CTAX",LEFT(K5538,2)="W|"),2*N5538*O5538,0)</f>
        <v/>
      </c>
      <c r="Z5538" s="12" t="inlineStr">
        <is>
          <t>1 set per phase</t>
        </is>
      </c>
      <c r="AA5538" s="12">
        <f>N5538*O5538</f>
        <v/>
      </c>
    </row>
    <row r="5539">
      <c r="A5539" s="12" t="inlineStr">
        <is>
          <t>I-MV-0019</t>
        </is>
      </c>
      <c r="B5539" s="12" t="inlineStr">
        <is>
          <t>I</t>
        </is>
      </c>
      <c r="C5539" s="12" t="inlineStr">
        <is>
          <t>Modular / portable power</t>
        </is>
      </c>
      <c r="D5539" s="12" t="inlineStr">
        <is>
          <t>CHP-2 13.8 kV generator leads to the switchgear container</t>
        </is>
      </c>
      <c r="E5539" s="12" t="inlineStr">
        <is>
          <t>CHP-2</t>
        </is>
      </c>
      <c r="F5539" s="12" t="inlineStr">
        <is>
          <t>CHP-2: gas-engine generator ~2.5 MW with exhaust heat recovery, 13.8 k</t>
        </is>
      </c>
      <c r="G5539" s="12" t="inlineStr">
        <is>
          <t>CHP-SWG</t>
        </is>
      </c>
      <c r="H5539" s="12" t="inlineStr">
        <is>
          <t>CHP-SWG: 13.8 kV switchgear container (4 engine breakers, site feeder)</t>
        </is>
      </c>
      <c r="I5539" s="12" t="inlineStr">
        <is>
          <t>MV 15 kV</t>
        </is>
      </c>
      <c r="J5539" s="12" t="inlineStr">
        <is>
          <t>MV-105 15 kV 1/C Cu, EPR 133%, Cu tape shield, PVC jacket (triplexed)</t>
        </is>
      </c>
      <c r="K5539" s="12" t="inlineStr">
        <is>
          <t>MV15|1/C|1/0</t>
        </is>
      </c>
      <c r="L5539" s="12" t="inlineStr">
        <is>
          <t>1/C</t>
        </is>
      </c>
      <c r="M5539" s="12" t="inlineStr">
        <is>
          <t>1/0</t>
        </is>
      </c>
      <c r="N5539" s="12" t="n">
        <v>1</v>
      </c>
      <c r="O5539" s="12" t="n">
        <v>3</v>
      </c>
      <c r="P5539" s="12" t="n">
        <v>13800</v>
      </c>
      <c r="Q5539" s="12" t="n">
        <v>2500</v>
      </c>
      <c r="R5539" s="12" t="n">
        <v>116</v>
      </c>
      <c r="S5539" s="12" t="inlineStr">
        <is>
          <t>Duct bank</t>
        </is>
      </c>
      <c r="T5539" s="15" t="n">
        <v>58</v>
      </c>
      <c r="U5539" s="15" t="n">
        <v>32</v>
      </c>
      <c r="V5539" s="15">
        <f>ROUNDUP((T5539+U5539+2*'Read Me'!$B$13)*(1+'Read Me'!$B$12),-1)</f>
        <v/>
      </c>
      <c r="W5539" s="15">
        <f>V5539*N5539*O5539</f>
        <v/>
      </c>
      <c r="X5539" s="12">
        <f>IF(LEFT(I5539,2)="MV",2*N5539*IF(L5539="1/C",O5539,1),0)</f>
        <v/>
      </c>
      <c r="Y5539" s="12">
        <f>IF(OR(LEFT(K5539,4)="LVAX",LEFT(K5539,6)="MV15AX",LEFT(K5539,4)="CTAX",LEFT(K5539,2)="W|"),2*N5539*O5539,0)</f>
        <v/>
      </c>
      <c r="Z5539" s="12" t="inlineStr">
        <is>
          <t>1 set per phase</t>
        </is>
      </c>
      <c r="AA5539" s="12">
        <f>N5539*O5539</f>
        <v/>
      </c>
    </row>
    <row r="5540">
      <c r="A5540" s="12" t="inlineStr">
        <is>
          <t>I-MV-0020</t>
        </is>
      </c>
      <c r="B5540" s="12" t="inlineStr">
        <is>
          <t>I</t>
        </is>
      </c>
      <c r="C5540" s="12" t="inlineStr">
        <is>
          <t>Modular / portable power</t>
        </is>
      </c>
      <c r="D5540" s="12" t="inlineStr">
        <is>
          <t>CHP-3 13.8 kV generator leads to the switchgear container</t>
        </is>
      </c>
      <c r="E5540" s="12" t="inlineStr">
        <is>
          <t>CHP-3</t>
        </is>
      </c>
      <c r="F5540" s="12" t="inlineStr">
        <is>
          <t>CHP-3: gas-engine generator ~2.5 MW with exhaust heat recovery, 13.8 k</t>
        </is>
      </c>
      <c r="G5540" s="12" t="inlineStr">
        <is>
          <t>CHP-SWG</t>
        </is>
      </c>
      <c r="H5540" s="12" t="inlineStr">
        <is>
          <t>CHP-SWG: 13.8 kV switchgear container (4 engine breakers, site feeder)</t>
        </is>
      </c>
      <c r="I5540" s="12" t="inlineStr">
        <is>
          <t>MV 15 kV</t>
        </is>
      </c>
      <c r="J5540" s="12" t="inlineStr">
        <is>
          <t>MV-105 15 kV 1/C Cu, EPR 133%, Cu tape shield, PVC jacket (triplexed)</t>
        </is>
      </c>
      <c r="K5540" s="12" t="inlineStr">
        <is>
          <t>MV15|1/C|1/0</t>
        </is>
      </c>
      <c r="L5540" s="12" t="inlineStr">
        <is>
          <t>1/C</t>
        </is>
      </c>
      <c r="M5540" s="12" t="inlineStr">
        <is>
          <t>1/0</t>
        </is>
      </c>
      <c r="N5540" s="12" t="n">
        <v>1</v>
      </c>
      <c r="O5540" s="12" t="n">
        <v>3</v>
      </c>
      <c r="P5540" s="12" t="n">
        <v>13800</v>
      </c>
      <c r="Q5540" s="12" t="n">
        <v>2500</v>
      </c>
      <c r="R5540" s="12" t="n">
        <v>116</v>
      </c>
      <c r="S5540" s="12" t="inlineStr">
        <is>
          <t>Duct bank</t>
        </is>
      </c>
      <c r="T5540" s="15" t="n">
        <v>34</v>
      </c>
      <c r="U5540" s="15" t="n">
        <v>32</v>
      </c>
      <c r="V5540" s="15">
        <f>ROUNDUP((T5540+U5540+2*'Read Me'!$B$13)*(1+'Read Me'!$B$12),-1)</f>
        <v/>
      </c>
      <c r="W5540" s="15">
        <f>V5540*N5540*O5540</f>
        <v/>
      </c>
      <c r="X5540" s="12">
        <f>IF(LEFT(I5540,2)="MV",2*N5540*IF(L5540="1/C",O5540,1),0)</f>
        <v/>
      </c>
      <c r="Y5540" s="12">
        <f>IF(OR(LEFT(K5540,4)="LVAX",LEFT(K5540,6)="MV15AX",LEFT(K5540,4)="CTAX",LEFT(K5540,2)="W|"),2*N5540*O5540,0)</f>
        <v/>
      </c>
      <c r="Z5540" s="12" t="inlineStr">
        <is>
          <t>1 set per phase</t>
        </is>
      </c>
      <c r="AA5540" s="12">
        <f>N5540*O5540</f>
        <v/>
      </c>
    </row>
    <row r="5541">
      <c r="A5541" s="12" t="inlineStr">
        <is>
          <t>I-MV-0021</t>
        </is>
      </c>
      <c r="B5541" s="12" t="inlineStr">
        <is>
          <t>I</t>
        </is>
      </c>
      <c r="C5541" s="12" t="inlineStr">
        <is>
          <t>Modular / portable power</t>
        </is>
      </c>
      <c r="D5541" s="12" t="inlineStr">
        <is>
          <t>CHP-4 13.8 kV generator leads to the switchgear container</t>
        </is>
      </c>
      <c r="E5541" s="12" t="inlineStr">
        <is>
          <t>CHP-4</t>
        </is>
      </c>
      <c r="F5541" s="12" t="inlineStr">
        <is>
          <t>CHP-4: gas-engine generator ~2.5 MW with exhaust heat recovery, 13.8 k</t>
        </is>
      </c>
      <c r="G5541" s="12" t="inlineStr">
        <is>
          <t>CHP-SWG</t>
        </is>
      </c>
      <c r="H5541" s="12" t="inlineStr">
        <is>
          <t>CHP-SWG: 13.8 kV switchgear container (4 engine breakers, site feeder)</t>
        </is>
      </c>
      <c r="I5541" s="12" t="inlineStr">
        <is>
          <t>MV 15 kV</t>
        </is>
      </c>
      <c r="J5541" s="12" t="inlineStr">
        <is>
          <t>MV-105 15 kV 1/C Cu, EPR 133%, Cu tape shield, PVC jacket (triplexed)</t>
        </is>
      </c>
      <c r="K5541" s="12" t="inlineStr">
        <is>
          <t>MV15|1/C|1/0</t>
        </is>
      </c>
      <c r="L5541" s="12" t="inlineStr">
        <is>
          <t>1/C</t>
        </is>
      </c>
      <c r="M5541" s="12" t="inlineStr">
        <is>
          <t>1/0</t>
        </is>
      </c>
      <c r="N5541" s="12" t="n">
        <v>1</v>
      </c>
      <c r="O5541" s="12" t="n">
        <v>3</v>
      </c>
      <c r="P5541" s="12" t="n">
        <v>13800</v>
      </c>
      <c r="Q5541" s="12" t="n">
        <v>2500</v>
      </c>
      <c r="R5541" s="12" t="n">
        <v>116</v>
      </c>
      <c r="S5541" s="12" t="inlineStr">
        <is>
          <t>Duct bank</t>
        </is>
      </c>
      <c r="T5541" s="15" t="n">
        <v>20</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1 set per phase</t>
        </is>
      </c>
      <c r="AA5541" s="12">
        <f>N5541*O5541</f>
        <v/>
      </c>
    </row>
    <row r="5542">
      <c r="A5542" s="12" t="inlineStr">
        <is>
          <t>I-MV-0022</t>
        </is>
      </c>
      <c r="B5542" s="12" t="inlineStr">
        <is>
          <t>I</t>
        </is>
      </c>
      <c r="C5542" s="12" t="inlineStr">
        <is>
          <t>Modular / portable power</t>
        </is>
      </c>
      <c r="D5542" s="12" t="inlineStr">
        <is>
          <t>Modular-yard fuel-gas compressor</t>
        </is>
      </c>
      <c r="E5542" s="12" t="inlineStr">
        <is>
          <t>MOD-EH</t>
        </is>
      </c>
      <c r="F5542" s="12" t="inlineStr">
        <is>
          <t>MOD-EH: 34.5 kV modular collector e-house (2 bus sections + 13.8 kV st</t>
        </is>
      </c>
      <c r="G5542" s="12" t="inlineStr"/>
      <c r="H5542" s="12" t="inlineStr">
        <is>
          <t>Fuel-gas compressors 3 x 100% electric</t>
        </is>
      </c>
      <c r="I5542" s="12" t="inlineStr">
        <is>
          <t>MV 15 kV</t>
        </is>
      </c>
      <c r="J5542" s="12" t="inlineStr">
        <is>
          <t>ARMOR-X MC-HL / MV-105 15 kV 3/C Cu, EPR 133%, tape shield, gnd, CWA, red PVC</t>
        </is>
      </c>
      <c r="K5542" s="12" t="inlineStr">
        <is>
          <t>MV15AX|3/C|2</t>
        </is>
      </c>
      <c r="L5542" s="12" t="inlineStr">
        <is>
          <t>3/C</t>
        </is>
      </c>
      <c r="M5542" s="12" t="inlineStr">
        <is>
          <t>2</t>
        </is>
      </c>
      <c r="N5542" s="12" t="n">
        <v>1</v>
      </c>
      <c r="O5542" s="12" t="n">
        <v>1</v>
      </c>
      <c r="P5542" s="12" t="n">
        <v>13800</v>
      </c>
      <c r="Q5542" s="12" t="n">
        <v>1500</v>
      </c>
      <c r="R5542" s="12" t="n">
        <v>70</v>
      </c>
      <c r="S5542" s="12" t="inlineStr">
        <is>
          <t>Duct bank</t>
        </is>
      </c>
      <c r="T5542" s="15" t="n">
        <v>841</v>
      </c>
      <c r="U5542" s="15" t="n">
        <v>108</v>
      </c>
      <c r="V5542" s="15">
        <f>ROUNDUP((T5542+U5542+2*'Read Me'!$B$13)*(1+'Read Me'!$B$12),-1)</f>
        <v/>
      </c>
      <c r="W5542" s="15">
        <f>V5542*N5542*O5542</f>
        <v/>
      </c>
      <c r="X5542" s="12">
        <f>IF(LEFT(I5542,2)="MV",2*N5542*IF(L5542="1/C",O5542,1),0)</f>
        <v/>
      </c>
      <c r="Y5542" s="12">
        <f>IF(OR(LEFT(K5542,4)="LVAX",LEFT(K5542,6)="MV15AX",LEFT(K5542,4)="CTAX",LEFT(K5542,2)="W|"),2*N5542*O5542,0)</f>
        <v/>
      </c>
      <c r="Z5542" s="12" t="inlineStr"/>
      <c r="AA5542" s="12">
        <f>N5542*O5542</f>
        <v/>
      </c>
    </row>
    <row r="5543">
      <c r="A5543" s="12" t="inlineStr">
        <is>
          <t>I-MV-0023</t>
        </is>
      </c>
      <c r="B5543" s="12" t="inlineStr">
        <is>
          <t>I</t>
        </is>
      </c>
      <c r="C5543" s="12" t="inlineStr">
        <is>
          <t>Modular / portable power</t>
        </is>
      </c>
      <c r="D5543" s="12" t="inlineStr">
        <is>
          <t>Modular-yard fuel-gas compressor</t>
        </is>
      </c>
      <c r="E5543" s="12" t="inlineStr">
        <is>
          <t>MOD-EH</t>
        </is>
      </c>
      <c r="F5543" s="12" t="inlineStr">
        <is>
          <t>MOD-EH: 34.5 kV modular collector e-house (2 bus sections + 13.8 kV st</t>
        </is>
      </c>
      <c r="G5543" s="12" t="inlineStr"/>
      <c r="H5543" s="12" t="inlineStr">
        <is>
          <t>Fuel-gas compressors 3 x 100% electric</t>
        </is>
      </c>
      <c r="I5543" s="12" t="inlineStr">
        <is>
          <t>MV 15 kV</t>
        </is>
      </c>
      <c r="J5543" s="12" t="inlineStr">
        <is>
          <t>ARMOR-X MC-HL / MV-105 15 kV 3/C Cu, EPR 133%, tape shield, gnd, CWA, red PVC</t>
        </is>
      </c>
      <c r="K5543" s="12" t="inlineStr">
        <is>
          <t>MV15AX|3/C|2</t>
        </is>
      </c>
      <c r="L5543" s="12" t="inlineStr">
        <is>
          <t>3/C</t>
        </is>
      </c>
      <c r="M5543" s="12" t="inlineStr">
        <is>
          <t>2</t>
        </is>
      </c>
      <c r="N5543" s="12" t="n">
        <v>1</v>
      </c>
      <c r="O5543" s="12" t="n">
        <v>1</v>
      </c>
      <c r="P5543" s="12" t="n">
        <v>13800</v>
      </c>
      <c r="Q5543" s="12" t="n">
        <v>1500</v>
      </c>
      <c r="R5543" s="12" t="n">
        <v>70</v>
      </c>
      <c r="S5543" s="12" t="inlineStr">
        <is>
          <t>Duct bank</t>
        </is>
      </c>
      <c r="T5543" s="15" t="n">
        <v>841</v>
      </c>
      <c r="U5543" s="15" t="n">
        <v>108</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I-MV-0024</t>
        </is>
      </c>
      <c r="B5544" s="12" t="inlineStr">
        <is>
          <t>I</t>
        </is>
      </c>
      <c r="C5544" s="12" t="inlineStr">
        <is>
          <t>Modular / portable power</t>
        </is>
      </c>
      <c r="D5544" s="12" t="inlineStr">
        <is>
          <t>Modular-yard fuel-gas compressor</t>
        </is>
      </c>
      <c r="E5544" s="12" t="inlineStr">
        <is>
          <t>MOD-EH</t>
        </is>
      </c>
      <c r="F5544" s="12" t="inlineStr">
        <is>
          <t>MOD-EH: 34.5 kV modular collector e-house (2 bus sections + 13.8 kV st</t>
        </is>
      </c>
      <c r="G5544" s="12" t="inlineStr"/>
      <c r="H5544" s="12" t="inlineStr">
        <is>
          <t>Fuel-gas compressors 3 x 100% electric</t>
        </is>
      </c>
      <c r="I5544" s="12" t="inlineStr">
        <is>
          <t>MV 15 kV</t>
        </is>
      </c>
      <c r="J5544" s="12" t="inlineStr">
        <is>
          <t>ARMOR-X MC-HL / MV-105 15 kV 3/C Cu, EPR 133%, tape shield, gnd, CWA, red PVC</t>
        </is>
      </c>
      <c r="K5544" s="12" t="inlineStr">
        <is>
          <t>MV15AX|3/C|2</t>
        </is>
      </c>
      <c r="L5544" s="12" t="inlineStr">
        <is>
          <t>3/C</t>
        </is>
      </c>
      <c r="M5544" s="12" t="inlineStr">
        <is>
          <t>2</t>
        </is>
      </c>
      <c r="N5544" s="12" t="n">
        <v>1</v>
      </c>
      <c r="O5544" s="12" t="n">
        <v>1</v>
      </c>
      <c r="P5544" s="12" t="n">
        <v>13800</v>
      </c>
      <c r="Q5544" s="12" t="n">
        <v>1500</v>
      </c>
      <c r="R5544" s="12" t="n">
        <v>70</v>
      </c>
      <c r="S5544" s="12" t="inlineStr">
        <is>
          <t>Duct bank</t>
        </is>
      </c>
      <c r="T5544" s="15" t="n">
        <v>841</v>
      </c>
      <c r="U5544" s="15" t="n">
        <v>108</v>
      </c>
      <c r="V5544" s="15">
        <f>ROUNDUP((T5544+U5544+2*'Read Me'!$B$13)*(1+'Read Me'!$B$12),-1)</f>
        <v/>
      </c>
      <c r="W5544" s="15">
        <f>V5544*N5544*O5544</f>
        <v/>
      </c>
      <c r="X5544" s="12">
        <f>IF(LEFT(I5544,2)="MV",2*N5544*IF(L5544="1/C",O5544,1),0)</f>
        <v/>
      </c>
      <c r="Y5544" s="12">
        <f>IF(OR(LEFT(K5544,4)="LVAX",LEFT(K5544,6)="MV15AX",LEFT(K5544,4)="CTAX",LEFT(K5544,2)="W|"),2*N5544*O5544,0)</f>
        <v/>
      </c>
      <c r="Z5544" s="12" t="inlineStr"/>
      <c r="AA5544" s="12">
        <f>N5544*O5544</f>
        <v/>
      </c>
    </row>
    <row r="5545">
      <c r="A5545" s="12" t="inlineStr">
        <is>
          <t>I-MV-0025</t>
        </is>
      </c>
      <c r="B5545" s="12" t="inlineStr">
        <is>
          <t>I</t>
        </is>
      </c>
      <c r="C5545" s="12" t="inlineStr">
        <is>
          <t>Modular / portable power</t>
        </is>
      </c>
      <c r="D5545" s="12" t="inlineStr">
        <is>
          <t>IG-1 generator neutral to its high-resistance grounding resistor (in the package)</t>
        </is>
      </c>
      <c r="E5545" s="12" t="inlineStr">
        <is>
          <t>IG-1</t>
        </is>
      </c>
      <c r="F5545" s="12" t="inlineStr">
        <is>
          <t>IG-1: industrial gas-turbine installation, SGT-800 / H-25 class (~50 M</t>
        </is>
      </c>
      <c r="G5545" s="12" t="inlineStr">
        <is>
          <t>IG-1</t>
        </is>
      </c>
      <c r="H5545" s="12" t="inlineStr">
        <is>
          <t>IG-1: industrial gas-turbine installation, SGT-800 / H-25 class (~50 M</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I-MV-0026</t>
        </is>
      </c>
      <c r="B5546" s="12" t="inlineStr">
        <is>
          <t>I</t>
        </is>
      </c>
      <c r="C5546" s="12" t="inlineStr">
        <is>
          <t>Modular / portable power</t>
        </is>
      </c>
      <c r="D5546" s="12" t="inlineStr">
        <is>
          <t>IG-1 13.8 kV generator leads to IG-GSU</t>
        </is>
      </c>
      <c r="E5546" s="12" t="inlineStr">
        <is>
          <t>IG-1</t>
        </is>
      </c>
      <c r="F5546" s="12" t="inlineStr">
        <is>
          <t>IG-1: industrial gas-turbine installation, SGT-800 / H-25 class (~50 M</t>
        </is>
      </c>
      <c r="G5546" s="12" t="inlineStr">
        <is>
          <t>IG-GSU</t>
        </is>
      </c>
      <c r="H5546" s="12" t="inlineStr">
        <is>
          <t>IG-GSU: 13.8 / 34.5 kV step-up, ~60 MVA (IG-1 unit step-up)</t>
        </is>
      </c>
      <c r="I5546" s="12" t="inlineStr">
        <is>
          <t>MV 15 kV</t>
        </is>
      </c>
      <c r="J5546" s="12" t="inlineStr">
        <is>
          <t>MV-105 15 kV 1/C Cu, EPR 133%, Cu tape shield, PVC jacket (triplexed)</t>
        </is>
      </c>
      <c r="K5546" s="12" t="inlineStr">
        <is>
          <t>MV15|1/C|1000</t>
        </is>
      </c>
      <c r="L5546" s="12" t="inlineStr">
        <is>
          <t>1/C</t>
        </is>
      </c>
      <c r="M5546" s="12" t="inlineStr">
        <is>
          <t>1000 kcmil</t>
        </is>
      </c>
      <c r="N5546" s="12" t="n">
        <v>5</v>
      </c>
      <c r="O5546" s="12" t="n">
        <v>3</v>
      </c>
      <c r="P5546" s="12" t="n">
        <v>13800</v>
      </c>
      <c r="Q5546" s="12" t="n">
        <v>50000</v>
      </c>
      <c r="R5546" s="12" t="n">
        <v>2324</v>
      </c>
      <c r="S5546" s="12" t="inlineStr">
        <is>
          <t>Duct bank</t>
        </is>
      </c>
      <c r="T5546" s="15" t="n">
        <v>26</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is>
          <t>5 sets per phase</t>
        </is>
      </c>
      <c r="AA5546" s="12">
        <f>N5546*O5546</f>
        <v/>
      </c>
    </row>
    <row r="5547">
      <c r="A5547" s="12" t="inlineStr">
        <is>
          <t>I-MV-0027</t>
        </is>
      </c>
      <c r="B5547" s="12" t="inlineStr">
        <is>
          <t>I</t>
        </is>
      </c>
      <c r="C5547" s="12" t="inlineStr">
        <is>
          <t>Modular / portable power</t>
        </is>
      </c>
      <c r="D5547" s="12" t="inlineStr">
        <is>
          <t>MOD-SST 13.8 kV secondary to the MOD-EH station-service section</t>
        </is>
      </c>
      <c r="E5547" s="12" t="inlineStr">
        <is>
          <t>MOD-SST</t>
        </is>
      </c>
      <c r="F5547" s="12" t="inlineStr">
        <is>
          <t>MOD-SST: 34.5 / 13.8 kV station-service transformer, ~10 MVA (yard sta</t>
        </is>
      </c>
      <c r="G5547" s="12" t="inlineStr">
        <is>
          <t>MOD-EH</t>
        </is>
      </c>
      <c r="H5547" s="12" t="inlineStr">
        <is>
          <t>MOD-EH: 34.5 kV modular collector e-house (2 bus sections + 13.8 kV st</t>
        </is>
      </c>
      <c r="I5547" s="12" t="inlineStr">
        <is>
          <t>MV 15 kV</t>
        </is>
      </c>
      <c r="J5547" s="12" t="inlineStr">
        <is>
          <t>MV-105 15 kV 1/C Cu, EPR 133%, Cu tape shield, PVC jacket (triplexed)</t>
        </is>
      </c>
      <c r="K5547" s="12" t="inlineStr">
        <is>
          <t>MV15|1/C|750</t>
        </is>
      </c>
      <c r="L5547" s="12" t="inlineStr">
        <is>
          <t>1/C</t>
        </is>
      </c>
      <c r="M5547" s="12" t="inlineStr">
        <is>
          <t>750 kcmil</t>
        </is>
      </c>
      <c r="N5547" s="12" t="n">
        <v>1</v>
      </c>
      <c r="O5547" s="12" t="n">
        <v>3</v>
      </c>
      <c r="P5547" s="12" t="n">
        <v>13800</v>
      </c>
      <c r="Q5547" s="12" t="n">
        <v>9000</v>
      </c>
      <c r="R5547" s="12" t="n">
        <v>418</v>
      </c>
      <c r="S5547" s="12" t="inlineStr">
        <is>
          <t>Duct bank</t>
        </is>
      </c>
      <c r="T5547" s="15" t="n">
        <v>40</v>
      </c>
      <c r="U5547" s="15" t="n">
        <v>20</v>
      </c>
      <c r="V5547" s="15">
        <f>ROUNDUP((T5547+U5547+2*'Read Me'!$B$13)*(1+'Read Me'!$B$12),-1)</f>
        <v/>
      </c>
      <c r="W5547" s="15">
        <f>V5547*N5547*O5547</f>
        <v/>
      </c>
      <c r="X5547" s="12">
        <f>IF(LEFT(I5547,2)="MV",2*N5547*IF(L5547="1/C",O5547,1),0)</f>
        <v/>
      </c>
      <c r="Y5547" s="12">
        <f>IF(OR(LEFT(K5547,4)="LVAX",LEFT(K5547,6)="MV15AX",LEFT(K5547,4)="CTAX",LEFT(K5547,2)="W|"),2*N5547*O5547,0)</f>
        <v/>
      </c>
      <c r="Z5547" s="12" t="inlineStr">
        <is>
          <t>1 set per phase</t>
        </is>
      </c>
      <c r="AA5547" s="12">
        <f>N5547*O5547</f>
        <v/>
      </c>
    </row>
    <row r="5548">
      <c r="A5548" s="12" t="inlineStr">
        <is>
          <t>I-MV-0028</t>
        </is>
      </c>
      <c r="B5548" s="12" t="inlineStr">
        <is>
          <t>I</t>
        </is>
      </c>
      <c r="C5548" s="12" t="inlineStr">
        <is>
          <t>Modular / portable power</t>
        </is>
      </c>
      <c r="D5548" s="12" t="inlineStr">
        <is>
          <t>MOD-LV supply from the MOD-EH 13.8 kV station-service section</t>
        </is>
      </c>
      <c r="E5548" s="12" t="inlineStr">
        <is>
          <t>MOD-EH</t>
        </is>
      </c>
      <c r="F5548" s="12" t="inlineStr">
        <is>
          <t>MOD-EH: 34.5 kV modular collector e-house (2 bus sections + 13.8 kV st</t>
        </is>
      </c>
      <c r="G5548" s="12" t="inlineStr"/>
      <c r="H5548" s="12" t="inlineStr">
        <is>
          <t>MOD-LV 480 V board + 480 V : 13.8 kV step-up</t>
        </is>
      </c>
      <c r="I5548" s="12" t="inlineStr">
        <is>
          <t>MV 15 kV</t>
        </is>
      </c>
      <c r="J5548" s="12" t="inlineStr">
        <is>
          <t>MV-105 15 kV 1/C Cu, EPR 133%, Cu tape shield, PVC jacket (triplexed)</t>
        </is>
      </c>
      <c r="K5548" s="12" t="inlineStr">
        <is>
          <t>MV15|1/C|1/0</t>
        </is>
      </c>
      <c r="L5548" s="12" t="inlineStr">
        <is>
          <t>1/C</t>
        </is>
      </c>
      <c r="M5548" s="12" t="inlineStr">
        <is>
          <t>1/0</t>
        </is>
      </c>
      <c r="N5548" s="12" t="n">
        <v>1</v>
      </c>
      <c r="O5548" s="12" t="n">
        <v>3</v>
      </c>
      <c r="P5548" s="12" t="n">
        <v>13800</v>
      </c>
      <c r="Q5548" s="12" t="n">
        <v>3000</v>
      </c>
      <c r="R5548" s="12" t="n">
        <v>126</v>
      </c>
      <c r="S5548" s="12" t="inlineStr">
        <is>
          <t>Duct bank</t>
        </is>
      </c>
      <c r="T5548" s="15" t="n">
        <v>538</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I-MV-0029</t>
        </is>
      </c>
      <c r="B5549" s="12" t="inlineStr">
        <is>
          <t>I</t>
        </is>
      </c>
      <c r="C5549" s="12" t="inlineStr">
        <is>
          <t>Modular / portable power</t>
        </is>
      </c>
      <c r="D5549" s="12" t="inlineStr">
        <is>
          <t>MTG-1 generator neutral to its high-resistance grounding resistor (in the package)</t>
        </is>
      </c>
      <c r="E5549" s="12" t="inlineStr">
        <is>
          <t>MTG-1</t>
        </is>
      </c>
      <c r="F5549" s="12" t="inlineStr">
        <is>
          <t xml:space="preserve">MTG-1: mid-size industrial gas-turbine generator package ~16 MW, 13.8 </t>
        </is>
      </c>
      <c r="G5549" s="12" t="inlineStr">
        <is>
          <t>MTG-1</t>
        </is>
      </c>
      <c r="H5549" s="12" t="inlineStr">
        <is>
          <t xml:space="preserve">MTG-1: mid-size industrial gas-turbine generator package ~16 MW, 13.8 </t>
        </is>
      </c>
      <c r="I5549" s="12" t="inlineStr">
        <is>
          <t>MV 15 kV</t>
        </is>
      </c>
      <c r="J5549" s="12" t="inlineStr">
        <is>
          <t>MV-105 15 kV 1/C Cu, EPR 133%, Cu tape shield, PVC jacket (triplexed)</t>
        </is>
      </c>
      <c r="K5549" s="12" t="inlineStr">
        <is>
          <t>MV15|1/C|2</t>
        </is>
      </c>
      <c r="L5549" s="12" t="inlineStr">
        <is>
          <t>1/C</t>
        </is>
      </c>
      <c r="M5549" s="12" t="inlineStr">
        <is>
          <t>2</t>
        </is>
      </c>
      <c r="N5549" s="12" t="n">
        <v>1</v>
      </c>
      <c r="O5549" s="12" t="n">
        <v>1</v>
      </c>
      <c r="P5549" s="12" t="n">
        <v>13800</v>
      </c>
      <c r="Q5549" s="12" t="n"/>
      <c r="R5549" s="12" t="n"/>
      <c r="S5549" s="12" t="inlineStr">
        <is>
          <t>Conduit</t>
        </is>
      </c>
      <c r="T5549" s="15" t="n">
        <v>15</v>
      </c>
      <c r="U5549" s="15" t="n">
        <v>5</v>
      </c>
      <c r="V5549" s="15">
        <f>ROUNDUP((T5549+U5549+2*'Read Me'!$B$13)*(1+'Read Me'!$B$12),-1)</f>
        <v/>
      </c>
      <c r="W5549" s="15">
        <f>V5549*N5549*O5549</f>
        <v/>
      </c>
      <c r="X5549" s="12">
        <f>IF(LEFT(I5549,2)="MV",2*N5549*IF(L5549="1/C",O5549,1),0)</f>
        <v/>
      </c>
      <c r="Y5549" s="12">
        <f>IF(OR(LEFT(K5549,4)="LVAX",LEFT(K5549,6)="MV15AX",LEFT(K5549,4)="CTAX",LEFT(K5549,2)="W|"),2*N5549*O5549,0)</f>
        <v/>
      </c>
      <c r="Z5549" s="12" t="inlineStr">
        <is>
          <t>NGR in the generator / terminal-box enclosure</t>
        </is>
      </c>
      <c r="AA5549" s="12">
        <f>N5549*O5549</f>
        <v/>
      </c>
    </row>
    <row r="5550">
      <c r="A5550" s="12" t="inlineStr">
        <is>
          <t>I-MV-0030</t>
        </is>
      </c>
      <c r="B5550" s="12" t="inlineStr">
        <is>
          <t>I</t>
        </is>
      </c>
      <c r="C5550" s="12" t="inlineStr">
        <is>
          <t>Modular / portable power</t>
        </is>
      </c>
      <c r="D5550" s="12" t="inlineStr">
        <is>
          <t>MTG-2 generator neutral to its high-resistance grounding resistor (in the package)</t>
        </is>
      </c>
      <c r="E5550" s="12" t="inlineStr">
        <is>
          <t>MTG-2</t>
        </is>
      </c>
      <c r="F5550" s="12" t="inlineStr">
        <is>
          <t xml:space="preserve">MTG-2: mid-size industrial gas-turbine generator package ~16 MW, 13.8 </t>
        </is>
      </c>
      <c r="G5550" s="12" t="inlineStr">
        <is>
          <t>MTG-2</t>
        </is>
      </c>
      <c r="H5550" s="12" t="inlineStr">
        <is>
          <t xml:space="preserve">MTG-2: mid-size industrial gas-turbine generator package ~16 MW, 13.8 </t>
        </is>
      </c>
      <c r="I5550" s="12" t="inlineStr">
        <is>
          <t>MV 15 kV</t>
        </is>
      </c>
      <c r="J5550" s="12" t="inlineStr">
        <is>
          <t>MV-105 15 kV 1/C Cu, EPR 133%, Cu tape shield, PVC jacket (triplexed)</t>
        </is>
      </c>
      <c r="K5550" s="12" t="inlineStr">
        <is>
          <t>MV15|1/C|2</t>
        </is>
      </c>
      <c r="L5550" s="12" t="inlineStr">
        <is>
          <t>1/C</t>
        </is>
      </c>
      <c r="M5550" s="12" t="inlineStr">
        <is>
          <t>2</t>
        </is>
      </c>
      <c r="N5550" s="12" t="n">
        <v>1</v>
      </c>
      <c r="O5550" s="12" t="n">
        <v>1</v>
      </c>
      <c r="P5550" s="12" t="n">
        <v>13800</v>
      </c>
      <c r="Q5550" s="12" t="n"/>
      <c r="R5550" s="12" t="n"/>
      <c r="S5550" s="12" t="inlineStr">
        <is>
          <t>Conduit</t>
        </is>
      </c>
      <c r="T5550" s="15" t="n">
        <v>15</v>
      </c>
      <c r="U5550" s="15" t="n">
        <v>5</v>
      </c>
      <c r="V5550" s="15">
        <f>ROUNDUP((T5550+U5550+2*'Read Me'!$B$13)*(1+'Read Me'!$B$12),-1)</f>
        <v/>
      </c>
      <c r="W5550" s="15">
        <f>V5550*N5550*O5550</f>
        <v/>
      </c>
      <c r="X5550" s="12">
        <f>IF(LEFT(I5550,2)="MV",2*N5550*IF(L5550="1/C",O5550,1),0)</f>
        <v/>
      </c>
      <c r="Y5550" s="12">
        <f>IF(OR(LEFT(K5550,4)="LVAX",LEFT(K5550,6)="MV15AX",LEFT(K5550,4)="CTAX",LEFT(K5550,2)="W|"),2*N5550*O5550,0)</f>
        <v/>
      </c>
      <c r="Z5550" s="12" t="inlineStr">
        <is>
          <t>NGR in the generator / terminal-box enclosure</t>
        </is>
      </c>
      <c r="AA5550" s="12">
        <f>N5550*O5550</f>
        <v/>
      </c>
    </row>
    <row r="5551">
      <c r="A5551" s="12" t="inlineStr">
        <is>
          <t>I-MV-0031</t>
        </is>
      </c>
      <c r="B5551" s="12" t="inlineStr">
        <is>
          <t>I</t>
        </is>
      </c>
      <c r="C5551" s="12" t="inlineStr">
        <is>
          <t>Modular / portable power</t>
        </is>
      </c>
      <c r="D5551" s="12" t="inlineStr">
        <is>
          <t>MTG-AUX 13.8 kV primary</t>
        </is>
      </c>
      <c r="E5551" s="12" t="inlineStr">
        <is>
          <t>MTG-SWG</t>
        </is>
      </c>
      <c r="F5551" s="12" t="inlineStr">
        <is>
          <t>MTG-SWG: 13.8 kV switchgear e-house (2 generator breakers, site feeder</t>
        </is>
      </c>
      <c r="G5551" s="12" t="inlineStr">
        <is>
          <t>MTG-AUX</t>
        </is>
      </c>
      <c r="H5551" s="12" t="inlineStr">
        <is>
          <t>MTG-AUX: 13.8 / 0.48 kV auxiliary transformer</t>
        </is>
      </c>
      <c r="I5551" s="12" t="inlineStr">
        <is>
          <t>MV 15 kV</t>
        </is>
      </c>
      <c r="J5551" s="12" t="inlineStr">
        <is>
          <t>MV-105 15 kV 1/C Cu, EPR 133%, Cu tape shield, PVC jacket (triplexed)</t>
        </is>
      </c>
      <c r="K5551" s="12" t="inlineStr">
        <is>
          <t>MV15|1/C|2</t>
        </is>
      </c>
      <c r="L5551" s="12" t="inlineStr">
        <is>
          <t>1/C</t>
        </is>
      </c>
      <c r="M5551" s="12" t="inlineStr">
        <is>
          <t>2</t>
        </is>
      </c>
      <c r="N5551" s="12" t="n">
        <v>1</v>
      </c>
      <c r="O5551" s="12" t="n">
        <v>3</v>
      </c>
      <c r="P5551" s="12" t="n">
        <v>13800</v>
      </c>
      <c r="Q5551" s="12" t="n">
        <v>750</v>
      </c>
      <c r="R5551" s="12" t="n">
        <v>31</v>
      </c>
      <c r="S5551" s="12" t="inlineStr">
        <is>
          <t>Duct bank</t>
        </is>
      </c>
      <c r="T5551" s="15" t="n">
        <v>34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c r="AA5551" s="12">
        <f>N5551*O5551</f>
        <v/>
      </c>
    </row>
    <row r="5552">
      <c r="A5552" s="12" t="inlineStr">
        <is>
          <t>I-MV-0032</t>
        </is>
      </c>
      <c r="B5552" s="12" t="inlineStr">
        <is>
          <t>I</t>
        </is>
      </c>
      <c r="C5552" s="12" t="inlineStr">
        <is>
          <t>Modular / portable power</t>
        </is>
      </c>
      <c r="D5552" s="12" t="inlineStr">
        <is>
          <t>MTG-SWG 13.8 kV to MTG-GSU</t>
        </is>
      </c>
      <c r="E5552" s="12" t="inlineStr">
        <is>
          <t>MTG-SWG</t>
        </is>
      </c>
      <c r="F5552" s="12" t="inlineStr">
        <is>
          <t>MTG-SWG: 13.8 kV switchgear e-house (2 generator breakers, site feeder</t>
        </is>
      </c>
      <c r="G5552" s="12" t="inlineStr">
        <is>
          <t>MTG-GSU</t>
        </is>
      </c>
      <c r="H5552" s="12" t="inlineStr">
        <is>
          <t>MTG-GSU: 13.8 / 34.5 kV step-up, ~40 MVA (mid-size turbines)</t>
        </is>
      </c>
      <c r="I5552" s="12" t="inlineStr">
        <is>
          <t>MV 15 kV</t>
        </is>
      </c>
      <c r="J5552" s="12" t="inlineStr">
        <is>
          <t>MV-105 15 kV 1/C Cu, EPR 133%, Cu tape shield, PVC jacket (triplexed)</t>
        </is>
      </c>
      <c r="K5552" s="12" t="inlineStr">
        <is>
          <t>MV15|1/C|1000</t>
        </is>
      </c>
      <c r="L5552" s="12" t="inlineStr">
        <is>
          <t>1/C</t>
        </is>
      </c>
      <c r="M5552" s="12" t="inlineStr">
        <is>
          <t>1000 kcmil</t>
        </is>
      </c>
      <c r="N5552" s="12" t="n">
        <v>3</v>
      </c>
      <c r="O5552" s="12" t="n">
        <v>3</v>
      </c>
      <c r="P5552" s="12" t="n">
        <v>13800</v>
      </c>
      <c r="Q5552" s="12" t="n">
        <v>32000</v>
      </c>
      <c r="R5552" s="12" t="n">
        <v>1488</v>
      </c>
      <c r="S5552" s="12" t="inlineStr">
        <is>
          <t>Duct bank</t>
        </is>
      </c>
      <c r="T5552" s="15" t="n">
        <v>12</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3 sets per phase</t>
        </is>
      </c>
      <c r="AA5552" s="12">
        <f>N5552*O5552</f>
        <v/>
      </c>
    </row>
    <row r="5553">
      <c r="A5553" s="12" t="inlineStr">
        <is>
          <t>I-MV-0033</t>
        </is>
      </c>
      <c r="B5553" s="12" t="inlineStr">
        <is>
          <t>I</t>
        </is>
      </c>
      <c r="C5553" s="12" t="inlineStr">
        <is>
          <t>Modular / portable power</t>
        </is>
      </c>
      <c r="D5553" s="12" t="inlineStr">
        <is>
          <t>MTG-1 13.8 kV generator leads to the switchgear e-house</t>
        </is>
      </c>
      <c r="E5553" s="12" t="inlineStr">
        <is>
          <t>MTG-1</t>
        </is>
      </c>
      <c r="F5553" s="12" t="inlineStr">
        <is>
          <t xml:space="preserve">MTG-1: mid-size industrial gas-turbine generator package ~16 MW, 13.8 </t>
        </is>
      </c>
      <c r="G5553" s="12" t="inlineStr">
        <is>
          <t>MTG-SWG</t>
        </is>
      </c>
      <c r="H5553" s="12" t="inlineStr">
        <is>
          <t>MTG-SWG: 13.8 kV switchgear e-house (2 generator breakers, site feeder</t>
        </is>
      </c>
      <c r="I5553" s="12" t="inlineStr">
        <is>
          <t>MV 15 kV</t>
        </is>
      </c>
      <c r="J5553" s="12" t="inlineStr">
        <is>
          <t>MV-105 15 kV 1/C Cu, EPR 133%, Cu tape shield, PVC jacket (triplexed)</t>
        </is>
      </c>
      <c r="K5553" s="12" t="inlineStr">
        <is>
          <t>MV15|1/C|750</t>
        </is>
      </c>
      <c r="L5553" s="12" t="inlineStr">
        <is>
          <t>1/C</t>
        </is>
      </c>
      <c r="M5553" s="12" t="inlineStr">
        <is>
          <t>750 kcmil</t>
        </is>
      </c>
      <c r="N5553" s="12" t="n">
        <v>2</v>
      </c>
      <c r="O5553" s="12" t="n">
        <v>3</v>
      </c>
      <c r="P5553" s="12" t="n">
        <v>13800</v>
      </c>
      <c r="Q5553" s="12" t="n">
        <v>16000</v>
      </c>
      <c r="R5553" s="12" t="n">
        <v>744</v>
      </c>
      <c r="S5553" s="12" t="inlineStr">
        <is>
          <t>Duct bank</t>
        </is>
      </c>
      <c r="T5553" s="15" t="n">
        <v>39</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2 sets per phase</t>
        </is>
      </c>
      <c r="AA5553" s="12">
        <f>N5553*O5553</f>
        <v/>
      </c>
    </row>
    <row r="5554">
      <c r="A5554" s="12" t="inlineStr">
        <is>
          <t>I-MV-0034</t>
        </is>
      </c>
      <c r="B5554" s="12" t="inlineStr">
        <is>
          <t>I</t>
        </is>
      </c>
      <c r="C5554" s="12" t="inlineStr">
        <is>
          <t>Modular / portable power</t>
        </is>
      </c>
      <c r="D5554" s="12" t="inlineStr">
        <is>
          <t>MTG-2 13.8 kV generator leads to the switchgear e-house</t>
        </is>
      </c>
      <c r="E5554" s="12" t="inlineStr">
        <is>
          <t>MTG-2</t>
        </is>
      </c>
      <c r="F5554" s="12" t="inlineStr">
        <is>
          <t xml:space="preserve">MTG-2: mid-size industrial gas-turbine generator package ~16 MW, 13.8 </t>
        </is>
      </c>
      <c r="G5554" s="12" t="inlineStr">
        <is>
          <t>MTG-SWG</t>
        </is>
      </c>
      <c r="H5554" s="12" t="inlineStr">
        <is>
          <t>MTG-SWG: 13.8 kV switchgear e-house (2 generator breakers, site feeder</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16000</v>
      </c>
      <c r="R5554" s="12" t="n">
        <v>744</v>
      </c>
      <c r="S5554" s="12" t="inlineStr">
        <is>
          <t>Duct bank</t>
        </is>
      </c>
      <c r="T5554" s="15" t="n">
        <v>9</v>
      </c>
      <c r="U5554" s="15" t="n">
        <v>32</v>
      </c>
      <c r="V5554" s="15">
        <f>ROUNDUP((T5554+U5554+2*'Read Me'!$B$13)*(1+'Read Me'!$B$12),-1)</f>
        <v/>
      </c>
      <c r="W5554" s="15">
        <f>V5554*N5554*O5554</f>
        <v/>
      </c>
      <c r="X5554" s="12">
        <f>IF(LEFT(I5554,2)="MV",2*N5554*IF(L5554="1/C",O5554,1),0)</f>
        <v/>
      </c>
      <c r="Y5554" s="12">
        <f>IF(OR(LEFT(K5554,4)="LVAX",LEFT(K5554,6)="MV15AX",LEFT(K5554,4)="CTAX",LEFT(K5554,2)="W|"),2*N5554*O5554,0)</f>
        <v/>
      </c>
      <c r="Z5554" s="12" t="inlineStr">
        <is>
          <t>2 sets per phase</t>
        </is>
      </c>
      <c r="AA5554" s="12">
        <f>N5554*O5554</f>
        <v/>
      </c>
    </row>
    <row r="5555">
      <c r="A5555" s="12" t="inlineStr">
        <is>
          <t>I-MV-0035</t>
        </is>
      </c>
      <c r="B5555" s="12" t="inlineStr">
        <is>
          <t>I</t>
        </is>
      </c>
      <c r="C5555" s="12" t="inlineStr">
        <is>
          <t>Modular / portable power</t>
        </is>
      </c>
      <c r="D5555" s="12" t="inlineStr">
        <is>
          <t>TM-1 (TM2500) generator leads to PAD-EH</t>
        </is>
      </c>
      <c r="E5555" s="12" t="inlineStr">
        <is>
          <t>TM-1</t>
        </is>
      </c>
      <c r="F5555" s="12" t="inlineStr">
        <is>
          <t>TM-1: trailer-mounted aeroderivative GT (TM2500 class, ~35 MW)</t>
        </is>
      </c>
      <c r="G5555" s="12" t="inlineStr">
        <is>
          <t>PAD-EH</t>
        </is>
      </c>
      <c r="H5555" s="12" t="inlineStr">
        <is>
          <t>PAD-EH 13.8 kV switchgear e-house</t>
        </is>
      </c>
      <c r="I5555" s="12" t="inlineStr">
        <is>
          <t>MV 15 kV</t>
        </is>
      </c>
      <c r="J5555" s="12" t="inlineStr">
        <is>
          <t>MV-105 15 kV 1/C Cu, EPR 133%, Cu tape shield, PVC jacket (triplexed)</t>
        </is>
      </c>
      <c r="K5555" s="12" t="inlineStr">
        <is>
          <t>MV15|1/C|1000</t>
        </is>
      </c>
      <c r="L5555" s="12" t="inlineStr">
        <is>
          <t>1/C</t>
        </is>
      </c>
      <c r="M5555" s="12" t="inlineStr">
        <is>
          <t>1000 kcmil</t>
        </is>
      </c>
      <c r="N5555" s="12" t="n">
        <v>3</v>
      </c>
      <c r="O5555" s="12" t="n">
        <v>3</v>
      </c>
      <c r="P5555" s="12" t="n">
        <v>13800</v>
      </c>
      <c r="Q5555" s="12" t="n">
        <v>35000</v>
      </c>
      <c r="R5555" s="12" t="n">
        <v>1464</v>
      </c>
      <c r="S5555" s="12" t="inlineStr">
        <is>
          <t>Duct bank</t>
        </is>
      </c>
      <c r="T5555" s="15" t="n">
        <v>444</v>
      </c>
      <c r="U5555" s="15" t="n">
        <v>32</v>
      </c>
      <c r="V5555" s="15">
        <f>ROUNDUP((T5555+U5555+2*'Read Me'!$B$13)*(1+'Read Me'!$B$12),-1)</f>
        <v/>
      </c>
      <c r="W5555" s="15">
        <f>V5555*N5555*O5555</f>
        <v/>
      </c>
      <c r="X5555" s="12">
        <f>IF(LEFT(I5555,2)="MV",2*N5555*IF(L5555="1/C",O5555,1),0)</f>
        <v/>
      </c>
      <c r="Y5555" s="12">
        <f>IF(OR(LEFT(K5555,4)="LVAX",LEFT(K5555,6)="MV15AX",LEFT(K5555,4)="CTAX",LEFT(K5555,2)="W|"),2*N5555*O5555,0)</f>
        <v/>
      </c>
      <c r="Z5555" s="12" t="inlineStr">
        <is>
          <t>3 per phase for 125 % (nine cables in the model)</t>
        </is>
      </c>
      <c r="AA5555" s="12">
        <f>N5555*O5555</f>
        <v/>
      </c>
    </row>
    <row r="5556">
      <c r="A5556" s="12" t="inlineStr">
        <is>
          <t>I-MV-0036</t>
        </is>
      </c>
      <c r="B5556" s="12" t="inlineStr">
        <is>
          <t>I</t>
        </is>
      </c>
      <c r="C5556" s="12" t="inlineStr">
        <is>
          <t>Modular / portable power</t>
        </is>
      </c>
      <c r="D5556" s="12" t="inlineStr">
        <is>
          <t>CHP-SWG 13.8 kV site feeder to PAD-EH</t>
        </is>
      </c>
      <c r="E5556" s="12" t="inlineStr">
        <is>
          <t>CHP-SWG</t>
        </is>
      </c>
      <c r="F5556" s="12" t="inlineStr">
        <is>
          <t>CHP-SWG: 13.8 kV switchgear container (4 engine breakers, site feeder)</t>
        </is>
      </c>
      <c r="G5556" s="12" t="inlineStr">
        <is>
          <t>PAD-EH</t>
        </is>
      </c>
      <c r="H5556" s="12" t="inlineStr">
        <is>
          <t>PAD-EH 13.8 kV switchgear e-house</t>
        </is>
      </c>
      <c r="I5556" s="12" t="inlineStr">
        <is>
          <t>MV 15 kV</t>
        </is>
      </c>
      <c r="J5556" s="12" t="inlineStr">
        <is>
          <t>MV-105 15 kV 1/C Cu, EPR 133%, Cu tape shield, PVC jacket (triplexed)</t>
        </is>
      </c>
      <c r="K5556" s="12" t="inlineStr">
        <is>
          <t>MV15|1/C|1000</t>
        </is>
      </c>
      <c r="L5556" s="12" t="inlineStr">
        <is>
          <t>1/C</t>
        </is>
      </c>
      <c r="M5556" s="12" t="inlineStr">
        <is>
          <t>1000 kcmil</t>
        </is>
      </c>
      <c r="N5556" s="12" t="n">
        <v>1</v>
      </c>
      <c r="O5556" s="12" t="n">
        <v>3</v>
      </c>
      <c r="P5556" s="12" t="n">
        <v>13800</v>
      </c>
      <c r="Q5556" s="12" t="n">
        <v>10000</v>
      </c>
      <c r="R5556" s="12" t="n">
        <v>465</v>
      </c>
      <c r="S5556" s="12" t="inlineStr">
        <is>
          <t>Duct bank</t>
        </is>
      </c>
      <c r="T5556" s="15" t="n">
        <v>214</v>
      </c>
      <c r="U5556" s="15" t="n">
        <v>32</v>
      </c>
      <c r="V5556" s="15">
        <f>ROUNDUP((T5556+U5556+2*'Read Me'!$B$13)*(1+'Read Me'!$B$12),-1)</f>
        <v/>
      </c>
      <c r="W5556" s="15">
        <f>V5556*N5556*O5556</f>
        <v/>
      </c>
      <c r="X5556" s="12">
        <f>IF(LEFT(I5556,2)="MV",2*N5556*IF(L5556="1/C",O5556,1),0)</f>
        <v/>
      </c>
      <c r="Y5556" s="12">
        <f>IF(OR(LEFT(K5556,4)="LVAX",LEFT(K5556,6)="MV15AX",LEFT(K5556,4)="CTAX",LEFT(K5556,2)="W|"),2*N5556*O5556,0)</f>
        <v/>
      </c>
      <c r="Z5556" s="12" t="inlineStr">
        <is>
          <t>1 set per phase</t>
        </is>
      </c>
      <c r="AA5556" s="12">
        <f>N5556*O5556</f>
        <v/>
      </c>
    </row>
    <row r="5557">
      <c r="A5557" s="12" t="inlineStr">
        <is>
          <t>I-MV-0037</t>
        </is>
      </c>
      <c r="B5557" s="12" t="inlineStr">
        <is>
          <t>I</t>
        </is>
      </c>
      <c r="C5557" s="12" t="inlineStr">
        <is>
          <t>Modular / portable power</t>
        </is>
      </c>
      <c r="D5557" s="12" t="inlineStr">
        <is>
          <t>MT-TX 13.8 kV to PAD-EH</t>
        </is>
      </c>
      <c r="E5557" s="12" t="inlineStr">
        <is>
          <t>MT-TX</t>
        </is>
      </c>
      <c r="F5557" s="12" t="inlineStr">
        <is>
          <t>MT-TX: 480 V : 13.8 kV, ~3.75 MVA pad-mount (microturbine site)</t>
        </is>
      </c>
      <c r="G5557" s="12" t="inlineStr">
        <is>
          <t>PAD-EH</t>
        </is>
      </c>
      <c r="H5557" s="12" t="inlineStr">
        <is>
          <t>PAD-EH 13.8 kV switchgear e-house</t>
        </is>
      </c>
      <c r="I5557" s="12" t="inlineStr">
        <is>
          <t>MV 15 kV</t>
        </is>
      </c>
      <c r="J5557" s="12" t="inlineStr">
        <is>
          <t>MV-105 15 kV 1/C Cu, EPR 133%, Cu tape shield, PVC jacket (triplexed)</t>
        </is>
      </c>
      <c r="K5557" s="12" t="inlineStr">
        <is>
          <t>MV15|1/C|1/0</t>
        </is>
      </c>
      <c r="L5557" s="12" t="inlineStr">
        <is>
          <t>1/C</t>
        </is>
      </c>
      <c r="M5557" s="12" t="inlineStr">
        <is>
          <t>1/0</t>
        </is>
      </c>
      <c r="N5557" s="12" t="n">
        <v>1</v>
      </c>
      <c r="O5557" s="12" t="n">
        <v>3</v>
      </c>
      <c r="P5557" s="12" t="n">
        <v>13800</v>
      </c>
      <c r="Q5557" s="12" t="n">
        <v>3000</v>
      </c>
      <c r="R5557" s="12" t="n">
        <v>139</v>
      </c>
      <c r="S5557" s="12" t="inlineStr">
        <is>
          <t>Duct bank</t>
        </is>
      </c>
      <c r="T5557" s="15" t="n">
        <v>228</v>
      </c>
      <c r="U5557" s="15" t="n">
        <v>32</v>
      </c>
      <c r="V5557" s="15">
        <f>ROUNDUP((T5557+U5557+2*'Read Me'!$B$13)*(1+'Read Me'!$B$12),-1)</f>
        <v/>
      </c>
      <c r="W5557" s="15">
        <f>V5557*N5557*O5557</f>
        <v/>
      </c>
      <c r="X5557" s="12">
        <f>IF(LEFT(I5557,2)="MV",2*N5557*IF(L5557="1/C",O5557,1),0)</f>
        <v/>
      </c>
      <c r="Y5557" s="12">
        <f>IF(OR(LEFT(K5557,4)="LVAX",LEFT(K5557,6)="MV15AX",LEFT(K5557,4)="CTAX",LEFT(K5557,2)="W|"),2*N5557*O5557,0)</f>
        <v/>
      </c>
      <c r="Z5557" s="12" t="inlineStr">
        <is>
          <t>1 set per phase</t>
        </is>
      </c>
      <c r="AA5557" s="12">
        <f>N5557*O5557</f>
        <v/>
      </c>
    </row>
    <row r="5558">
      <c r="A5558" s="12" t="inlineStr">
        <is>
          <t>I-MV-0038</t>
        </is>
      </c>
      <c r="B5558" s="12" t="inlineStr">
        <is>
          <t>I</t>
        </is>
      </c>
      <c r="C5558" s="12" t="inlineStr">
        <is>
          <t>Modular / portable power</t>
        </is>
      </c>
      <c r="D5558" s="12" t="inlineStr">
        <is>
          <t>PAD-EH 13.8 kV to PAD-GSU</t>
        </is>
      </c>
      <c r="E5558" s="12" t="inlineStr">
        <is>
          <t>PAD-EH</t>
        </is>
      </c>
      <c r="F5558" s="12" t="inlineStr">
        <is>
          <t>PAD-EH 13.8 kV switchgear e-house</t>
        </is>
      </c>
      <c r="G5558" s="12" t="inlineStr">
        <is>
          <t>PAD-GSU</t>
        </is>
      </c>
      <c r="H5558" s="12" t="inlineStr">
        <is>
          <t>PAD-GSU: 13.8 / 34.5 kV step-up, ~60 MVA (PAD-EH: TM-1, CHP site, MT-T</t>
        </is>
      </c>
      <c r="I5558" s="12" t="inlineStr">
        <is>
          <t>MV 15 kV</t>
        </is>
      </c>
      <c r="J5558" s="12" t="inlineStr">
        <is>
          <t>MV-105 15 kV 1/C Cu, EPR 133%, Cu tape shield, PVC jacket (triplexed)</t>
        </is>
      </c>
      <c r="K5558" s="12" t="inlineStr">
        <is>
          <t>MV15|1/C|1000</t>
        </is>
      </c>
      <c r="L5558" s="12" t="inlineStr">
        <is>
          <t>1/C</t>
        </is>
      </c>
      <c r="M5558" s="12" t="inlineStr">
        <is>
          <t>1000 kcmil</t>
        </is>
      </c>
      <c r="N5558" s="12" t="n">
        <v>5</v>
      </c>
      <c r="O5558" s="12" t="n">
        <v>3</v>
      </c>
      <c r="P5558" s="12" t="n">
        <v>13800</v>
      </c>
      <c r="Q5558" s="12" t="n">
        <v>52000</v>
      </c>
      <c r="R5558" s="12" t="n">
        <v>2417</v>
      </c>
      <c r="S5558" s="12" t="inlineStr">
        <is>
          <t>Duct bank</t>
        </is>
      </c>
      <c r="T5558" s="15" t="n">
        <v>44</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is>
          <t>5 sets per phase</t>
        </is>
      </c>
      <c r="AA5558" s="12">
        <f>N5558*O5558</f>
        <v/>
      </c>
    </row>
    <row r="5559">
      <c r="A5559" s="12" t="inlineStr">
        <is>
          <t>I-MV-0039</t>
        </is>
      </c>
      <c r="B5559" s="12" t="inlineStr">
        <is>
          <t>I</t>
        </is>
      </c>
      <c r="C5559" s="12" t="inlineStr">
        <is>
          <t>Modular / portable power</t>
        </is>
      </c>
      <c r="D5559" s="12" t="inlineStr">
        <is>
          <t>RICE-1 generator leads to the PCM</t>
        </is>
      </c>
      <c r="E5559" s="12" t="inlineStr">
        <is>
          <t>RICE-1</t>
        </is>
      </c>
      <c r="F5559" s="12" t="inlineStr">
        <is>
          <t>RICE engine-generator 1</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542</v>
      </c>
      <c r="U5559" s="15" t="n">
        <v>111</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I-MV-0040</t>
        </is>
      </c>
      <c r="B5560" s="12" t="inlineStr">
        <is>
          <t>I</t>
        </is>
      </c>
      <c r="C5560" s="12" t="inlineStr">
        <is>
          <t>Modular / portable power</t>
        </is>
      </c>
      <c r="D5560" s="12" t="inlineStr">
        <is>
          <t>RICE-2 generator leads to the PCM</t>
        </is>
      </c>
      <c r="E5560" s="12" t="inlineStr">
        <is>
          <t>RICE-2</t>
        </is>
      </c>
      <c r="F5560" s="12" t="inlineStr">
        <is>
          <t>RICE engine-generator 2</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516</v>
      </c>
      <c r="U5560" s="15" t="n">
        <v>109</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I-MV-0041</t>
        </is>
      </c>
      <c r="B5561" s="12" t="inlineStr">
        <is>
          <t>I</t>
        </is>
      </c>
      <c r="C5561" s="12" t="inlineStr">
        <is>
          <t>Modular / portable power</t>
        </is>
      </c>
      <c r="D5561" s="12" t="inlineStr">
        <is>
          <t>RICE-3 generator leads to the PCM</t>
        </is>
      </c>
      <c r="E5561" s="12" t="inlineStr">
        <is>
          <t>RICE-3</t>
        </is>
      </c>
      <c r="F5561" s="12" t="inlineStr">
        <is>
          <t>RICE engine-generator 3</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516</v>
      </c>
      <c r="U5561" s="15" t="n">
        <v>81</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I-MV-0042</t>
        </is>
      </c>
      <c r="B5562" s="12" t="inlineStr">
        <is>
          <t>I</t>
        </is>
      </c>
      <c r="C5562" s="12" t="inlineStr">
        <is>
          <t>Modular / portable power</t>
        </is>
      </c>
      <c r="D5562" s="12" t="inlineStr">
        <is>
          <t>RICE-4 generator leads to the PCM</t>
        </is>
      </c>
      <c r="E5562" s="12" t="inlineStr">
        <is>
          <t>RICE-4</t>
        </is>
      </c>
      <c r="F5562" s="12" t="inlineStr">
        <is>
          <t>RICE engine-generator 4</t>
        </is>
      </c>
      <c r="G5562" s="12" t="inlineStr"/>
      <c r="H5562" s="12" t="inlineStr">
        <is>
          <t>PCM: power control module</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2</v>
      </c>
      <c r="O5562" s="12" t="n">
        <v>3</v>
      </c>
      <c r="P5562" s="12" t="n">
        <v>13800</v>
      </c>
      <c r="Q5562" s="12" t="n">
        <v>18400</v>
      </c>
      <c r="R5562" s="12" t="n">
        <v>855</v>
      </c>
      <c r="S5562" s="12" t="inlineStr">
        <is>
          <t>Duct bank</t>
        </is>
      </c>
      <c r="T5562" s="15" t="n">
        <v>516</v>
      </c>
      <c r="U5562" s="15" t="n">
        <v>53</v>
      </c>
      <c r="V5562" s="15">
        <f>ROUNDUP((T5562+U5562+2*'Read Me'!$B$13)*(1+'Read Me'!$B$12),-1)</f>
        <v/>
      </c>
      <c r="W5562" s="15">
        <f>V5562*N5562*O5562</f>
        <v/>
      </c>
      <c r="X5562" s="12">
        <f>IF(LEFT(I5562,2)="MV",2*N5562*IF(L5562="1/C",O5562,1),0)</f>
        <v/>
      </c>
      <c r="Y5562" s="12">
        <f>IF(OR(LEFT(K5562,4)="LVAX",LEFT(K5562,6)="MV15AX",LEFT(K5562,4)="CTAX",LEFT(K5562,2)="W|"),2*N5562*O5562,0)</f>
        <v/>
      </c>
      <c r="Z5562" s="12" t="inlineStr">
        <is>
          <t>18V50 class ~18 MW (typ.), 0.9 pf</t>
        </is>
      </c>
      <c r="AA5562" s="12">
        <f>N5562*O5562</f>
        <v/>
      </c>
    </row>
    <row r="5563">
      <c r="A5563" s="12" t="inlineStr">
        <is>
          <t>I-MV-0043</t>
        </is>
      </c>
      <c r="B5563" s="12" t="inlineStr">
        <is>
          <t>I</t>
        </is>
      </c>
      <c r="C5563" s="12" t="inlineStr">
        <is>
          <t>Modular / portable power</t>
        </is>
      </c>
      <c r="D5563" s="12" t="inlineStr">
        <is>
          <t>RICE-5 generator leads to the PCM</t>
        </is>
      </c>
      <c r="E5563" s="12" t="inlineStr">
        <is>
          <t>RICE-5</t>
        </is>
      </c>
      <c r="F5563" s="12" t="inlineStr">
        <is>
          <t>RICE engine-generator 5</t>
        </is>
      </c>
      <c r="G5563" s="12" t="inlineStr"/>
      <c r="H5563" s="12" t="inlineStr">
        <is>
          <t>PCM: power control module</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2</v>
      </c>
      <c r="O5563" s="12" t="n">
        <v>3</v>
      </c>
      <c r="P5563" s="12" t="n">
        <v>13800</v>
      </c>
      <c r="Q5563" s="12" t="n">
        <v>18400</v>
      </c>
      <c r="R5563" s="12" t="n">
        <v>855</v>
      </c>
      <c r="S5563" s="12" t="inlineStr">
        <is>
          <t>Duct bank</t>
        </is>
      </c>
      <c r="T5563" s="15" t="n">
        <v>188</v>
      </c>
      <c r="U5563" s="15" t="n">
        <v>50</v>
      </c>
      <c r="V5563" s="15">
        <f>ROUNDUP((T5563+U5563+2*'Read Me'!$B$13)*(1+'Read Me'!$B$12),-1)</f>
        <v/>
      </c>
      <c r="W5563" s="15">
        <f>V5563*N5563*O5563</f>
        <v/>
      </c>
      <c r="X5563" s="12">
        <f>IF(LEFT(I5563,2)="MV",2*N5563*IF(L5563="1/C",O5563,1),0)</f>
        <v/>
      </c>
      <c r="Y5563" s="12">
        <f>IF(OR(LEFT(K5563,4)="LVAX",LEFT(K5563,6)="MV15AX",LEFT(K5563,4)="CTAX",LEFT(K5563,2)="W|"),2*N5563*O5563,0)</f>
        <v/>
      </c>
      <c r="Z5563" s="12" t="inlineStr">
        <is>
          <t>18V50 class ~18 MW (typ.), 0.9 pf</t>
        </is>
      </c>
      <c r="AA5563" s="12">
        <f>N5563*O5563</f>
        <v/>
      </c>
    </row>
    <row r="5564">
      <c r="A5564" s="12" t="inlineStr">
        <is>
          <t>I-MV-0044</t>
        </is>
      </c>
      <c r="B5564" s="12" t="inlineStr">
        <is>
          <t>I</t>
        </is>
      </c>
      <c r="C5564" s="12" t="inlineStr">
        <is>
          <t>Modular / portable power</t>
        </is>
      </c>
      <c r="D5564" s="12" t="inlineStr">
        <is>
          <t>RICE-6 generator leads to the PCM</t>
        </is>
      </c>
      <c r="E5564" s="12" t="inlineStr">
        <is>
          <t>RICE-6</t>
        </is>
      </c>
      <c r="F5564" s="12" t="inlineStr">
        <is>
          <t>RICE engine-generator 6</t>
        </is>
      </c>
      <c r="G5564" s="12" t="inlineStr"/>
      <c r="H5564" s="12" t="inlineStr">
        <is>
          <t>PCM: power control module</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2</v>
      </c>
      <c r="O5564" s="12" t="n">
        <v>3</v>
      </c>
      <c r="P5564" s="12" t="n">
        <v>13800</v>
      </c>
      <c r="Q5564" s="12" t="n">
        <v>18400</v>
      </c>
      <c r="R5564" s="12" t="n">
        <v>855</v>
      </c>
      <c r="S5564" s="12" t="inlineStr">
        <is>
          <t>Duct bank</t>
        </is>
      </c>
      <c r="T5564" s="15" t="n">
        <v>132</v>
      </c>
      <c r="U5564" s="15" t="n">
        <v>78</v>
      </c>
      <c r="V5564" s="15">
        <f>ROUNDUP((T5564+U5564+2*'Read Me'!$B$13)*(1+'Read Me'!$B$12),-1)</f>
        <v/>
      </c>
      <c r="W5564" s="15">
        <f>V5564*N5564*O5564</f>
        <v/>
      </c>
      <c r="X5564" s="12">
        <f>IF(LEFT(I5564,2)="MV",2*N5564*IF(L5564="1/C",O5564,1),0)</f>
        <v/>
      </c>
      <c r="Y5564" s="12">
        <f>IF(OR(LEFT(K5564,4)="LVAX",LEFT(K5564,6)="MV15AX",LEFT(K5564,4)="CTAX",LEFT(K5564,2)="W|"),2*N5564*O5564,0)</f>
        <v/>
      </c>
      <c r="Z5564" s="12" t="inlineStr">
        <is>
          <t>18V50 class ~18 MW (typ.), 0.9 pf</t>
        </is>
      </c>
      <c r="AA5564" s="12">
        <f>N5564*O5564</f>
        <v/>
      </c>
    </row>
    <row r="5565">
      <c r="A5565" s="12" t="inlineStr">
        <is>
          <t>I-MV-0045</t>
        </is>
      </c>
      <c r="B5565" s="12" t="inlineStr">
        <is>
          <t>I</t>
        </is>
      </c>
      <c r="C5565" s="12" t="inlineStr">
        <is>
          <t>Modular / portable power</t>
        </is>
      </c>
      <c r="D5565" s="12" t="inlineStr">
        <is>
          <t>RICE-7 generator leads to the PCM</t>
        </is>
      </c>
      <c r="E5565" s="12" t="inlineStr">
        <is>
          <t>RICE-7</t>
        </is>
      </c>
      <c r="F5565" s="12" t="inlineStr">
        <is>
          <t>RICE engine-generator 7</t>
        </is>
      </c>
      <c r="G5565" s="12" t="inlineStr"/>
      <c r="H5565" s="12" t="inlineStr">
        <is>
          <t>PCM: power control module</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2</v>
      </c>
      <c r="O5565" s="12" t="n">
        <v>3</v>
      </c>
      <c r="P5565" s="12" t="n">
        <v>13800</v>
      </c>
      <c r="Q5565" s="12" t="n">
        <v>18400</v>
      </c>
      <c r="R5565" s="12" t="n">
        <v>855</v>
      </c>
      <c r="S5565" s="12" t="inlineStr">
        <is>
          <t>Duct bank</t>
        </is>
      </c>
      <c r="T5565" s="15" t="n">
        <v>76</v>
      </c>
      <c r="U5565" s="15" t="n">
        <v>106</v>
      </c>
      <c r="V5565" s="15">
        <f>ROUNDUP((T5565+U5565+2*'Read Me'!$B$13)*(1+'Read Me'!$B$12),-1)</f>
        <v/>
      </c>
      <c r="W5565" s="15">
        <f>V5565*N5565*O5565</f>
        <v/>
      </c>
      <c r="X5565" s="12">
        <f>IF(LEFT(I5565,2)="MV",2*N5565*IF(L5565="1/C",O5565,1),0)</f>
        <v/>
      </c>
      <c r="Y5565" s="12">
        <f>IF(OR(LEFT(K5565,4)="LVAX",LEFT(K5565,6)="MV15AX",LEFT(K5565,4)="CTAX",LEFT(K5565,2)="W|"),2*N5565*O5565,0)</f>
        <v/>
      </c>
      <c r="Z5565" s="12" t="inlineStr">
        <is>
          <t>18V50 class ~18 MW (typ.), 0.9 pf</t>
        </is>
      </c>
      <c r="AA5565" s="12">
        <f>N5565*O5565</f>
        <v/>
      </c>
    </row>
    <row r="5566">
      <c r="A5566" s="12" t="inlineStr">
        <is>
          <t>I-MV-0046</t>
        </is>
      </c>
      <c r="B5566" s="12" t="inlineStr">
        <is>
          <t>I</t>
        </is>
      </c>
      <c r="C5566" s="12" t="inlineStr">
        <is>
          <t>Modular / portable power</t>
        </is>
      </c>
      <c r="D5566" s="12" t="inlineStr">
        <is>
          <t>RICE-8 generator leads to the PCM</t>
        </is>
      </c>
      <c r="E5566" s="12" t="inlineStr">
        <is>
          <t>RICE-8</t>
        </is>
      </c>
      <c r="F5566" s="12" t="inlineStr">
        <is>
          <t>RICE engine-generator 8</t>
        </is>
      </c>
      <c r="G5566" s="12" t="inlineStr"/>
      <c r="H5566" s="12" t="inlineStr">
        <is>
          <t>PCM: power control module</t>
        </is>
      </c>
      <c r="I5566" s="12" t="inlineStr">
        <is>
          <t>MV 15 kV</t>
        </is>
      </c>
      <c r="J5566" s="12" t="inlineStr">
        <is>
          <t>MV-105 15 kV 1/C Cu, EPR 133%, Cu tape shield, PVC jacket (triplexed)</t>
        </is>
      </c>
      <c r="K5566" s="12" t="inlineStr">
        <is>
          <t>MV15|1/C|750</t>
        </is>
      </c>
      <c r="L5566" s="12" t="inlineStr">
        <is>
          <t>1/C</t>
        </is>
      </c>
      <c r="M5566" s="12" t="inlineStr">
        <is>
          <t>750 kcmil</t>
        </is>
      </c>
      <c r="N5566" s="12" t="n">
        <v>2</v>
      </c>
      <c r="O5566" s="12" t="n">
        <v>3</v>
      </c>
      <c r="P5566" s="12" t="n">
        <v>13800</v>
      </c>
      <c r="Q5566" s="12" t="n">
        <v>18400</v>
      </c>
      <c r="R5566" s="12" t="n">
        <v>855</v>
      </c>
      <c r="S5566" s="12" t="inlineStr">
        <is>
          <t>Duct bank</t>
        </is>
      </c>
      <c r="T5566" s="15" t="n">
        <v>57</v>
      </c>
      <c r="U5566" s="15" t="n">
        <v>97</v>
      </c>
      <c r="V5566" s="15">
        <f>ROUNDUP((T5566+U5566+2*'Read Me'!$B$13)*(1+'Read Me'!$B$12),-1)</f>
        <v/>
      </c>
      <c r="W5566" s="15">
        <f>V5566*N5566*O5566</f>
        <v/>
      </c>
      <c r="X5566" s="12">
        <f>IF(LEFT(I5566,2)="MV",2*N5566*IF(L5566="1/C",O5566,1),0)</f>
        <v/>
      </c>
      <c r="Y5566" s="12">
        <f>IF(OR(LEFT(K5566,4)="LVAX",LEFT(K5566,6)="MV15AX",LEFT(K5566,4)="CTAX",LEFT(K5566,2)="W|"),2*N5566*O5566,0)</f>
        <v/>
      </c>
      <c r="Z5566" s="12" t="inlineStr">
        <is>
          <t>18V50 class ~18 MW (typ.), 0.9 pf</t>
        </is>
      </c>
      <c r="AA5566" s="12">
        <f>N5566*O5566</f>
        <v/>
      </c>
    </row>
    <row r="5567">
      <c r="A5567" s="12" t="inlineStr">
        <is>
          <t>I-MV-0047</t>
        </is>
      </c>
      <c r="B5567" s="12" t="inlineStr">
        <is>
          <t>I</t>
        </is>
      </c>
      <c r="C5567" s="12" t="inlineStr">
        <is>
          <t>Modular / portable power</t>
        </is>
      </c>
      <c r="D5567" s="12" t="inlineStr">
        <is>
          <t>PCM section A (RICE 1-2) to RICE-GSU-A</t>
        </is>
      </c>
      <c r="E5567" s="12" t="inlineStr"/>
      <c r="F5567" s="12" t="inlineStr">
        <is>
          <t>PCM: power control module</t>
        </is>
      </c>
      <c r="G5567" s="12" t="inlineStr">
        <is>
          <t>RICE-GSU-A</t>
        </is>
      </c>
      <c r="H5567" s="12" t="inlineStr">
        <is>
          <t>RICE-GSU-A: 13.8 / 34.5 kV group step-up, ~45 MVA (RICE 1-2)</t>
        </is>
      </c>
      <c r="I5567" s="12" t="inlineStr">
        <is>
          <t>MV 15 kV</t>
        </is>
      </c>
      <c r="J5567" s="12" t="inlineStr">
        <is>
          <t>MV-105 15 kV 1/C Cu, EPR 133%, Cu tape shield, PVC jacket (triplexed)</t>
        </is>
      </c>
      <c r="K5567" s="12" t="inlineStr">
        <is>
          <t>MV15|1/C|750</t>
        </is>
      </c>
      <c r="L5567" s="12" t="inlineStr">
        <is>
          <t>1/C</t>
        </is>
      </c>
      <c r="M5567" s="12" t="inlineStr">
        <is>
          <t>750 kcmil</t>
        </is>
      </c>
      <c r="N5567" s="12" t="n">
        <v>4</v>
      </c>
      <c r="O5567" s="12" t="n">
        <v>3</v>
      </c>
      <c r="P5567" s="12" t="n">
        <v>13800</v>
      </c>
      <c r="Q5567" s="12" t="n">
        <v>36800</v>
      </c>
      <c r="R5567" s="12" t="n">
        <v>1711</v>
      </c>
      <c r="S5567" s="12" t="inlineStr">
        <is>
          <t>Duct bank</t>
        </is>
      </c>
      <c r="T5567" s="15" t="n">
        <v>78</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is>
          <t>4 sets per phase</t>
        </is>
      </c>
      <c r="AA5567" s="12">
        <f>N5567*O5567</f>
        <v/>
      </c>
    </row>
    <row r="5568">
      <c r="A5568" s="12" t="inlineStr">
        <is>
          <t>I-MV-0048</t>
        </is>
      </c>
      <c r="B5568" s="12" t="inlineStr">
        <is>
          <t>I</t>
        </is>
      </c>
      <c r="C5568" s="12" t="inlineStr">
        <is>
          <t>Modular / portable power</t>
        </is>
      </c>
      <c r="D5568" s="12" t="inlineStr">
        <is>
          <t>PCM section B (RICE 3-4) to RICE-GSU-B</t>
        </is>
      </c>
      <c r="E5568" s="12" t="inlineStr"/>
      <c r="F5568" s="12" t="inlineStr">
        <is>
          <t>PCM: power control module</t>
        </is>
      </c>
      <c r="G5568" s="12" t="inlineStr">
        <is>
          <t>RICE-GSU-B</t>
        </is>
      </c>
      <c r="H5568" s="12" t="inlineStr">
        <is>
          <t>RICE-GSU-B: 13.8 / 34.5 kV group step-up, ~45 MVA (RICE 3-4)</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4</v>
      </c>
      <c r="O5568" s="12" t="n">
        <v>3</v>
      </c>
      <c r="P5568" s="12" t="n">
        <v>13800</v>
      </c>
      <c r="Q5568" s="12" t="n">
        <v>36800</v>
      </c>
      <c r="R5568" s="12" t="n">
        <v>1711</v>
      </c>
      <c r="S5568" s="12" t="inlineStr">
        <is>
          <t>Duct bank</t>
        </is>
      </c>
      <c r="T5568" s="15" t="n">
        <v>105</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4 sets per phase</t>
        </is>
      </c>
      <c r="AA5568" s="12">
        <f>N5568*O5568</f>
        <v/>
      </c>
    </row>
    <row r="5569">
      <c r="A5569" s="12" t="inlineStr">
        <is>
          <t>I-MV-0049</t>
        </is>
      </c>
      <c r="B5569" s="12" t="inlineStr">
        <is>
          <t>I</t>
        </is>
      </c>
      <c r="C5569" s="12" t="inlineStr">
        <is>
          <t>Modular / portable power</t>
        </is>
      </c>
      <c r="D5569" s="12" t="inlineStr">
        <is>
          <t>PCM section C (RICE 5-6) to RICE-GSU-C</t>
        </is>
      </c>
      <c r="E5569" s="12" t="inlineStr"/>
      <c r="F5569" s="12" t="inlineStr">
        <is>
          <t>PCM: power control module</t>
        </is>
      </c>
      <c r="G5569" s="12" t="inlineStr">
        <is>
          <t>RICE-GSU-C</t>
        </is>
      </c>
      <c r="H5569" s="12" t="inlineStr">
        <is>
          <t>RICE-GSU-C: 13.8 / 34.5 kV group step-up, ~45 MVA (RICE 5-6)</t>
        </is>
      </c>
      <c r="I5569" s="12" t="inlineStr">
        <is>
          <t>MV 15 kV</t>
        </is>
      </c>
      <c r="J5569" s="12" t="inlineStr">
        <is>
          <t>MV-105 15 kV 1/C Cu, EPR 133%, Cu tape shield, PVC jacket (triplexed)</t>
        </is>
      </c>
      <c r="K5569" s="12" t="inlineStr">
        <is>
          <t>MV15|1/C|750</t>
        </is>
      </c>
      <c r="L5569" s="12" t="inlineStr">
        <is>
          <t>1/C</t>
        </is>
      </c>
      <c r="M5569" s="12" t="inlineStr">
        <is>
          <t>750 kcmil</t>
        </is>
      </c>
      <c r="N5569" s="12" t="n">
        <v>4</v>
      </c>
      <c r="O5569" s="12" t="n">
        <v>3</v>
      </c>
      <c r="P5569" s="12" t="n">
        <v>13800</v>
      </c>
      <c r="Q5569" s="12" t="n">
        <v>36800</v>
      </c>
      <c r="R5569" s="12" t="n">
        <v>1711</v>
      </c>
      <c r="S5569" s="12" t="inlineStr">
        <is>
          <t>Duct bank</t>
        </is>
      </c>
      <c r="T5569" s="15" t="n">
        <v>132</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4 sets per phase</t>
        </is>
      </c>
      <c r="AA5569" s="12">
        <f>N5569*O5569</f>
        <v/>
      </c>
    </row>
    <row r="5570">
      <c r="A5570" s="12" t="inlineStr">
        <is>
          <t>I-MV-0050</t>
        </is>
      </c>
      <c r="B5570" s="12" t="inlineStr">
        <is>
          <t>I</t>
        </is>
      </c>
      <c r="C5570" s="12" t="inlineStr">
        <is>
          <t>Modular / portable power</t>
        </is>
      </c>
      <c r="D5570" s="12" t="inlineStr">
        <is>
          <t>PCM section D (RICE 7-8) to RICE-GSU-D</t>
        </is>
      </c>
      <c r="E5570" s="12" t="inlineStr"/>
      <c r="F5570" s="12" t="inlineStr">
        <is>
          <t>PCM: power control module</t>
        </is>
      </c>
      <c r="G5570" s="12" t="inlineStr">
        <is>
          <t>RICE-GSU-D</t>
        </is>
      </c>
      <c r="H5570" s="12" t="inlineStr">
        <is>
          <t>RICE-GSU-D: 13.8 / 34.5 kV group step-up, ~45 MVA (RICE 7-8)</t>
        </is>
      </c>
      <c r="I5570" s="12" t="inlineStr">
        <is>
          <t>MV 15 kV</t>
        </is>
      </c>
      <c r="J5570" s="12" t="inlineStr">
        <is>
          <t>MV-105 15 kV 1/C Cu, EPR 133%, Cu tape shield, PVC jacket (triplexed)</t>
        </is>
      </c>
      <c r="K5570" s="12" t="inlineStr">
        <is>
          <t>MV15|1/C|750</t>
        </is>
      </c>
      <c r="L5570" s="12" t="inlineStr">
        <is>
          <t>1/C</t>
        </is>
      </c>
      <c r="M5570" s="12" t="inlineStr">
        <is>
          <t>750 kcmil</t>
        </is>
      </c>
      <c r="N5570" s="12" t="n">
        <v>4</v>
      </c>
      <c r="O5570" s="12" t="n">
        <v>3</v>
      </c>
      <c r="P5570" s="12" t="n">
        <v>13800</v>
      </c>
      <c r="Q5570" s="12" t="n">
        <v>36800</v>
      </c>
      <c r="R5570" s="12" t="n">
        <v>1711</v>
      </c>
      <c r="S5570" s="12" t="inlineStr">
        <is>
          <t>Duct bank</t>
        </is>
      </c>
      <c r="T5570" s="15" t="n">
        <v>159</v>
      </c>
      <c r="U5570" s="15" t="n">
        <v>32</v>
      </c>
      <c r="V5570" s="15">
        <f>ROUNDUP((T5570+U5570+2*'Read Me'!$B$13)*(1+'Read Me'!$B$12),-1)</f>
        <v/>
      </c>
      <c r="W5570" s="15">
        <f>V5570*N5570*O5570</f>
        <v/>
      </c>
      <c r="X5570" s="12">
        <f>IF(LEFT(I5570,2)="MV",2*N5570*IF(L5570="1/C",O5570,1),0)</f>
        <v/>
      </c>
      <c r="Y5570" s="12">
        <f>IF(OR(LEFT(K5570,4)="LVAX",LEFT(K5570,6)="MV15AX",LEFT(K5570,4)="CTAX",LEFT(K5570,2)="W|"),2*N5570*O5570,0)</f>
        <v/>
      </c>
      <c r="Z5570" s="12" t="inlineStr">
        <is>
          <t>4 sets per phase</t>
        </is>
      </c>
      <c r="AA5570" s="12">
        <f>N5570*O5570</f>
        <v/>
      </c>
    </row>
    <row r="5571">
      <c r="A5571" s="12" t="inlineStr">
        <is>
          <t>I-MV-0051</t>
        </is>
      </c>
      <c r="B5571" s="12" t="inlineStr">
        <is>
          <t>I</t>
        </is>
      </c>
      <c r="C5571" s="12" t="inlineStr">
        <is>
          <t>Modular / portable power</t>
        </is>
      </c>
      <c r="D5571" s="12" t="inlineStr">
        <is>
          <t>SC-1 (LM6000 class) generator leads to its PCM / GCB</t>
        </is>
      </c>
      <c r="E5571" s="12" t="inlineStr">
        <is>
          <t>SC-1</t>
        </is>
      </c>
      <c r="F5571" s="12" t="inlineStr">
        <is>
          <t>SC-1: aeroderivative simple-cycle unit (LM6000 class)</t>
        </is>
      </c>
      <c r="G5571" s="12" t="inlineStr"/>
      <c r="H5571" s="12" t="inlineStr">
        <is>
          <t>SC-1 PCM + 15 kV GCB</t>
        </is>
      </c>
      <c r="I5571" s="12" t="inlineStr">
        <is>
          <t>MV 15 kV</t>
        </is>
      </c>
      <c r="J5571" s="12" t="inlineStr">
        <is>
          <t>MV-105 15 kV 1/C Cu, EPR 133%, Cu tape shield, PVC jacket (triplexed)</t>
        </is>
      </c>
      <c r="K5571" s="12" t="inlineStr">
        <is>
          <t>MV15|1/C|1000</t>
        </is>
      </c>
      <c r="L5571" s="12" t="inlineStr">
        <is>
          <t>1/C</t>
        </is>
      </c>
      <c r="M5571" s="12" t="inlineStr">
        <is>
          <t>1000 kcmil</t>
        </is>
      </c>
      <c r="N5571" s="12" t="n">
        <v>5</v>
      </c>
      <c r="O5571" s="12" t="n">
        <v>3</v>
      </c>
      <c r="P5571" s="12" t="n">
        <v>13800</v>
      </c>
      <c r="Q5571" s="12" t="n">
        <v>50000</v>
      </c>
      <c r="R5571" s="12" t="n">
        <v>2324</v>
      </c>
      <c r="S5571" s="12" t="inlineStr">
        <is>
          <t>Tray</t>
        </is>
      </c>
      <c r="T5571" s="15" t="n">
        <v>6</v>
      </c>
      <c r="U5571" s="15" t="n">
        <v>61</v>
      </c>
      <c r="V5571" s="15">
        <f>ROUNDUP((T5571+U5571+2*'Read Me'!$B$13)*(1+'Read Me'!$B$12),-1)</f>
        <v/>
      </c>
      <c r="W5571" s="15">
        <f>V5571*N5571*O5571</f>
        <v/>
      </c>
      <c r="X5571" s="12">
        <f>IF(LEFT(I5571,2)="MV",2*N5571*IF(L5571="1/C",O5571,1),0)</f>
        <v/>
      </c>
      <c r="Y5571" s="12">
        <f>IF(OR(LEFT(K5571,4)="LVAX",LEFT(K5571,6)="MV15AX",LEFT(K5571,4)="CTAX",LEFT(K5571,2)="W|"),2*N5571*O5571,0)</f>
        <v/>
      </c>
      <c r="Z5571" s="12" t="inlineStr">
        <is>
          <t>5 sets per phase</t>
        </is>
      </c>
      <c r="AA5571" s="12">
        <f>N5571*O5571</f>
        <v/>
      </c>
    </row>
    <row r="5572">
      <c r="A5572" s="12" t="inlineStr">
        <is>
          <t>I-MV-0052</t>
        </is>
      </c>
      <c r="B5572" s="12" t="inlineStr">
        <is>
          <t>I</t>
        </is>
      </c>
      <c r="C5572" s="12" t="inlineStr">
        <is>
          <t>Modular / portable power</t>
        </is>
      </c>
      <c r="D5572" s="12" t="inlineStr">
        <is>
          <t>SC-1 generator neutral to the NGR (in the terminal-box enclosure)</t>
        </is>
      </c>
      <c r="E5572" s="12" t="inlineStr">
        <is>
          <t>SC-1</t>
        </is>
      </c>
      <c r="F5572" s="12" t="inlineStr">
        <is>
          <t>SC-1: aeroderivative simple-cycle unit (LM6000 class)</t>
        </is>
      </c>
      <c r="G5572" s="12" t="inlineStr"/>
      <c r="H5572" s="12" t="inlineStr">
        <is>
          <t>SC-1 PCM + 15 kV GCB</t>
        </is>
      </c>
      <c r="I5572" s="12" t="inlineStr">
        <is>
          <t>MV 15 kV</t>
        </is>
      </c>
      <c r="J5572" s="12" t="inlineStr">
        <is>
          <t>MV-105 15 kV 1/C Cu, EPR 133%, Cu tape shield, PVC jacket (triplexed)</t>
        </is>
      </c>
      <c r="K5572" s="12" t="inlineStr">
        <is>
          <t>MV15|1/C|2</t>
        </is>
      </c>
      <c r="L5572" s="12" t="inlineStr">
        <is>
          <t>1/C</t>
        </is>
      </c>
      <c r="M5572" s="12" t="inlineStr">
        <is>
          <t>2</t>
        </is>
      </c>
      <c r="N5572" s="12" t="n">
        <v>1</v>
      </c>
      <c r="O5572" s="12" t="n">
        <v>1</v>
      </c>
      <c r="P5572" s="12" t="n">
        <v>13800</v>
      </c>
      <c r="Q5572" s="12" t="n"/>
      <c r="R5572" s="12" t="n"/>
      <c r="S5572" s="12" t="inlineStr">
        <is>
          <t>Conduit</t>
        </is>
      </c>
      <c r="T5572" s="15" t="n">
        <v>15</v>
      </c>
      <c r="U5572" s="15" t="n">
        <v>10</v>
      </c>
      <c r="V5572" s="15">
        <f>ROUNDUP((T5572+U5572+2*'Read Me'!$B$13)*(1+'Read Me'!$B$12),-1)</f>
        <v/>
      </c>
      <c r="W5572" s="15">
        <f>V5572*N5572*O5572</f>
        <v/>
      </c>
      <c r="X5572" s="12">
        <f>IF(LEFT(I5572,2)="MV",2*N5572*IF(L5572="1/C",O5572,1),0)</f>
        <v/>
      </c>
      <c r="Y5572" s="12">
        <f>IF(OR(LEFT(K5572,4)="LVAX",LEFT(K5572,6)="MV15AX",LEFT(K5572,4)="CTAX",LEFT(K5572,2)="W|"),2*N5572*O5572,0)</f>
        <v/>
      </c>
      <c r="Z5572" s="12" t="inlineStr">
        <is>
          <t>neutral grounding resistor beside the generator enclosure</t>
        </is>
      </c>
      <c r="AA5572" s="12">
        <f>N5572*O5572</f>
        <v/>
      </c>
    </row>
    <row r="5573">
      <c r="A5573" s="12" t="inlineStr">
        <is>
          <t>I-MV-0053</t>
        </is>
      </c>
      <c r="B5573" s="12" t="inlineStr">
        <is>
          <t>I</t>
        </is>
      </c>
      <c r="C5573" s="12" t="inlineStr">
        <is>
          <t>Modular / portable power</t>
        </is>
      </c>
      <c r="D5573" s="12" t="inlineStr">
        <is>
          <t>SC-1 PCM auxiliary transformer primary, 2 MVA 13.8 kV / 480 V (from the GCB bus)</t>
        </is>
      </c>
      <c r="E5573" s="12" t="inlineStr"/>
      <c r="F5573" s="12" t="inlineStr">
        <is>
          <t>SC-1 PCM + 15 kV GCB</t>
        </is>
      </c>
      <c r="G5573" s="12" t="inlineStr"/>
      <c r="H5573" s="12" t="inlineStr">
        <is>
          <t>SC-1 PCM + 15 kV GCB</t>
        </is>
      </c>
      <c r="I5573" s="12" t="inlineStr">
        <is>
          <t>MV 15 kV</t>
        </is>
      </c>
      <c r="J5573" s="12" t="inlineStr">
        <is>
          <t>MV-105 15 kV 1/C Cu, EPR 133%, Cu tape shield, PVC jacket (triplexed)</t>
        </is>
      </c>
      <c r="K5573" s="12" t="inlineStr">
        <is>
          <t>MV15|1/C|2</t>
        </is>
      </c>
      <c r="L5573" s="12" t="inlineStr">
        <is>
          <t>1/C</t>
        </is>
      </c>
      <c r="M5573" s="12" t="inlineStr">
        <is>
          <t>2</t>
        </is>
      </c>
      <c r="N5573" s="12" t="n">
        <v>1</v>
      </c>
      <c r="O5573" s="12" t="n">
        <v>3</v>
      </c>
      <c r="P5573" s="12" t="n">
        <v>13800</v>
      </c>
      <c r="Q5573" s="12" t="n">
        <v>2000</v>
      </c>
      <c r="R5573" s="12" t="n">
        <v>84</v>
      </c>
      <c r="S5573" s="12" t="inlineStr">
        <is>
          <t>Tray</t>
        </is>
      </c>
      <c r="T5573" s="15" t="n">
        <v>0</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internal to the PCM; ~1.0-1.1 MW connected 480 V load + 0.5 MW conditional inlet chiller</t>
        </is>
      </c>
      <c r="AA5573" s="12">
        <f>N5573*O5573</f>
        <v/>
      </c>
    </row>
    <row r="5574">
      <c r="A5574" s="12" t="inlineStr">
        <is>
          <t>I-MV-0054</t>
        </is>
      </c>
      <c r="B5574" s="12" t="inlineStr">
        <is>
          <t>I</t>
        </is>
      </c>
      <c r="C5574" s="12" t="inlineStr">
        <is>
          <t>Modular / portable power</t>
        </is>
      </c>
      <c r="D5574" s="12" t="inlineStr">
        <is>
          <t>SC-2 (LM6000 class) generator leads to its PCM / GCB</t>
        </is>
      </c>
      <c r="E5574" s="12" t="inlineStr">
        <is>
          <t>SC-2</t>
        </is>
      </c>
      <c r="F5574" s="12" t="inlineStr">
        <is>
          <t>SC-2: aeroderivative simple-cycle unit (LM6000 class)</t>
        </is>
      </c>
      <c r="G5574" s="12" t="inlineStr"/>
      <c r="H5574" s="12" t="inlineStr">
        <is>
          <t>SC-2 PCM + 15 kV GCB</t>
        </is>
      </c>
      <c r="I5574" s="12" t="inlineStr">
        <is>
          <t>MV 15 kV</t>
        </is>
      </c>
      <c r="J5574" s="12" t="inlineStr">
        <is>
          <t>MV-105 15 kV 1/C Cu, EPR 133%, Cu tape shield, PVC jacket (triplexed)</t>
        </is>
      </c>
      <c r="K5574" s="12" t="inlineStr">
        <is>
          <t>MV15|1/C|1000</t>
        </is>
      </c>
      <c r="L5574" s="12" t="inlineStr">
        <is>
          <t>1/C</t>
        </is>
      </c>
      <c r="M5574" s="12" t="inlineStr">
        <is>
          <t>1000 kcmil</t>
        </is>
      </c>
      <c r="N5574" s="12" t="n">
        <v>5</v>
      </c>
      <c r="O5574" s="12" t="n">
        <v>3</v>
      </c>
      <c r="P5574" s="12" t="n">
        <v>13800</v>
      </c>
      <c r="Q5574" s="12" t="n">
        <v>50000</v>
      </c>
      <c r="R5574" s="12" t="n">
        <v>2324</v>
      </c>
      <c r="S5574" s="12" t="inlineStr">
        <is>
          <t>Duct bank</t>
        </is>
      </c>
      <c r="T5574" s="15" t="n">
        <v>35</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5 sets per phase</t>
        </is>
      </c>
      <c r="AA5574" s="12">
        <f>N5574*O5574</f>
        <v/>
      </c>
    </row>
    <row r="5575">
      <c r="A5575" s="12" t="inlineStr">
        <is>
          <t>I-MV-0055</t>
        </is>
      </c>
      <c r="B5575" s="12" t="inlineStr">
        <is>
          <t>I</t>
        </is>
      </c>
      <c r="C5575" s="12" t="inlineStr">
        <is>
          <t>Modular / portable power</t>
        </is>
      </c>
      <c r="D5575" s="12" t="inlineStr">
        <is>
          <t>SC-2 generator neutral to the NGR (in the terminal-box enclosure)</t>
        </is>
      </c>
      <c r="E5575" s="12" t="inlineStr">
        <is>
          <t>SC-2</t>
        </is>
      </c>
      <c r="F5575" s="12" t="inlineStr">
        <is>
          <t>SC-2: aeroderivative simple-cycle unit (LM6000 class)</t>
        </is>
      </c>
      <c r="G5575" s="12" t="inlineStr"/>
      <c r="H5575" s="12" t="inlineStr">
        <is>
          <t>SC-2 PCM + 15 kV GCB</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10</v>
      </c>
      <c r="V5575" s="15">
        <f>ROUNDUP((T5575+U5575+2*'Read Me'!$B$13)*(1+'Read Me'!$B$12),-1)</f>
        <v/>
      </c>
      <c r="W5575" s="15">
        <f>V5575*N5575*O5575</f>
        <v/>
      </c>
      <c r="X5575" s="12">
        <f>IF(LEFT(I5575,2)="MV",2*N5575*IF(L5575="1/C",O5575,1),0)</f>
        <v/>
      </c>
      <c r="Y5575" s="12">
        <f>IF(OR(LEFT(K5575,4)="LVAX",LEFT(K5575,6)="MV15AX",LEFT(K5575,4)="CTAX",LEFT(K5575,2)="W|"),2*N5575*O5575,0)</f>
        <v/>
      </c>
      <c r="Z5575" s="12" t="inlineStr">
        <is>
          <t>neutral grounding resistor beside the generator enclosure</t>
        </is>
      </c>
      <c r="AA5575" s="12">
        <f>N5575*O5575</f>
        <v/>
      </c>
    </row>
    <row r="5576">
      <c r="A5576" s="12" t="inlineStr">
        <is>
          <t>I-MV-0056</t>
        </is>
      </c>
      <c r="B5576" s="12" t="inlineStr">
        <is>
          <t>I</t>
        </is>
      </c>
      <c r="C5576" s="12" t="inlineStr">
        <is>
          <t>Modular / portable power</t>
        </is>
      </c>
      <c r="D5576" s="12" t="inlineStr">
        <is>
          <t>SC-2 PCM auxiliary transformer primary, 2 MVA 13.8 kV / 480 V (from the GCB bus)</t>
        </is>
      </c>
      <c r="E5576" s="12" t="inlineStr"/>
      <c r="F5576" s="12" t="inlineStr">
        <is>
          <t>SC-2 PCM + 15 kV GCB</t>
        </is>
      </c>
      <c r="G5576" s="12" t="inlineStr"/>
      <c r="H5576" s="12" t="inlineStr">
        <is>
          <t>SC-2 PCM + 15 kV GCB</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3</v>
      </c>
      <c r="P5576" s="12" t="n">
        <v>13800</v>
      </c>
      <c r="Q5576" s="12" t="n">
        <v>2000</v>
      </c>
      <c r="R5576" s="12" t="n">
        <v>84</v>
      </c>
      <c r="S5576" s="12" t="inlineStr">
        <is>
          <t>Tray</t>
        </is>
      </c>
      <c r="T5576" s="15" t="n">
        <v>0</v>
      </c>
      <c r="U5576" s="15" t="n">
        <v>32</v>
      </c>
      <c r="V5576" s="15">
        <f>ROUNDUP((T5576+U5576+2*'Read Me'!$B$13)*(1+'Read Me'!$B$12),-1)</f>
        <v/>
      </c>
      <c r="W5576" s="15">
        <f>V5576*N5576*O5576</f>
        <v/>
      </c>
      <c r="X5576" s="12">
        <f>IF(LEFT(I5576,2)="MV",2*N5576*IF(L5576="1/C",O5576,1),0)</f>
        <v/>
      </c>
      <c r="Y5576" s="12">
        <f>IF(OR(LEFT(K5576,4)="LVAX",LEFT(K5576,6)="MV15AX",LEFT(K5576,4)="CTAX",LEFT(K5576,2)="W|"),2*N5576*O5576,0)</f>
        <v/>
      </c>
      <c r="Z5576" s="12" t="inlineStr">
        <is>
          <t>internal to the PCM; ~1.0-1.1 MW connected 480 V load + 0.5 MW conditional inlet chiller</t>
        </is>
      </c>
      <c r="AA5576" s="12">
        <f>N5576*O5576</f>
        <v/>
      </c>
    </row>
    <row r="5577">
      <c r="A5577" s="12" t="inlineStr">
        <is>
          <t>I-MV-0057</t>
        </is>
      </c>
      <c r="B5577" s="12" t="inlineStr">
        <is>
          <t>I</t>
        </is>
      </c>
      <c r="C5577" s="12" t="inlineStr">
        <is>
          <t>Modular / portable power</t>
        </is>
      </c>
      <c r="D5577" s="12" t="inlineStr">
        <is>
          <t>SC-1 PCM (GCB) to SC-GSU-1</t>
        </is>
      </c>
      <c r="E5577" s="12" t="inlineStr"/>
      <c r="F5577" s="12" t="inlineStr">
        <is>
          <t>SC-1 PCM + 15 kV GCB</t>
        </is>
      </c>
      <c r="G5577" s="12" t="inlineStr">
        <is>
          <t>SC-GSU-1</t>
        </is>
      </c>
      <c r="H5577" s="12" t="inlineStr">
        <is>
          <t>SC-GSU-1: 13.8 / 34.5 kV unit step-up, ~60 MVA (SC-1)</t>
        </is>
      </c>
      <c r="I5577" s="12" t="inlineStr">
        <is>
          <t>MV 15 kV</t>
        </is>
      </c>
      <c r="J5577" s="12" t="inlineStr">
        <is>
          <t>MV-105 15 kV 1/C Cu, EPR 133%, Cu tape shield, PVC jacket (triplexed)</t>
        </is>
      </c>
      <c r="K5577" s="12" t="inlineStr">
        <is>
          <t>MV15|1/C|1000</t>
        </is>
      </c>
      <c r="L5577" s="12" t="inlineStr">
        <is>
          <t>1/C</t>
        </is>
      </c>
      <c r="M5577" s="12" t="inlineStr">
        <is>
          <t>1000 kcmil</t>
        </is>
      </c>
      <c r="N5577" s="12" t="n">
        <v>5</v>
      </c>
      <c r="O5577" s="12" t="n">
        <v>3</v>
      </c>
      <c r="P5577" s="12" t="n">
        <v>13800</v>
      </c>
      <c r="Q5577" s="12" t="n">
        <v>50000</v>
      </c>
      <c r="R5577" s="12" t="n">
        <v>2324</v>
      </c>
      <c r="S5577" s="12" t="inlineStr">
        <is>
          <t>Duct bank</t>
        </is>
      </c>
      <c r="T5577" s="15" t="n">
        <v>55</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5 sets per phase</t>
        </is>
      </c>
      <c r="AA5577" s="12">
        <f>N5577*O5577</f>
        <v/>
      </c>
    </row>
    <row r="5578">
      <c r="A5578" s="12" t="inlineStr">
        <is>
          <t>I-MV-0058</t>
        </is>
      </c>
      <c r="B5578" s="12" t="inlineStr">
        <is>
          <t>I</t>
        </is>
      </c>
      <c r="C5578" s="12" t="inlineStr">
        <is>
          <t>Modular / portable power</t>
        </is>
      </c>
      <c r="D5578" s="12" t="inlineStr">
        <is>
          <t>SC-2 PCM (GCB) to SC-GSU-2</t>
        </is>
      </c>
      <c r="E5578" s="12" t="inlineStr"/>
      <c r="F5578" s="12" t="inlineStr">
        <is>
          <t>SC-2 PCM + 15 kV GCB</t>
        </is>
      </c>
      <c r="G5578" s="12" t="inlineStr">
        <is>
          <t>SC-GSU-2</t>
        </is>
      </c>
      <c r="H5578" s="12" t="inlineStr">
        <is>
          <t>SC-GSU-2: 13.8 / 34.5 kV unit step-up, ~60 MVA (SC-2)</t>
        </is>
      </c>
      <c r="I5578" s="12" t="inlineStr">
        <is>
          <t>MV 15 kV</t>
        </is>
      </c>
      <c r="J5578" s="12" t="inlineStr">
        <is>
          <t>MV-105 15 kV 1/C Cu, EPR 133%, Cu tape shield, PVC jacket (triplexed)</t>
        </is>
      </c>
      <c r="K5578" s="12" t="inlineStr">
        <is>
          <t>MV15|1/C|1000</t>
        </is>
      </c>
      <c r="L5578" s="12" t="inlineStr">
        <is>
          <t>1/C</t>
        </is>
      </c>
      <c r="M5578" s="12" t="inlineStr">
        <is>
          <t>1000 kcmil</t>
        </is>
      </c>
      <c r="N5578" s="12" t="n">
        <v>5</v>
      </c>
      <c r="O5578" s="12" t="n">
        <v>3</v>
      </c>
      <c r="P5578" s="12" t="n">
        <v>13800</v>
      </c>
      <c r="Q5578" s="12" t="n">
        <v>50000</v>
      </c>
      <c r="R5578" s="12" t="n">
        <v>2324</v>
      </c>
      <c r="S5578" s="12" t="inlineStr">
        <is>
          <t>Duct bank</t>
        </is>
      </c>
      <c r="T5578" s="15" t="n">
        <v>48</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5 sets per phase</t>
        </is>
      </c>
      <c r="AA5578" s="12">
        <f>N5578*O5578</f>
        <v/>
      </c>
    </row>
    <row r="5579">
      <c r="A5579" s="12" t="inlineStr">
        <is>
          <t>I-MV-0059</t>
        </is>
      </c>
      <c r="B5579" s="12" t="inlineStr">
        <is>
          <t>I</t>
        </is>
      </c>
      <c r="C5579" s="12" t="inlineStr">
        <is>
          <t>Modular / portable power</t>
        </is>
      </c>
      <c r="D5579" s="12" t="inlineStr">
        <is>
          <t>TGF-1 generator neutral to its high-resistance grounding resistor (in the package)</t>
        </is>
      </c>
      <c r="E5579" s="12" t="inlineStr">
        <is>
          <t>TGF-1</t>
        </is>
      </c>
      <c r="F5579" s="12" t="inlineStr">
        <is>
          <t xml:space="preserve">TGF-1: trailer-mounted gas-engine generator ~2.5 MW, 13.8 kV (trailer </t>
        </is>
      </c>
      <c r="G5579" s="12" t="inlineStr">
        <is>
          <t>TGF-1</t>
        </is>
      </c>
      <c r="H5579" s="12" t="inlineStr">
        <is>
          <t xml:space="preserve">TGF-1: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I-MV-0060</t>
        </is>
      </c>
      <c r="B5580" s="12" t="inlineStr">
        <is>
          <t>I</t>
        </is>
      </c>
      <c r="C5580" s="12" t="inlineStr">
        <is>
          <t>Modular / portable power</t>
        </is>
      </c>
      <c r="D5580" s="12" t="inlineStr">
        <is>
          <t>TGF-2 generator neutral to its high-resistance grounding resistor (in the package)</t>
        </is>
      </c>
      <c r="E5580" s="12" t="inlineStr">
        <is>
          <t>TGF-2</t>
        </is>
      </c>
      <c r="F5580" s="12" t="inlineStr">
        <is>
          <t xml:space="preserve">TGF-2: trailer-mounted gas-engine generator ~2.5 MW, 13.8 kV (trailer </t>
        </is>
      </c>
      <c r="G5580" s="12" t="inlineStr">
        <is>
          <t>TGF-2</t>
        </is>
      </c>
      <c r="H5580" s="12" t="inlineStr">
        <is>
          <t xml:space="preserve">TGF-2: trailer-mounted gas-engine generator ~2.5 MW, 13.8 kV (trailer </t>
        </is>
      </c>
      <c r="I5580" s="12" t="inlineStr">
        <is>
          <t>MV 15 kV</t>
        </is>
      </c>
      <c r="J5580" s="12" t="inlineStr">
        <is>
          <t>MV-105 15 kV 1/C Cu, EPR 133%, Cu tape shield, PVC jacket (triplexed)</t>
        </is>
      </c>
      <c r="K5580" s="12" t="inlineStr">
        <is>
          <t>MV15|1/C|2</t>
        </is>
      </c>
      <c r="L5580" s="12" t="inlineStr">
        <is>
          <t>1/C</t>
        </is>
      </c>
      <c r="M5580" s="12" t="inlineStr">
        <is>
          <t>2</t>
        </is>
      </c>
      <c r="N5580" s="12" t="n">
        <v>1</v>
      </c>
      <c r="O5580" s="12" t="n">
        <v>1</v>
      </c>
      <c r="P5580" s="12" t="n">
        <v>13800</v>
      </c>
      <c r="Q5580" s="12" t="n"/>
      <c r="R5580" s="12" t="n"/>
      <c r="S5580" s="12" t="inlineStr">
        <is>
          <t>Conduit</t>
        </is>
      </c>
      <c r="T5580" s="15" t="n">
        <v>15</v>
      </c>
      <c r="U5580" s="15" t="n">
        <v>5</v>
      </c>
      <c r="V5580" s="15">
        <f>ROUNDUP((T5580+U5580+2*'Read Me'!$B$13)*(1+'Read Me'!$B$12),-1)</f>
        <v/>
      </c>
      <c r="W5580" s="15">
        <f>V5580*N5580*O5580</f>
        <v/>
      </c>
      <c r="X5580" s="12">
        <f>IF(LEFT(I5580,2)="MV",2*N5580*IF(L5580="1/C",O5580,1),0)</f>
        <v/>
      </c>
      <c r="Y5580" s="12">
        <f>IF(OR(LEFT(K5580,4)="LVAX",LEFT(K5580,6)="MV15AX",LEFT(K5580,4)="CTAX",LEFT(K5580,2)="W|"),2*N5580*O5580,0)</f>
        <v/>
      </c>
      <c r="Z5580" s="12" t="inlineStr">
        <is>
          <t>NGR in the generator / terminal-box enclosure</t>
        </is>
      </c>
      <c r="AA5580" s="12">
        <f>N5580*O5580</f>
        <v/>
      </c>
    </row>
    <row r="5581">
      <c r="A5581" s="12" t="inlineStr">
        <is>
          <t>I-MV-0061</t>
        </is>
      </c>
      <c r="B5581" s="12" t="inlineStr">
        <is>
          <t>I</t>
        </is>
      </c>
      <c r="C5581" s="12" t="inlineStr">
        <is>
          <t>Modular / portable power</t>
        </is>
      </c>
      <c r="D5581" s="12" t="inlineStr">
        <is>
          <t>TGF-3 generator neutral to its high-resistance grounding resistor (in the package)</t>
        </is>
      </c>
      <c r="E5581" s="12" t="inlineStr">
        <is>
          <t>TGF-3</t>
        </is>
      </c>
      <c r="F5581" s="12" t="inlineStr">
        <is>
          <t xml:space="preserve">TGF-3: trailer-mounted gas-engine generator ~2.5 MW, 13.8 kV (trailer </t>
        </is>
      </c>
      <c r="G5581" s="12" t="inlineStr">
        <is>
          <t>TGF-3</t>
        </is>
      </c>
      <c r="H5581" s="12" t="inlineStr">
        <is>
          <t xml:space="preserve">TGF-3: trailer-mounted gas-engine generator ~2.5 MW, 13.8 kV (trailer </t>
        </is>
      </c>
      <c r="I5581" s="12" t="inlineStr">
        <is>
          <t>MV 15 kV</t>
        </is>
      </c>
      <c r="J5581" s="12" t="inlineStr">
        <is>
          <t>MV-105 15 kV 1/C Cu, EPR 133%, Cu tape shield, PVC jacket (triplexed)</t>
        </is>
      </c>
      <c r="K5581" s="12" t="inlineStr">
        <is>
          <t>MV15|1/C|2</t>
        </is>
      </c>
      <c r="L5581" s="12" t="inlineStr">
        <is>
          <t>1/C</t>
        </is>
      </c>
      <c r="M5581" s="12" t="inlineStr">
        <is>
          <t>2</t>
        </is>
      </c>
      <c r="N5581" s="12" t="n">
        <v>1</v>
      </c>
      <c r="O5581" s="12" t="n">
        <v>1</v>
      </c>
      <c r="P5581" s="12" t="n">
        <v>13800</v>
      </c>
      <c r="Q5581" s="12" t="n"/>
      <c r="R5581" s="12" t="n"/>
      <c r="S5581" s="12" t="inlineStr">
        <is>
          <t>Conduit</t>
        </is>
      </c>
      <c r="T5581" s="15" t="n">
        <v>15</v>
      </c>
      <c r="U5581" s="15" t="n">
        <v>5</v>
      </c>
      <c r="V5581" s="15">
        <f>ROUNDUP((T5581+U5581+2*'Read Me'!$B$13)*(1+'Read Me'!$B$12),-1)</f>
        <v/>
      </c>
      <c r="W5581" s="15">
        <f>V5581*N5581*O5581</f>
        <v/>
      </c>
      <c r="X5581" s="12">
        <f>IF(LEFT(I5581,2)="MV",2*N5581*IF(L5581="1/C",O5581,1),0)</f>
        <v/>
      </c>
      <c r="Y5581" s="12">
        <f>IF(OR(LEFT(K5581,4)="LVAX",LEFT(K5581,6)="MV15AX",LEFT(K5581,4)="CTAX",LEFT(K5581,2)="W|"),2*N5581*O5581,0)</f>
        <v/>
      </c>
      <c r="Z5581" s="12" t="inlineStr">
        <is>
          <t>NGR in the generator / terminal-box enclosure</t>
        </is>
      </c>
      <c r="AA5581" s="12">
        <f>N5581*O5581</f>
        <v/>
      </c>
    </row>
    <row r="5582">
      <c r="A5582" s="12" t="inlineStr">
        <is>
          <t>I-MV-0062</t>
        </is>
      </c>
      <c r="B5582" s="12" t="inlineStr">
        <is>
          <t>I</t>
        </is>
      </c>
      <c r="C5582" s="12" t="inlineStr">
        <is>
          <t>Modular / portable power</t>
        </is>
      </c>
      <c r="D5582" s="12" t="inlineStr">
        <is>
          <t>TGF-4 generator neutral to its high-resistance grounding resistor (in the package)</t>
        </is>
      </c>
      <c r="E5582" s="12" t="inlineStr">
        <is>
          <t>TGF-4</t>
        </is>
      </c>
      <c r="F5582" s="12" t="inlineStr">
        <is>
          <t xml:space="preserve">TGF-4: trailer-mounted gas-engine generator ~2.5 MW, 13.8 kV (trailer </t>
        </is>
      </c>
      <c r="G5582" s="12" t="inlineStr">
        <is>
          <t>TGF-4</t>
        </is>
      </c>
      <c r="H5582" s="12" t="inlineStr">
        <is>
          <t xml:space="preserve">TGF-4: trailer-mounted gas-engine generator ~2.5 MW, 13.8 kV (trailer </t>
        </is>
      </c>
      <c r="I5582" s="12" t="inlineStr">
        <is>
          <t>MV 15 kV</t>
        </is>
      </c>
      <c r="J5582" s="12" t="inlineStr">
        <is>
          <t>MV-105 15 kV 1/C Cu, EPR 133%, Cu tape shield, PVC jacket (triplexed)</t>
        </is>
      </c>
      <c r="K5582" s="12" t="inlineStr">
        <is>
          <t>MV15|1/C|2</t>
        </is>
      </c>
      <c r="L5582" s="12" t="inlineStr">
        <is>
          <t>1/C</t>
        </is>
      </c>
      <c r="M5582" s="12" t="inlineStr">
        <is>
          <t>2</t>
        </is>
      </c>
      <c r="N5582" s="12" t="n">
        <v>1</v>
      </c>
      <c r="O5582" s="12" t="n">
        <v>1</v>
      </c>
      <c r="P5582" s="12" t="n">
        <v>13800</v>
      </c>
      <c r="Q5582" s="12" t="n"/>
      <c r="R5582" s="12" t="n"/>
      <c r="S5582" s="12" t="inlineStr">
        <is>
          <t>Conduit</t>
        </is>
      </c>
      <c r="T5582" s="15" t="n">
        <v>15</v>
      </c>
      <c r="U5582" s="15" t="n">
        <v>5</v>
      </c>
      <c r="V5582" s="15">
        <f>ROUNDUP((T5582+U5582+2*'Read Me'!$B$13)*(1+'Read Me'!$B$12),-1)</f>
        <v/>
      </c>
      <c r="W5582" s="15">
        <f>V5582*N5582*O5582</f>
        <v/>
      </c>
      <c r="X5582" s="12">
        <f>IF(LEFT(I5582,2)="MV",2*N5582*IF(L5582="1/C",O5582,1),0)</f>
        <v/>
      </c>
      <c r="Y5582" s="12">
        <f>IF(OR(LEFT(K5582,4)="LVAX",LEFT(K5582,6)="MV15AX",LEFT(K5582,4)="CTAX",LEFT(K5582,2)="W|"),2*N5582*O5582,0)</f>
        <v/>
      </c>
      <c r="Z5582" s="12" t="inlineStr">
        <is>
          <t>NGR in the generator / terminal-box enclosure</t>
        </is>
      </c>
      <c r="AA5582" s="12">
        <f>N5582*O5582</f>
        <v/>
      </c>
    </row>
    <row r="5583">
      <c r="A5583" s="12" t="inlineStr">
        <is>
          <t>I-MV-0063</t>
        </is>
      </c>
      <c r="B5583" s="12" t="inlineStr">
        <is>
          <t>I</t>
        </is>
      </c>
      <c r="C5583" s="12" t="inlineStr">
        <is>
          <t>Modular / portable power</t>
        </is>
      </c>
      <c r="D5583" s="12" t="inlineStr">
        <is>
          <t>TGF-5 generator neutral to its high-resistance grounding resistor (in the package)</t>
        </is>
      </c>
      <c r="E5583" s="12" t="inlineStr">
        <is>
          <t>TGF-5</t>
        </is>
      </c>
      <c r="F5583" s="12" t="inlineStr">
        <is>
          <t xml:space="preserve">TGF-5: trailer-mounted gas-engine generator ~2.5 MW, 13.8 kV (trailer </t>
        </is>
      </c>
      <c r="G5583" s="12" t="inlineStr">
        <is>
          <t>TGF-5</t>
        </is>
      </c>
      <c r="H5583" s="12" t="inlineStr">
        <is>
          <t xml:space="preserve">TGF-5: trailer-mounted gas-engine generator ~2.5 MW, 13.8 kV (trailer </t>
        </is>
      </c>
      <c r="I5583" s="12" t="inlineStr">
        <is>
          <t>MV 15 kV</t>
        </is>
      </c>
      <c r="J5583" s="12" t="inlineStr">
        <is>
          <t>MV-105 15 kV 1/C Cu, EPR 133%, Cu tape shield, PVC jacket (triplexed)</t>
        </is>
      </c>
      <c r="K5583" s="12" t="inlineStr">
        <is>
          <t>MV15|1/C|2</t>
        </is>
      </c>
      <c r="L5583" s="12" t="inlineStr">
        <is>
          <t>1/C</t>
        </is>
      </c>
      <c r="M5583" s="12" t="inlineStr">
        <is>
          <t>2</t>
        </is>
      </c>
      <c r="N5583" s="12" t="n">
        <v>1</v>
      </c>
      <c r="O5583" s="12" t="n">
        <v>1</v>
      </c>
      <c r="P5583" s="12" t="n">
        <v>13800</v>
      </c>
      <c r="Q5583" s="12" t="n"/>
      <c r="R5583" s="12" t="n"/>
      <c r="S5583" s="12" t="inlineStr">
        <is>
          <t>Conduit</t>
        </is>
      </c>
      <c r="T5583" s="15" t="n">
        <v>15</v>
      </c>
      <c r="U5583" s="15" t="n">
        <v>5</v>
      </c>
      <c r="V5583" s="15">
        <f>ROUNDUP((T5583+U5583+2*'Read Me'!$B$13)*(1+'Read Me'!$B$12),-1)</f>
        <v/>
      </c>
      <c r="W5583" s="15">
        <f>V5583*N5583*O5583</f>
        <v/>
      </c>
      <c r="X5583" s="12">
        <f>IF(LEFT(I5583,2)="MV",2*N5583*IF(L5583="1/C",O5583,1),0)</f>
        <v/>
      </c>
      <c r="Y5583" s="12">
        <f>IF(OR(LEFT(K5583,4)="LVAX",LEFT(K5583,6)="MV15AX",LEFT(K5583,4)="CTAX",LEFT(K5583,2)="W|"),2*N5583*O5583,0)</f>
        <v/>
      </c>
      <c r="Z5583" s="12" t="inlineStr">
        <is>
          <t>NGR in the generator / terminal-box enclosure</t>
        </is>
      </c>
      <c r="AA5583" s="12">
        <f>N5583*O5583</f>
        <v/>
      </c>
    </row>
    <row r="5584">
      <c r="A5584" s="12" t="inlineStr">
        <is>
          <t>I-MV-0064</t>
        </is>
      </c>
      <c r="B5584" s="12" t="inlineStr">
        <is>
          <t>I</t>
        </is>
      </c>
      <c r="C5584" s="12" t="inlineStr">
        <is>
          <t>Modular / portable power</t>
        </is>
      </c>
      <c r="D5584" s="12" t="inlineStr">
        <is>
          <t>TGF-6 generator neutral to its high-resistance grounding resistor (in the package)</t>
        </is>
      </c>
      <c r="E5584" s="12" t="inlineStr">
        <is>
          <t>TGF-6</t>
        </is>
      </c>
      <c r="F5584" s="12" t="inlineStr">
        <is>
          <t xml:space="preserve">TGF-6: trailer-mounted gas-engine generator ~2.5 MW, 13.8 kV (trailer </t>
        </is>
      </c>
      <c r="G5584" s="12" t="inlineStr">
        <is>
          <t>TGF-6</t>
        </is>
      </c>
      <c r="H5584" s="12" t="inlineStr">
        <is>
          <t xml:space="preserve">TGF-6: trailer-mounted gas-engine generator ~2.5 MW, 13.8 kV (trailer </t>
        </is>
      </c>
      <c r="I5584" s="12" t="inlineStr">
        <is>
          <t>MV 15 kV</t>
        </is>
      </c>
      <c r="J5584" s="12" t="inlineStr">
        <is>
          <t>MV-105 15 kV 1/C Cu, EPR 133%, Cu tape shield, PVC jacket (triplexed)</t>
        </is>
      </c>
      <c r="K5584" s="12" t="inlineStr">
        <is>
          <t>MV15|1/C|2</t>
        </is>
      </c>
      <c r="L5584" s="12" t="inlineStr">
        <is>
          <t>1/C</t>
        </is>
      </c>
      <c r="M5584" s="12" t="inlineStr">
        <is>
          <t>2</t>
        </is>
      </c>
      <c r="N5584" s="12" t="n">
        <v>1</v>
      </c>
      <c r="O5584" s="12" t="n">
        <v>1</v>
      </c>
      <c r="P5584" s="12" t="n">
        <v>13800</v>
      </c>
      <c r="Q5584" s="12" t="n"/>
      <c r="R5584" s="12" t="n"/>
      <c r="S5584" s="12" t="inlineStr">
        <is>
          <t>Conduit</t>
        </is>
      </c>
      <c r="T5584" s="15" t="n">
        <v>15</v>
      </c>
      <c r="U5584" s="15" t="n">
        <v>5</v>
      </c>
      <c r="V5584" s="15">
        <f>ROUNDUP((T5584+U5584+2*'Read Me'!$B$13)*(1+'Read Me'!$B$12),-1)</f>
        <v/>
      </c>
      <c r="W5584" s="15">
        <f>V5584*N5584*O5584</f>
        <v/>
      </c>
      <c r="X5584" s="12">
        <f>IF(LEFT(I5584,2)="MV",2*N5584*IF(L5584="1/C",O5584,1),0)</f>
        <v/>
      </c>
      <c r="Y5584" s="12">
        <f>IF(OR(LEFT(K5584,4)="LVAX",LEFT(K5584,6)="MV15AX",LEFT(K5584,4)="CTAX",LEFT(K5584,2)="W|"),2*N5584*O5584,0)</f>
        <v/>
      </c>
      <c r="Z5584" s="12" t="inlineStr">
        <is>
          <t>NGR in the generator / terminal-box enclosure</t>
        </is>
      </c>
      <c r="AA5584" s="12">
        <f>N5584*O5584</f>
        <v/>
      </c>
    </row>
    <row r="5585">
      <c r="A5585" s="12" t="inlineStr">
        <is>
          <t>I-MV-0065</t>
        </is>
      </c>
      <c r="B5585" s="12" t="inlineStr">
        <is>
          <t>I</t>
        </is>
      </c>
      <c r="C5585" s="12" t="inlineStr">
        <is>
          <t>Modular / portable power</t>
        </is>
      </c>
      <c r="D5585" s="12" t="inlineStr">
        <is>
          <t>TGF-SWG 13.8 kV to TGF-GSU</t>
        </is>
      </c>
      <c r="E5585" s="12" t="inlineStr">
        <is>
          <t>TGF-SWG</t>
        </is>
      </c>
      <c r="F5585" s="12" t="inlineStr">
        <is>
          <t>TGF-SWG: mobile 13.8 kV switchgear trailer (fleet collector)</t>
        </is>
      </c>
      <c r="G5585" s="12" t="inlineStr">
        <is>
          <t>TGF-GSU</t>
        </is>
      </c>
      <c r="H5585" s="12" t="inlineStr">
        <is>
          <t>TGF-GSU: 13.8 / 34.5 kV step-up, ~20 MVA (trailer fleet)</t>
        </is>
      </c>
      <c r="I5585" s="12" t="inlineStr">
        <is>
          <t>MV 15 kV</t>
        </is>
      </c>
      <c r="J5585" s="12" t="inlineStr">
        <is>
          <t>MV-105 15 kV 1/C Cu, EPR 133%, Cu tape shield, PVC jacket (triplexed)</t>
        </is>
      </c>
      <c r="K5585" s="12" t="inlineStr">
        <is>
          <t>MV15|1/C|500</t>
        </is>
      </c>
      <c r="L5585" s="12" t="inlineStr">
        <is>
          <t>1/C</t>
        </is>
      </c>
      <c r="M5585" s="12" t="inlineStr">
        <is>
          <t>500 kcmil</t>
        </is>
      </c>
      <c r="N5585" s="12" t="n">
        <v>2</v>
      </c>
      <c r="O5585" s="12" t="n">
        <v>3</v>
      </c>
      <c r="P5585" s="12" t="n">
        <v>13800</v>
      </c>
      <c r="Q5585" s="12" t="n">
        <v>15000</v>
      </c>
      <c r="R5585" s="12" t="n">
        <v>697</v>
      </c>
      <c r="S5585" s="12" t="inlineStr">
        <is>
          <t>Surface</t>
        </is>
      </c>
      <c r="T5585" s="15" t="n">
        <v>36</v>
      </c>
      <c r="U5585" s="15" t="n">
        <v>27</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I-MV-0066</t>
        </is>
      </c>
      <c r="B5586" s="12" t="inlineStr">
        <is>
          <t>I</t>
        </is>
      </c>
      <c r="C5586" s="12" t="inlineStr">
        <is>
          <t>Modular / portable power</t>
        </is>
      </c>
      <c r="D5586" s="12" t="inlineStr">
        <is>
          <t>L3 35 kV collector loop, segment 1 of 5 (SWG-MY to GBT-1)</t>
        </is>
      </c>
      <c r="E5586" s="12" t="inlineStr">
        <is>
          <t>SWG-MY</t>
        </is>
      </c>
      <c r="F5586" s="12" t="inlineStr">
        <is>
          <t xml:space="preserve">SWG-MY: 35 kV switchgear lineup for the modular blocks (group breaker </t>
        </is>
      </c>
      <c r="G5586" s="12" t="inlineStr">
        <is>
          <t>GBT-1</t>
        </is>
      </c>
      <c r="H5586" s="12" t="inlineStr">
        <is>
          <t>GBT-1: block GB-1 step-up 480 V : 34.5 kV, ~3 MVA pad-mount (on the 35</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1</v>
      </c>
      <c r="O5586" s="12" t="n">
        <v>3</v>
      </c>
      <c r="P5586" s="12" t="n">
        <v>34500</v>
      </c>
      <c r="Q5586" s="12" t="n">
        <v>10000</v>
      </c>
      <c r="R5586" s="12" t="n">
        <v>167</v>
      </c>
      <c r="S5586" s="12" t="inlineStr">
        <is>
          <t>Duct bank</t>
        </is>
      </c>
      <c r="T5586" s="15" t="n">
        <v>181</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loop conductor 750 kcmil Al, 133 % (WORKING ASSUMPTION)</t>
        </is>
      </c>
      <c r="AA5586" s="12">
        <f>N5586*O5586</f>
        <v/>
      </c>
    </row>
    <row r="5587">
      <c r="A5587" s="12" t="inlineStr">
        <is>
          <t>I-MV-0067</t>
        </is>
      </c>
      <c r="B5587" s="12" t="inlineStr">
        <is>
          <t>I</t>
        </is>
      </c>
      <c r="C5587" s="12" t="inlineStr">
        <is>
          <t>Modular / portable power</t>
        </is>
      </c>
      <c r="D5587" s="12" t="inlineStr">
        <is>
          <t>L3 35 kV collector loop, segment 2 of 5 (GBT-1 to GBT-2)</t>
        </is>
      </c>
      <c r="E5587" s="12" t="inlineStr">
        <is>
          <t>GBT-1</t>
        </is>
      </c>
      <c r="F5587" s="12" t="inlineStr">
        <is>
          <t>GBT-1: block GB-1 step-up 480 V : 34.5 kV, ~3 MVA pad-mount (on the 35</t>
        </is>
      </c>
      <c r="G5587" s="12" t="inlineStr">
        <is>
          <t>GBT-2</t>
        </is>
      </c>
      <c r="H5587" s="12" t="inlineStr">
        <is>
          <t>GBT-2: block GB-2 step-up 480 V : 34.5 kV, ~3 MVA pad-mount (on the 35</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1</v>
      </c>
      <c r="O5587" s="12" t="n">
        <v>3</v>
      </c>
      <c r="P5587" s="12" t="n">
        <v>34500</v>
      </c>
      <c r="Q5587" s="12" t="n">
        <v>10000</v>
      </c>
      <c r="R5587" s="12" t="n">
        <v>167</v>
      </c>
      <c r="S5587" s="12" t="inlineStr">
        <is>
          <t>Surface</t>
        </is>
      </c>
      <c r="T5587" s="15" t="n">
        <v>78</v>
      </c>
      <c r="U5587" s="15" t="n">
        <v>37</v>
      </c>
      <c r="V5587" s="15">
        <f>ROUNDUP((T5587+U5587+2*'Read Me'!$B$13)*(1+'Read Me'!$B$12),-1)</f>
        <v/>
      </c>
      <c r="W5587" s="15">
        <f>V5587*N5587*O5587</f>
        <v/>
      </c>
      <c r="X5587" s="12">
        <f>IF(LEFT(I5587,2)="MV",2*N5587*IF(L5587="1/C",O5587,1),0)</f>
        <v/>
      </c>
      <c r="Y5587" s="12">
        <f>IF(OR(LEFT(K5587,4)="LVAX",LEFT(K5587,6)="MV15AX",LEFT(K5587,4)="CTAX",LEFT(K5587,2)="W|"),2*N5587*O5587,0)</f>
        <v/>
      </c>
      <c r="Z5587" s="12" t="inlineStr">
        <is>
          <t>loop conductor 750 kcmil Al, 133 % (WORKING ASSUMPTION)</t>
        </is>
      </c>
      <c r="AA5587" s="12">
        <f>N5587*O5587</f>
        <v/>
      </c>
    </row>
    <row r="5588">
      <c r="A5588" s="12" t="inlineStr">
        <is>
          <t>I-MV-0068</t>
        </is>
      </c>
      <c r="B5588" s="12" t="inlineStr">
        <is>
          <t>I</t>
        </is>
      </c>
      <c r="C5588" s="12" t="inlineStr">
        <is>
          <t>Modular / portable power</t>
        </is>
      </c>
      <c r="D5588" s="12" t="inlineStr">
        <is>
          <t>L3 35 kV collector loop, segment 3 of 5 (GBT-2 to GBT-3)</t>
        </is>
      </c>
      <c r="E5588" s="12" t="inlineStr">
        <is>
          <t>GBT-2</t>
        </is>
      </c>
      <c r="F5588" s="12" t="inlineStr">
        <is>
          <t>GBT-2: block GB-2 step-up 480 V : 34.5 kV, ~3 MVA pad-mount (on the 35</t>
        </is>
      </c>
      <c r="G5588" s="12" t="inlineStr">
        <is>
          <t>GBT-3</t>
        </is>
      </c>
      <c r="H5588" s="12" t="inlineStr">
        <is>
          <t>GBT-3: block GB-3 step-up 480 V : 34.5 kV, ~3 MVA pad-mount (on the 35</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1</v>
      </c>
      <c r="O5588" s="12" t="n">
        <v>3</v>
      </c>
      <c r="P5588" s="12" t="n">
        <v>34500</v>
      </c>
      <c r="Q5588" s="12" t="n">
        <v>10000</v>
      </c>
      <c r="R5588" s="12" t="n">
        <v>167</v>
      </c>
      <c r="S5588" s="12" t="inlineStr">
        <is>
          <t>Surface</t>
        </is>
      </c>
      <c r="T5588" s="15" t="n">
        <v>28</v>
      </c>
      <c r="U5588" s="15" t="n">
        <v>27</v>
      </c>
      <c r="V5588" s="15">
        <f>ROUNDUP((T5588+U5588+2*'Read Me'!$B$13)*(1+'Read Me'!$B$12),-1)</f>
        <v/>
      </c>
      <c r="W5588" s="15">
        <f>V5588*N5588*O5588</f>
        <v/>
      </c>
      <c r="X5588" s="12">
        <f>IF(LEFT(I5588,2)="MV",2*N5588*IF(L5588="1/C",O5588,1),0)</f>
        <v/>
      </c>
      <c r="Y5588" s="12">
        <f>IF(OR(LEFT(K5588,4)="LVAX",LEFT(K5588,6)="MV15AX",LEFT(K5588,4)="CTAX",LEFT(K5588,2)="W|"),2*N5588*O5588,0)</f>
        <v/>
      </c>
      <c r="Z5588" s="12" t="inlineStr">
        <is>
          <t>loop conductor 750 kcmil Al, 133 % (WORKING ASSUMPTION)</t>
        </is>
      </c>
      <c r="AA5588" s="12">
        <f>N5588*O5588</f>
        <v/>
      </c>
    </row>
    <row r="5589">
      <c r="A5589" s="12" t="inlineStr">
        <is>
          <t>I-MV-0069</t>
        </is>
      </c>
      <c r="B5589" s="12" t="inlineStr">
        <is>
          <t>I</t>
        </is>
      </c>
      <c r="C5589" s="12" t="inlineStr">
        <is>
          <t>Modular / portable power</t>
        </is>
      </c>
      <c r="D5589" s="12" t="inlineStr">
        <is>
          <t>L3 35 kV collector loop, segment 4 of 5 (GBT-3 to GBT-4)</t>
        </is>
      </c>
      <c r="E5589" s="12" t="inlineStr">
        <is>
          <t>GBT-3</t>
        </is>
      </c>
      <c r="F5589" s="12" t="inlineStr">
        <is>
          <t>GBT-3: block GB-3 step-up 480 V : 34.5 kV, ~3 MVA pad-mount (on the 35</t>
        </is>
      </c>
      <c r="G5589" s="12" t="inlineStr">
        <is>
          <t>GBT-4</t>
        </is>
      </c>
      <c r="H5589" s="12" t="inlineStr">
        <is>
          <t>GBT-4: block GB-4 step-up 480 V : 34.5 kV, ~3 MVA pad-mount (on the 35</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1</v>
      </c>
      <c r="O5589" s="12" t="n">
        <v>3</v>
      </c>
      <c r="P5589" s="12" t="n">
        <v>34500</v>
      </c>
      <c r="Q5589" s="12" t="n">
        <v>10000</v>
      </c>
      <c r="R5589" s="12" t="n">
        <v>167</v>
      </c>
      <c r="S5589" s="12" t="inlineStr">
        <is>
          <t>Surface</t>
        </is>
      </c>
      <c r="T5589" s="15" t="n">
        <v>79</v>
      </c>
      <c r="U5589" s="15" t="n">
        <v>37</v>
      </c>
      <c r="V5589" s="15">
        <f>ROUNDUP((T5589+U5589+2*'Read Me'!$B$13)*(1+'Read Me'!$B$12),-1)</f>
        <v/>
      </c>
      <c r="W5589" s="15">
        <f>V5589*N5589*O5589</f>
        <v/>
      </c>
      <c r="X5589" s="12">
        <f>IF(LEFT(I5589,2)="MV",2*N5589*IF(L5589="1/C",O5589,1),0)</f>
        <v/>
      </c>
      <c r="Y5589" s="12">
        <f>IF(OR(LEFT(K5589,4)="LVAX",LEFT(K5589,6)="MV15AX",LEFT(K5589,4)="CTAX",LEFT(K5589,2)="W|"),2*N5589*O5589,0)</f>
        <v/>
      </c>
      <c r="Z5589" s="12" t="inlineStr">
        <is>
          <t>loop conductor 750 kcmil Al, 133 % (WORKING ASSUMPTION)</t>
        </is>
      </c>
      <c r="AA5589" s="12">
        <f>N5589*O5589</f>
        <v/>
      </c>
    </row>
    <row r="5590">
      <c r="A5590" s="12" t="inlineStr">
        <is>
          <t>I-MV-0070</t>
        </is>
      </c>
      <c r="B5590" s="12" t="inlineStr">
        <is>
          <t>I</t>
        </is>
      </c>
      <c r="C5590" s="12" t="inlineStr">
        <is>
          <t>Modular / portable power</t>
        </is>
      </c>
      <c r="D5590" s="12" t="inlineStr">
        <is>
          <t>RICE-GSU-A 34.5 kV to MOD-EH bus 1</t>
        </is>
      </c>
      <c r="E5590" s="12" t="inlineStr">
        <is>
          <t>RICE-GSU-A</t>
        </is>
      </c>
      <c r="F5590" s="12" t="inlineStr">
        <is>
          <t>RICE-GSU-A: 13.8 / 34.5 kV group step-up, ~45 MVA (RICE 1-2)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2</v>
      </c>
      <c r="O5590" s="12" t="n">
        <v>3</v>
      </c>
      <c r="P5590" s="12" t="n">
        <v>34500</v>
      </c>
      <c r="Q5590" s="12" t="n">
        <v>36800</v>
      </c>
      <c r="R5590" s="12" t="n">
        <v>684</v>
      </c>
      <c r="S5590" s="12" t="inlineStr">
        <is>
          <t>Duct bank</t>
        </is>
      </c>
      <c r="T5590" s="15" t="n">
        <v>206</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2 sets per phase</t>
        </is>
      </c>
      <c r="AA5590" s="12">
        <f>N5590*O5590</f>
        <v/>
      </c>
    </row>
    <row r="5591">
      <c r="A5591" s="12" t="inlineStr">
        <is>
          <t>I-MV-0071</t>
        </is>
      </c>
      <c r="B5591" s="12" t="inlineStr">
        <is>
          <t>I</t>
        </is>
      </c>
      <c r="C5591" s="12" t="inlineStr">
        <is>
          <t>Modular / portable power</t>
        </is>
      </c>
      <c r="D5591" s="12" t="inlineStr">
        <is>
          <t>RICE-GSU-B 34.5 kV to MOD-EH bus 1</t>
        </is>
      </c>
      <c r="E5591" s="12" t="inlineStr">
        <is>
          <t>RICE-GSU-B</t>
        </is>
      </c>
      <c r="F5591" s="12" t="inlineStr">
        <is>
          <t>RICE-GSU-B: 13.8 / 34.5 kV group step-up, ~45 MVA (RICE 3-4)</t>
        </is>
      </c>
      <c r="G5591" s="12" t="inlineStr">
        <is>
          <t>MOD-EH</t>
        </is>
      </c>
      <c r="H5591" s="12" t="inlineStr">
        <is>
          <t>MOD-EH: 34.5 kV modular collector e-house (2 bus sections + 13.8 kV st</t>
        </is>
      </c>
      <c r="I5591" s="12" t="inlineStr">
        <is>
          <t>MV 35 kV</t>
        </is>
      </c>
      <c r="J5591" s="12" t="inlineStr">
        <is>
          <t>MV-105 35 kV 1/C Al, EPR 133%, 1/3 concentric neutral, LLDPE jacket</t>
        </is>
      </c>
      <c r="K5591" s="12" t="inlineStr">
        <is>
          <t>MV35|1/C|750</t>
        </is>
      </c>
      <c r="L5591" s="12" t="inlineStr">
        <is>
          <t>1/C</t>
        </is>
      </c>
      <c r="M5591" s="12" t="inlineStr">
        <is>
          <t>750 kcmil</t>
        </is>
      </c>
      <c r="N5591" s="12" t="n">
        <v>2</v>
      </c>
      <c r="O5591" s="12" t="n">
        <v>3</v>
      </c>
      <c r="P5591" s="12" t="n">
        <v>34500</v>
      </c>
      <c r="Q5591" s="12" t="n">
        <v>36800</v>
      </c>
      <c r="R5591" s="12" t="n">
        <v>684</v>
      </c>
      <c r="S5591" s="12" t="inlineStr">
        <is>
          <t>Duct bank</t>
        </is>
      </c>
      <c r="T5591" s="15" t="n">
        <v>179</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is>
          <t>2 sets per phase</t>
        </is>
      </c>
      <c r="AA5591" s="12">
        <f>N5591*O5591</f>
        <v/>
      </c>
    </row>
    <row r="5592">
      <c r="A5592" s="12" t="inlineStr">
        <is>
          <t>I-MV-0072</t>
        </is>
      </c>
      <c r="B5592" s="12" t="inlineStr">
        <is>
          <t>I</t>
        </is>
      </c>
      <c r="C5592" s="12" t="inlineStr">
        <is>
          <t>Modular / portable power</t>
        </is>
      </c>
      <c r="D5592" s="12" t="inlineStr">
        <is>
          <t>RICE-GSU-C 34.5 kV to MOD-EH bus 2</t>
        </is>
      </c>
      <c r="E5592" s="12" t="inlineStr">
        <is>
          <t>RICE-GSU-C</t>
        </is>
      </c>
      <c r="F5592" s="12" t="inlineStr">
        <is>
          <t>RICE-GSU-C: 13.8 / 34.5 kV group step-up, ~45 MVA (RICE 5-6)</t>
        </is>
      </c>
      <c r="G5592" s="12" t="inlineStr">
        <is>
          <t>MOD-EH</t>
        </is>
      </c>
      <c r="H5592" s="12" t="inlineStr">
        <is>
          <t>MOD-EH: 34.5 kV modular collector e-house (2 bus sections + 13.8 kV st</t>
        </is>
      </c>
      <c r="I5592" s="12" t="inlineStr">
        <is>
          <t>MV 35 kV</t>
        </is>
      </c>
      <c r="J5592" s="12" t="inlineStr">
        <is>
          <t>MV-105 35 kV 1/C Al, EPR 133%, 1/3 concentric neutral, LLDPE jacket</t>
        </is>
      </c>
      <c r="K5592" s="12" t="inlineStr">
        <is>
          <t>MV35|1/C|750</t>
        </is>
      </c>
      <c r="L5592" s="12" t="inlineStr">
        <is>
          <t>1/C</t>
        </is>
      </c>
      <c r="M5592" s="12" t="inlineStr">
        <is>
          <t>750 kcmil</t>
        </is>
      </c>
      <c r="N5592" s="12" t="n">
        <v>2</v>
      </c>
      <c r="O5592" s="12" t="n">
        <v>3</v>
      </c>
      <c r="P5592" s="12" t="n">
        <v>34500</v>
      </c>
      <c r="Q5592" s="12" t="n">
        <v>36800</v>
      </c>
      <c r="R5592" s="12" t="n">
        <v>684</v>
      </c>
      <c r="S5592" s="12" t="inlineStr">
        <is>
          <t>Duct bank</t>
        </is>
      </c>
      <c r="T5592" s="15" t="n">
        <v>152</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is>
          <t>2 sets per phase</t>
        </is>
      </c>
      <c r="AA5592" s="12">
        <f>N5592*O5592</f>
        <v/>
      </c>
    </row>
    <row r="5593">
      <c r="A5593" s="12" t="inlineStr">
        <is>
          <t>I-MV-0073</t>
        </is>
      </c>
      <c r="B5593" s="12" t="inlineStr">
        <is>
          <t>I</t>
        </is>
      </c>
      <c r="C5593" s="12" t="inlineStr">
        <is>
          <t>Modular / portable power</t>
        </is>
      </c>
      <c r="D5593" s="12" t="inlineStr">
        <is>
          <t>RICE-GSU-D 34.5 kV to MOD-EH bus 2</t>
        </is>
      </c>
      <c r="E5593" s="12" t="inlineStr">
        <is>
          <t>RICE-GSU-D</t>
        </is>
      </c>
      <c r="F5593" s="12" t="inlineStr">
        <is>
          <t>RICE-GSU-D: 13.8 / 34.5 kV group step-up, ~45 MVA (RICE 7-8)</t>
        </is>
      </c>
      <c r="G5593" s="12" t="inlineStr">
        <is>
          <t>MOD-EH</t>
        </is>
      </c>
      <c r="H5593" s="12" t="inlineStr">
        <is>
          <t>MOD-EH: 34.5 kV modular collector e-house (2 bus sections + 13.8 kV st</t>
        </is>
      </c>
      <c r="I5593" s="12" t="inlineStr">
        <is>
          <t>MV 35 kV</t>
        </is>
      </c>
      <c r="J5593" s="12" t="inlineStr">
        <is>
          <t>MV-105 35 kV 1/C Al, EPR 133%, 1/3 concentric neutral, LLDPE jacket</t>
        </is>
      </c>
      <c r="K5593" s="12" t="inlineStr">
        <is>
          <t>MV35|1/C|750</t>
        </is>
      </c>
      <c r="L5593" s="12" t="inlineStr">
        <is>
          <t>1/C</t>
        </is>
      </c>
      <c r="M5593" s="12" t="inlineStr">
        <is>
          <t>750 kcmil</t>
        </is>
      </c>
      <c r="N5593" s="12" t="n">
        <v>2</v>
      </c>
      <c r="O5593" s="12" t="n">
        <v>3</v>
      </c>
      <c r="P5593" s="12" t="n">
        <v>34500</v>
      </c>
      <c r="Q5593" s="12" t="n">
        <v>36800</v>
      </c>
      <c r="R5593" s="12" t="n">
        <v>684</v>
      </c>
      <c r="S5593" s="12" t="inlineStr">
        <is>
          <t>Duct bank</t>
        </is>
      </c>
      <c r="T5593" s="15" t="n">
        <v>125</v>
      </c>
      <c r="U5593" s="15" t="n">
        <v>32</v>
      </c>
      <c r="V5593" s="15">
        <f>ROUNDUP((T5593+U5593+2*'Read Me'!$B$13)*(1+'Read Me'!$B$12),-1)</f>
        <v/>
      </c>
      <c r="W5593" s="15">
        <f>V5593*N5593*O5593</f>
        <v/>
      </c>
      <c r="X5593" s="12">
        <f>IF(LEFT(I5593,2)="MV",2*N5593*IF(L5593="1/C",O5593,1),0)</f>
        <v/>
      </c>
      <c r="Y5593" s="12">
        <f>IF(OR(LEFT(K5593,4)="LVAX",LEFT(K5593,6)="MV15AX",LEFT(K5593,4)="CTAX",LEFT(K5593,2)="W|"),2*N5593*O5593,0)</f>
        <v/>
      </c>
      <c r="Z5593" s="12" t="inlineStr">
        <is>
          <t>2 sets per phase</t>
        </is>
      </c>
      <c r="AA5593" s="12">
        <f>N5593*O5593</f>
        <v/>
      </c>
    </row>
    <row r="5594">
      <c r="A5594" s="12" t="inlineStr">
        <is>
          <t>I-MV-0074</t>
        </is>
      </c>
      <c r="B5594" s="12" t="inlineStr">
        <is>
          <t>I</t>
        </is>
      </c>
      <c r="C5594" s="12" t="inlineStr">
        <is>
          <t>Modular / portable power</t>
        </is>
      </c>
      <c r="D5594" s="12" t="inlineStr">
        <is>
          <t>SC-GSU-1 34.5 kV to MOD-EH bus 1</t>
        </is>
      </c>
      <c r="E5594" s="12" t="inlineStr">
        <is>
          <t>SC-GSU-1</t>
        </is>
      </c>
      <c r="F5594" s="12" t="inlineStr">
        <is>
          <t>SC-GSU-1: 13.8 / 34.5 kV unit step-up, ~60 MVA (SC-1)</t>
        </is>
      </c>
      <c r="G5594" s="12" t="inlineStr">
        <is>
          <t>MOD-EH</t>
        </is>
      </c>
      <c r="H5594" s="12" t="inlineStr">
        <is>
          <t>MOD-EH: 34.5 kV modular collector e-house (2 bus sections + 13.8 kV st</t>
        </is>
      </c>
      <c r="I5594" s="12" t="inlineStr">
        <is>
          <t>MV 35 kV</t>
        </is>
      </c>
      <c r="J5594" s="12" t="inlineStr">
        <is>
          <t>MV-105 35 kV 1/C Al, EPR 133%, 1/3 concentric neutral, LLDPE jacket</t>
        </is>
      </c>
      <c r="K5594" s="12" t="inlineStr">
        <is>
          <t>MV35|1/C|750</t>
        </is>
      </c>
      <c r="L5594" s="12" t="inlineStr">
        <is>
          <t>1/C</t>
        </is>
      </c>
      <c r="M5594" s="12" t="inlineStr">
        <is>
          <t>750 kcmil</t>
        </is>
      </c>
      <c r="N5594" s="12" t="n">
        <v>3</v>
      </c>
      <c r="O5594" s="12" t="n">
        <v>3</v>
      </c>
      <c r="P5594" s="12" t="n">
        <v>34500</v>
      </c>
      <c r="Q5594" s="12" t="n">
        <v>50000</v>
      </c>
      <c r="R5594" s="12" t="n">
        <v>930</v>
      </c>
      <c r="S5594" s="12" t="inlineStr">
        <is>
          <t>Duct bank</t>
        </is>
      </c>
      <c r="T5594" s="15" t="n">
        <v>460</v>
      </c>
      <c r="U5594" s="15" t="n">
        <v>20</v>
      </c>
      <c r="V5594" s="15">
        <f>ROUNDUP((T5594+U5594+2*'Read Me'!$B$13)*(1+'Read Me'!$B$12),-1)</f>
        <v/>
      </c>
      <c r="W5594" s="15">
        <f>V5594*N5594*O5594</f>
        <v/>
      </c>
      <c r="X5594" s="12">
        <f>IF(LEFT(I5594,2)="MV",2*N5594*IF(L5594="1/C",O5594,1),0)</f>
        <v/>
      </c>
      <c r="Y5594" s="12">
        <f>IF(OR(LEFT(K5594,4)="LVAX",LEFT(K5594,6)="MV15AX",LEFT(K5594,4)="CTAX",LEFT(K5594,2)="W|"),2*N5594*O5594,0)</f>
        <v/>
      </c>
      <c r="Z5594" s="12" t="inlineStr">
        <is>
          <t>3 sets per phase</t>
        </is>
      </c>
      <c r="AA5594" s="12">
        <f>N5594*O5594</f>
        <v/>
      </c>
    </row>
    <row r="5595">
      <c r="A5595" s="12" t="inlineStr">
        <is>
          <t>I-MV-0075</t>
        </is>
      </c>
      <c r="B5595" s="12" t="inlineStr">
        <is>
          <t>I</t>
        </is>
      </c>
      <c r="C5595" s="12" t="inlineStr">
        <is>
          <t>Modular / portable power</t>
        </is>
      </c>
      <c r="D5595" s="12" t="inlineStr">
        <is>
          <t>SC-GSU-2 34.5 kV to MOD-EH bus 2</t>
        </is>
      </c>
      <c r="E5595" s="12" t="inlineStr">
        <is>
          <t>SC-GSU-2</t>
        </is>
      </c>
      <c r="F5595" s="12" t="inlineStr">
        <is>
          <t>SC-GSU-2: 13.8 / 34.5 kV unit step-up, ~60 MVA (SC-2)</t>
        </is>
      </c>
      <c r="G5595" s="12" t="inlineStr">
        <is>
          <t>MOD-EH</t>
        </is>
      </c>
      <c r="H5595" s="12" t="inlineStr">
        <is>
          <t>MOD-EH: 34.5 kV modular collector e-house (2 bus sections + 13.8 kV st</t>
        </is>
      </c>
      <c r="I5595" s="12" t="inlineStr">
        <is>
          <t>MV 35 kV</t>
        </is>
      </c>
      <c r="J5595" s="12" t="inlineStr">
        <is>
          <t>MV-105 35 kV 1/C Al, EPR 133%, 1/3 concentric neutral, LLDPE jacket</t>
        </is>
      </c>
      <c r="K5595" s="12" t="inlineStr">
        <is>
          <t>MV35|1/C|750</t>
        </is>
      </c>
      <c r="L5595" s="12" t="inlineStr">
        <is>
          <t>1/C</t>
        </is>
      </c>
      <c r="M5595" s="12" t="inlineStr">
        <is>
          <t>750 kcmil</t>
        </is>
      </c>
      <c r="N5595" s="12" t="n">
        <v>3</v>
      </c>
      <c r="O5595" s="12" t="n">
        <v>3</v>
      </c>
      <c r="P5595" s="12" t="n">
        <v>34500</v>
      </c>
      <c r="Q5595" s="12" t="n">
        <v>50000</v>
      </c>
      <c r="R5595" s="12" t="n">
        <v>930</v>
      </c>
      <c r="S5595" s="12" t="inlineStr">
        <is>
          <t>Duct bank</t>
        </is>
      </c>
      <c r="T5595" s="15" t="n">
        <v>540</v>
      </c>
      <c r="U5595" s="15" t="n">
        <v>20</v>
      </c>
      <c r="V5595" s="15">
        <f>ROUNDUP((T5595+U5595+2*'Read Me'!$B$13)*(1+'Read Me'!$B$12),-1)</f>
        <v/>
      </c>
      <c r="W5595" s="15">
        <f>V5595*N5595*O5595</f>
        <v/>
      </c>
      <c r="X5595" s="12">
        <f>IF(LEFT(I5595,2)="MV",2*N5595*IF(L5595="1/C",O5595,1),0)</f>
        <v/>
      </c>
      <c r="Y5595" s="12">
        <f>IF(OR(LEFT(K5595,4)="LVAX",LEFT(K5595,6)="MV15AX",LEFT(K5595,4)="CTAX",LEFT(K5595,2)="W|"),2*N5595*O5595,0)</f>
        <v/>
      </c>
      <c r="Z5595" s="12" t="inlineStr">
        <is>
          <t>3 sets per phase</t>
        </is>
      </c>
      <c r="AA5595" s="12">
        <f>N5595*O5595</f>
        <v/>
      </c>
    </row>
    <row r="5596">
      <c r="A5596" s="12" t="inlineStr">
        <is>
          <t>I-MV-0076</t>
        </is>
      </c>
      <c r="B5596" s="12" t="inlineStr">
        <is>
          <t>I</t>
        </is>
      </c>
      <c r="C5596" s="12" t="inlineStr">
        <is>
          <t>Modular / portable power</t>
        </is>
      </c>
      <c r="D5596" s="12" t="inlineStr">
        <is>
          <t>MOD-GT1 zigzag grounding transformer, bus 1</t>
        </is>
      </c>
      <c r="E5596" s="12" t="inlineStr">
        <is>
          <t>MOD-EH</t>
        </is>
      </c>
      <c r="F5596" s="12" t="inlineStr">
        <is>
          <t>MOD-EH: 34.5 kV modular collector e-house (2 bus sections + 13.8 kV st</t>
        </is>
      </c>
      <c r="G5596" s="12" t="inlineStr">
        <is>
          <t>MOD-GT1</t>
        </is>
      </c>
      <c r="H5596" s="12" t="inlineStr">
        <is>
          <t>MOD-GT1: 34.5 kV zigzag grounding transformer, MOD-EH bus 1</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Riser</t>
        </is>
      </c>
      <c r="T5596" s="15" t="n">
        <v>4</v>
      </c>
      <c r="U5596" s="15" t="n">
        <v>32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I-MV-0077</t>
        </is>
      </c>
      <c r="B5597" s="12" t="inlineStr">
        <is>
          <t>I</t>
        </is>
      </c>
      <c r="C5597" s="12" t="inlineStr">
        <is>
          <t>Modular / portable power</t>
        </is>
      </c>
      <c r="D5597" s="12" t="inlineStr">
        <is>
          <t>MOD-GT2 zigzag grounding transformer, bus 2</t>
        </is>
      </c>
      <c r="E5597" s="12" t="inlineStr">
        <is>
          <t>MOD-EH</t>
        </is>
      </c>
      <c r="F5597" s="12" t="inlineStr">
        <is>
          <t>MOD-EH: 34.5 kV modular collector e-house (2 bus sections + 13.8 kV st</t>
        </is>
      </c>
      <c r="G5597" s="12" t="inlineStr">
        <is>
          <t>MOD-GT2</t>
        </is>
      </c>
      <c r="H5597" s="12" t="inlineStr">
        <is>
          <t>MOD-GT2: 34.5 kV zigzag grounding transformer, MOD-EH bus 2</t>
        </is>
      </c>
      <c r="I5597" s="12" t="inlineStr">
        <is>
          <t>MV 35 kV</t>
        </is>
      </c>
      <c r="J5597" s="12" t="inlineStr">
        <is>
          <t>MV-105 35 kV 1/C Al, EPR 133%, 1/3 concentric neutral, LLDPE jacket</t>
        </is>
      </c>
      <c r="K5597" s="12" t="inlineStr">
        <is>
          <t>MV35|1/C|2</t>
        </is>
      </c>
      <c r="L5597" s="12" t="inlineStr">
        <is>
          <t>1/C</t>
        </is>
      </c>
      <c r="M5597" s="12" t="inlineStr">
        <is>
          <t>2</t>
        </is>
      </c>
      <c r="N5597" s="12" t="n">
        <v>1</v>
      </c>
      <c r="O5597" s="12" t="n">
        <v>3</v>
      </c>
      <c r="P5597" s="12" t="n">
        <v>34500</v>
      </c>
      <c r="Q5597" s="12" t="n">
        <v>300</v>
      </c>
      <c r="R5597" s="12" t="n">
        <v>5</v>
      </c>
      <c r="S5597" s="12" t="inlineStr">
        <is>
          <t>Riser</t>
        </is>
      </c>
      <c r="T5597" s="15" t="n">
        <v>4</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c r="AA5597" s="12">
        <f>N5597*O5597</f>
        <v/>
      </c>
    </row>
    <row r="5598">
      <c r="A5598" s="12" t="inlineStr">
        <is>
          <t>I-MV-0078</t>
        </is>
      </c>
      <c r="B5598" s="12" t="inlineStr">
        <is>
          <t>I</t>
        </is>
      </c>
      <c r="C5598" s="12" t="inlineStr">
        <is>
          <t>Modular / portable power</t>
        </is>
      </c>
      <c r="D5598" s="12" t="inlineStr">
        <is>
          <t>MOD-SST 34.5 kV primary</t>
        </is>
      </c>
      <c r="E5598" s="12" t="inlineStr">
        <is>
          <t>MOD-EH</t>
        </is>
      </c>
      <c r="F5598" s="12" t="inlineStr">
        <is>
          <t>MOD-EH: 34.5 kV modular collector e-house (2 bus sections + 13.8 kV st</t>
        </is>
      </c>
      <c r="G5598" s="12" t="inlineStr">
        <is>
          <t>MOD-SST</t>
        </is>
      </c>
      <c r="H5598" s="12" t="inlineStr">
        <is>
          <t>MOD-SST: 34.5 / 13.8 kV station-service transformer, ~10 MVA (yard sta</t>
        </is>
      </c>
      <c r="I5598" s="12" t="inlineStr">
        <is>
          <t>MV 35 kV</t>
        </is>
      </c>
      <c r="J5598" s="12" t="inlineStr">
        <is>
          <t>MV-105 35 kV 1/C Al, EPR 133%, 1/3 concentric neutral, LLDPE jacket</t>
        </is>
      </c>
      <c r="K5598" s="12" t="inlineStr">
        <is>
          <t>MV35|1/C|4/0</t>
        </is>
      </c>
      <c r="L5598" s="12" t="inlineStr">
        <is>
          <t>1/C</t>
        </is>
      </c>
      <c r="M5598" s="12" t="inlineStr">
        <is>
          <t>4/0</t>
        </is>
      </c>
      <c r="N5598" s="12" t="n">
        <v>1</v>
      </c>
      <c r="O5598" s="12" t="n">
        <v>3</v>
      </c>
      <c r="P5598" s="12" t="n">
        <v>34500</v>
      </c>
      <c r="Q5598" s="12" t="n">
        <v>9000</v>
      </c>
      <c r="R5598" s="12" t="n">
        <v>167</v>
      </c>
      <c r="S5598" s="12" t="inlineStr">
        <is>
          <t>Duct bank</t>
        </is>
      </c>
      <c r="T5598" s="15" t="n">
        <v>46</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1 set per phase</t>
        </is>
      </c>
      <c r="AA5598" s="12">
        <f>N5598*O5598</f>
        <v/>
      </c>
    </row>
    <row r="5599">
      <c r="A5599" s="12" t="inlineStr">
        <is>
          <t>I-MV-0079</t>
        </is>
      </c>
      <c r="B5599" s="12" t="inlineStr">
        <is>
          <t>I</t>
        </is>
      </c>
      <c r="C5599" s="12" t="inlineStr">
        <is>
          <t>Modular / portable power</t>
        </is>
      </c>
      <c r="D5599" s="12" t="inlineStr">
        <is>
          <t>PGS-TX1 to PGS-TX2 34.5 kV loop feed</t>
        </is>
      </c>
      <c r="E5599" s="12" t="inlineStr">
        <is>
          <t>PGS-TX1</t>
        </is>
      </c>
      <c r="F5599" s="12" t="inlineStr">
        <is>
          <t>PGS-TX1: 480 V : 34.5 kV, ~5 MVA loop-feed pad-mount (gensets 1-4)</t>
        </is>
      </c>
      <c r="G5599" s="12" t="inlineStr">
        <is>
          <t>PGS-TX2</t>
        </is>
      </c>
      <c r="H5599" s="12" t="inlineStr">
        <is>
          <t>PGS-TX2: 480 V : 34.5 kV, ~5 MVA loop-feed pad-mount (gensets 5-8)</t>
        </is>
      </c>
      <c r="I5599" s="12" t="inlineStr">
        <is>
          <t>MV 35 kV</t>
        </is>
      </c>
      <c r="J5599" s="12" t="inlineStr">
        <is>
          <t>MV-105 35 kV 1/C Al, EPR 133%, 1/3 concentric neutral, LLDPE jacket</t>
        </is>
      </c>
      <c r="K5599" s="12" t="inlineStr">
        <is>
          <t>MV35|1/C|2</t>
        </is>
      </c>
      <c r="L5599" s="12" t="inlineStr">
        <is>
          <t>1/C</t>
        </is>
      </c>
      <c r="M5599" s="12" t="inlineStr">
        <is>
          <t>2</t>
        </is>
      </c>
      <c r="N5599" s="12" t="n">
        <v>1</v>
      </c>
      <c r="O5599" s="12" t="n">
        <v>3</v>
      </c>
      <c r="P5599" s="12" t="n">
        <v>34500</v>
      </c>
      <c r="Q5599" s="12" t="n">
        <v>4000</v>
      </c>
      <c r="R5599" s="12" t="n">
        <v>74</v>
      </c>
      <c r="S5599" s="12" t="inlineStr">
        <is>
          <t>Surface</t>
        </is>
      </c>
      <c r="T5599" s="15" t="n">
        <v>41</v>
      </c>
      <c r="U5599" s="15" t="n">
        <v>27</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I-MV-0080</t>
        </is>
      </c>
      <c r="B5600" s="12" t="inlineStr">
        <is>
          <t>I</t>
        </is>
      </c>
      <c r="C5600" s="12" t="inlineStr">
        <is>
          <t>Modular / portable power</t>
        </is>
      </c>
      <c r="D5600" s="12" t="inlineStr">
        <is>
          <t>PK-GT1 zigzag grounding transformer, SWG-PK bus A</t>
        </is>
      </c>
      <c r="E5600" s="12" t="inlineStr">
        <is>
          <t>SWG-PK</t>
        </is>
      </c>
      <c r="F5600" s="12" t="inlineStr">
        <is>
          <t>SWG-PK: 34.5 kV park collector switchgear (2 bus sections, tie; 8 feed</t>
        </is>
      </c>
      <c r="G5600" s="12" t="inlineStr">
        <is>
          <t>PK-GT1</t>
        </is>
      </c>
      <c r="H5600" s="12" t="inlineStr">
        <is>
          <t>PK-GT1: 34.5 kV zigzag grounding transformer, SWG-PK bus A</t>
        </is>
      </c>
      <c r="I5600" s="12" t="inlineStr">
        <is>
          <t>MV 35 kV</t>
        </is>
      </c>
      <c r="J5600" s="12" t="inlineStr">
        <is>
          <t>MV-105 35 kV 1/C Al, EPR 133%, 1/3 concentric neutral, LLDPE jacket</t>
        </is>
      </c>
      <c r="K5600" s="12" t="inlineStr">
        <is>
          <t>MV35|1/C|2</t>
        </is>
      </c>
      <c r="L5600" s="12" t="inlineStr">
        <is>
          <t>1/C</t>
        </is>
      </c>
      <c r="M5600" s="12" t="inlineStr">
        <is>
          <t>2</t>
        </is>
      </c>
      <c r="N5600" s="12" t="n">
        <v>1</v>
      </c>
      <c r="O5600" s="12" t="n">
        <v>3</v>
      </c>
      <c r="P5600" s="12" t="n">
        <v>34500</v>
      </c>
      <c r="Q5600" s="12" t="n">
        <v>300</v>
      </c>
      <c r="R5600" s="12" t="n">
        <v>5</v>
      </c>
      <c r="S5600" s="12" t="inlineStr">
        <is>
          <t>Duct bank</t>
        </is>
      </c>
      <c r="T5600" s="15" t="n">
        <v>60</v>
      </c>
      <c r="U5600" s="15" t="n">
        <v>38</v>
      </c>
      <c r="V5600" s="15">
        <f>ROUNDUP((T5600+U5600+2*'Read Me'!$B$13)*(1+'Read Me'!$B$12),-1)</f>
        <v/>
      </c>
      <c r="W5600" s="15">
        <f>V5600*N5600*O5600</f>
        <v/>
      </c>
      <c r="X5600" s="12">
        <f>IF(LEFT(I5600,2)="MV",2*N5600*IF(L5600="1/C",O5600,1),0)</f>
        <v/>
      </c>
      <c r="Y5600" s="12">
        <f>IF(OR(LEFT(K5600,4)="LVAX",LEFT(K5600,6)="MV15AX",LEFT(K5600,4)="CTAX",LEFT(K5600,2)="W|"),2*N5600*O5600,0)</f>
        <v/>
      </c>
      <c r="Z5600" s="12" t="inlineStr"/>
      <c r="AA5600" s="12">
        <f>N5600*O5600</f>
        <v/>
      </c>
    </row>
    <row r="5601">
      <c r="A5601" s="12" t="inlineStr">
        <is>
          <t>I-MV-0081</t>
        </is>
      </c>
      <c r="B5601" s="12" t="inlineStr">
        <is>
          <t>I</t>
        </is>
      </c>
      <c r="C5601" s="12" t="inlineStr">
        <is>
          <t>Modular / portable power</t>
        </is>
      </c>
      <c r="D5601" s="12" t="inlineStr">
        <is>
          <t>PK-GT2 zigzag grounding transformer, SWG-PK bus B</t>
        </is>
      </c>
      <c r="E5601" s="12" t="inlineStr">
        <is>
          <t>SWG-PK</t>
        </is>
      </c>
      <c r="F5601" s="12" t="inlineStr">
        <is>
          <t>SWG-PK: 34.5 kV park collector switchgear (2 bus sections, tie; 8 feed</t>
        </is>
      </c>
      <c r="G5601" s="12" t="inlineStr">
        <is>
          <t>PK-GT2</t>
        </is>
      </c>
      <c r="H5601" s="12" t="inlineStr">
        <is>
          <t>PK-GT2: 34.5 kV zigzag grounding transformer, SWG-PK bus B</t>
        </is>
      </c>
      <c r="I5601" s="12" t="inlineStr">
        <is>
          <t>MV 35 kV</t>
        </is>
      </c>
      <c r="J5601" s="12" t="inlineStr">
        <is>
          <t>MV-105 35 kV 1/C Al, EPR 133%, 1/3 concentric neutral, LLDPE jacket</t>
        </is>
      </c>
      <c r="K5601" s="12" t="inlineStr">
        <is>
          <t>MV35|1/C|2</t>
        </is>
      </c>
      <c r="L5601" s="12" t="inlineStr">
        <is>
          <t>1/C</t>
        </is>
      </c>
      <c r="M5601" s="12" t="inlineStr">
        <is>
          <t>2</t>
        </is>
      </c>
      <c r="N5601" s="12" t="n">
        <v>1</v>
      </c>
      <c r="O5601" s="12" t="n">
        <v>3</v>
      </c>
      <c r="P5601" s="12" t="n">
        <v>34500</v>
      </c>
      <c r="Q5601" s="12" t="n">
        <v>300</v>
      </c>
      <c r="R5601" s="12" t="n">
        <v>5</v>
      </c>
      <c r="S5601" s="12" t="inlineStr">
        <is>
          <t>Duct bank</t>
        </is>
      </c>
      <c r="T5601" s="15" t="n">
        <v>72</v>
      </c>
      <c r="U5601" s="15" t="n">
        <v>42</v>
      </c>
      <c r="V5601" s="15">
        <f>ROUNDUP((T5601+U5601+2*'Read Me'!$B$13)*(1+'Read Me'!$B$12),-1)</f>
        <v/>
      </c>
      <c r="W5601" s="15">
        <f>V5601*N5601*O5601</f>
        <v/>
      </c>
      <c r="X5601" s="12">
        <f>IF(LEFT(I5601,2)="MV",2*N5601*IF(L5601="1/C",O5601,1),0)</f>
        <v/>
      </c>
      <c r="Y5601" s="12">
        <f>IF(OR(LEFT(K5601,4)="LVAX",LEFT(K5601,6)="MV15AX",LEFT(K5601,4)="CTAX",LEFT(K5601,2)="W|"),2*N5601*O5601,0)</f>
        <v/>
      </c>
      <c r="Z5601" s="12" t="inlineStr"/>
      <c r="AA5601" s="12">
        <f>N5601*O5601</f>
        <v/>
      </c>
    </row>
    <row r="5602">
      <c r="A5602" s="12" t="inlineStr">
        <is>
          <t>I-MV-0082</t>
        </is>
      </c>
      <c r="B5602" s="12" t="inlineStr">
        <is>
          <t>I</t>
        </is>
      </c>
      <c r="C5602" s="12" t="inlineStr">
        <is>
          <t>Modular / portable power</t>
        </is>
      </c>
      <c r="D5602" s="12" t="inlineStr">
        <is>
          <t>L3 35 kV collector loop, segment 5 of 5 (GBT-4 to SWG-MY)</t>
        </is>
      </c>
      <c r="E5602" s="12" t="inlineStr">
        <is>
          <t>GBT-4</t>
        </is>
      </c>
      <c r="F5602" s="12" t="inlineStr">
        <is>
          <t>GBT-4: block GB-4 step-up 480 V : 34.5 kV, ~3 MVA pad-mount (on the 35</t>
        </is>
      </c>
      <c r="G5602" s="12" t="inlineStr">
        <is>
          <t>SWG-MY</t>
        </is>
      </c>
      <c r="H5602" s="12" t="inlineStr">
        <is>
          <t xml:space="preserve">SWG-MY: 35 kV switchgear lineup for the modular blocks (group breaker </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1</v>
      </c>
      <c r="O5602" s="12" t="n">
        <v>3</v>
      </c>
      <c r="P5602" s="12" t="n">
        <v>34500</v>
      </c>
      <c r="Q5602" s="12" t="n">
        <v>10000</v>
      </c>
      <c r="R5602" s="12" t="n">
        <v>167</v>
      </c>
      <c r="S5602" s="12" t="inlineStr">
        <is>
          <t>Duct bank</t>
        </is>
      </c>
      <c r="T5602" s="15" t="n">
        <v>181</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loop conductor 750 kcmil Al, 133 % (WORKING ASSUMPTION)</t>
        </is>
      </c>
      <c r="AA5602" s="12">
        <f>N5602*O5602</f>
        <v/>
      </c>
    </row>
    <row r="5603">
      <c r="A5603" s="12" t="inlineStr">
        <is>
          <t>I-MV-0083</t>
        </is>
      </c>
      <c r="B5603" s="12" t="inlineStr">
        <is>
          <t>I</t>
        </is>
      </c>
      <c r="C5603" s="12" t="inlineStr">
        <is>
          <t>Modular / portable power</t>
        </is>
      </c>
      <c r="D5603" s="12" t="inlineStr">
        <is>
          <t>L5 SWG-MY feeder to the data centre 34.5 kV switchgear BTM-SWGR, to the fence (scope owner TO VERIFY)</t>
        </is>
      </c>
      <c r="E5603" s="12" t="inlineStr">
        <is>
          <t>SWG-MY</t>
        </is>
      </c>
      <c r="F5603" s="12" t="inlineStr">
        <is>
          <t xml:space="preserve">SWG-MY: 35 kV switchgear lineup for the modular blocks (group breaker </t>
        </is>
      </c>
      <c r="G5603" s="12" t="inlineStr">
        <is>
          <t>SWG-MY</t>
        </is>
      </c>
      <c r="H5603" s="12" t="inlineStr">
        <is>
          <t xml:space="preserve">SWG-MY: 35 kV switchgear lineup for the modular blocks (group breaker </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1</v>
      </c>
      <c r="O5603" s="12" t="n">
        <v>3</v>
      </c>
      <c r="P5603" s="12" t="n">
        <v>34500</v>
      </c>
      <c r="Q5603" s="12" t="n">
        <v>10000</v>
      </c>
      <c r="R5603" s="12" t="n">
        <v>167</v>
      </c>
      <c r="S5603" s="12" t="inlineStr">
        <is>
          <t>Buried</t>
        </is>
      </c>
      <c r="T5603" s="15" t="n">
        <v>585</v>
      </c>
      <c r="U5603" s="15" t="n">
        <v>20</v>
      </c>
      <c r="V5603" s="15">
        <f>ROUNDUP((T5603+U5603+2*'Read Me'!$B$13)*(1+'Read Me'!$B$12),-1)</f>
        <v/>
      </c>
      <c r="W5603" s="15">
        <f>V5603*N5603*O5603</f>
        <v/>
      </c>
      <c r="X5603" s="12">
        <f>IF(LEFT(I5603,2)="MV",2*N5603*IF(L5603="1/C",O5603,1),0)</f>
        <v/>
      </c>
      <c r="Y5603" s="12">
        <f>IF(OR(LEFT(K5603,4)="LVAX",LEFT(K5603,6)="MV15AX",LEFT(K5603,4)="CTAX",LEFT(K5603,2)="W|"),2*N5603*O5603,0)</f>
        <v/>
      </c>
      <c r="Z5603" s="12" t="inlineStr">
        <is>
          <t>to the fence 585 ft; + ~120 ft beyond to BTM-SWGR (data-centre scope)</t>
        </is>
      </c>
      <c r="AA5603" s="12">
        <f>N5603*O5603</f>
        <v/>
      </c>
    </row>
    <row r="5604">
      <c r="A5604" s="12" t="inlineStr">
        <is>
          <t>I-MV-0084</t>
        </is>
      </c>
      <c r="B5604" s="12" t="inlineStr">
        <is>
          <t>I</t>
        </is>
      </c>
      <c r="C5604" s="12" t="inlineStr">
        <is>
          <t>Modular / portable power</t>
        </is>
      </c>
      <c r="D5604" s="12" t="inlineStr">
        <is>
          <t>TGF-GSU 34.5 kV collector feeder to SWG-PK (bus A)</t>
        </is>
      </c>
      <c r="E5604" s="12" t="inlineStr">
        <is>
          <t>TGF-GSU</t>
        </is>
      </c>
      <c r="F5604" s="12" t="inlineStr">
        <is>
          <t>TGF-GSU: 13.8 / 34.5 kV step-up, ~20 MVA (trailer fleet)</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MV35|1/C|500</t>
        </is>
      </c>
      <c r="L5604" s="12" t="inlineStr">
        <is>
          <t>1/C</t>
        </is>
      </c>
      <c r="M5604" s="12" t="inlineStr">
        <is>
          <t>500 kcmil</t>
        </is>
      </c>
      <c r="N5604" s="12" t="n">
        <v>1</v>
      </c>
      <c r="O5604" s="12" t="n">
        <v>3</v>
      </c>
      <c r="P5604" s="12" t="n">
        <v>34500</v>
      </c>
      <c r="Q5604" s="12" t="n">
        <v>15000</v>
      </c>
      <c r="R5604" s="12" t="n">
        <v>279</v>
      </c>
      <c r="S5604" s="12" t="inlineStr">
        <is>
          <t>Duct bank</t>
        </is>
      </c>
      <c r="T5604" s="15" t="n">
        <v>377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1 set per phase</t>
        </is>
      </c>
      <c r="AA5604" s="12">
        <f>N5604*O5604</f>
        <v/>
      </c>
    </row>
    <row r="5605">
      <c r="A5605" s="12" t="inlineStr">
        <is>
          <t>I-MV-0085</t>
        </is>
      </c>
      <c r="B5605" s="12" t="inlineStr">
        <is>
          <t>I</t>
        </is>
      </c>
      <c r="C5605" s="12" t="inlineStr">
        <is>
          <t>Modular / portable power</t>
        </is>
      </c>
      <c r="D5605" s="12" t="inlineStr">
        <is>
          <t>CGE-GSU 34.5 kV collector feeder to SWG-PK (bus A)</t>
        </is>
      </c>
      <c r="E5605" s="12" t="inlineStr">
        <is>
          <t>CGE-GSU</t>
        </is>
      </c>
      <c r="F5605" s="12" t="inlineStr">
        <is>
          <t>CGE-GSU: 13.8 / 34.5 kV step-up, ~20 MVA (containerized engines)</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1</v>
      </c>
      <c r="O5605" s="12" t="n">
        <v>3</v>
      </c>
      <c r="P5605" s="12" t="n">
        <v>34500</v>
      </c>
      <c r="Q5605" s="12" t="n">
        <v>17600</v>
      </c>
      <c r="R5605" s="12" t="n">
        <v>327</v>
      </c>
      <c r="S5605" s="12" t="inlineStr">
        <is>
          <t>Duct bank</t>
        </is>
      </c>
      <c r="T5605" s="15" t="n">
        <v>471</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1 set per phase</t>
        </is>
      </c>
      <c r="AA5605" s="12">
        <f>N5605*O5605</f>
        <v/>
      </c>
    </row>
    <row r="5606">
      <c r="A5606" s="12" t="inlineStr">
        <is>
          <t>I-MV-0086</t>
        </is>
      </c>
      <c r="B5606" s="12" t="inlineStr">
        <is>
          <t>I</t>
        </is>
      </c>
      <c r="C5606" s="12" t="inlineStr">
        <is>
          <t>Modular / portable power</t>
        </is>
      </c>
      <c r="D5606" s="12" t="inlineStr">
        <is>
          <t>PGS-TX2 34.5 kV collector feeder to SWG-PK (bus A)</t>
        </is>
      </c>
      <c r="E5606" s="12" t="inlineStr">
        <is>
          <t>PGS-TX2</t>
        </is>
      </c>
      <c r="F5606" s="12" t="inlineStr">
        <is>
          <t>PGS-TX2: 480 V : 34.5 kV, ~5 MVA loop-feed pad-mount (gensets 5-8)</t>
        </is>
      </c>
      <c r="G5606" s="12" t="inlineStr">
        <is>
          <t>SWG-PK</t>
        </is>
      </c>
      <c r="H5606" s="12" t="inlineStr">
        <is>
          <t>SWG-PK: 34.5 kV park collector switchgear (2 bus sections, tie; 8 feed</t>
        </is>
      </c>
      <c r="I5606" s="12" t="inlineStr">
        <is>
          <t>MV 35 kV</t>
        </is>
      </c>
      <c r="J5606" s="12" t="inlineStr">
        <is>
          <t>MV-105 35 kV 1/C Al, EPR 133%, 1/3 concentric neutral, LLDPE jacket</t>
        </is>
      </c>
      <c r="K5606" s="12" t="inlineStr">
        <is>
          <t>MV35|1/C|4/0</t>
        </is>
      </c>
      <c r="L5606" s="12" t="inlineStr">
        <is>
          <t>1/C</t>
        </is>
      </c>
      <c r="M5606" s="12" t="inlineStr">
        <is>
          <t>4/0</t>
        </is>
      </c>
      <c r="N5606" s="12" t="n">
        <v>1</v>
      </c>
      <c r="O5606" s="12" t="n">
        <v>3</v>
      </c>
      <c r="P5606" s="12" t="n">
        <v>34500</v>
      </c>
      <c r="Q5606" s="12" t="n">
        <v>8000</v>
      </c>
      <c r="R5606" s="12" t="n">
        <v>149</v>
      </c>
      <c r="S5606" s="12" t="inlineStr">
        <is>
          <t>Duct bank</t>
        </is>
      </c>
      <c r="T5606" s="15" t="n">
        <v>454</v>
      </c>
      <c r="U5606" s="15" t="n">
        <v>32</v>
      </c>
      <c r="V5606" s="15">
        <f>ROUNDUP((T5606+U5606+2*'Read Me'!$B$13)*(1+'Read Me'!$B$12),-1)</f>
        <v/>
      </c>
      <c r="W5606" s="15">
        <f>V5606*N5606*O5606</f>
        <v/>
      </c>
      <c r="X5606" s="12">
        <f>IF(LEFT(I5606,2)="MV",2*N5606*IF(L5606="1/C",O5606,1),0)</f>
        <v/>
      </c>
      <c r="Y5606" s="12">
        <f>IF(OR(LEFT(K5606,4)="LVAX",LEFT(K5606,6)="MV15AX",LEFT(K5606,4)="CTAX",LEFT(K5606,2)="W|"),2*N5606*O5606,0)</f>
        <v/>
      </c>
      <c r="Z5606" s="12" t="inlineStr">
        <is>
          <t>1 set per phase</t>
        </is>
      </c>
      <c r="AA5606" s="12">
        <f>N5606*O5606</f>
        <v/>
      </c>
    </row>
    <row r="5607">
      <c r="A5607" s="12" t="inlineStr">
        <is>
          <t>I-MV-0087</t>
        </is>
      </c>
      <c r="B5607" s="12" t="inlineStr">
        <is>
          <t>I</t>
        </is>
      </c>
      <c r="C5607" s="12" t="inlineStr">
        <is>
          <t>Modular / portable power</t>
        </is>
      </c>
      <c r="D5607" s="12" t="inlineStr">
        <is>
          <t>MTG-GSU 34.5 kV collector feeder to SWG-PK (bus B)</t>
        </is>
      </c>
      <c r="E5607" s="12" t="inlineStr">
        <is>
          <t>MTG-GSU</t>
        </is>
      </c>
      <c r="F5607" s="12" t="inlineStr">
        <is>
          <t>MTG-GSU: 13.8 / 34.5 kV step-up, ~40 MVA (mid-size turbines)</t>
        </is>
      </c>
      <c r="G5607" s="12" t="inlineStr">
        <is>
          <t>SWG-PK</t>
        </is>
      </c>
      <c r="H5607" s="12" t="inlineStr">
        <is>
          <t>SWG-PK: 34.5 kV park collector switchgear (2 bus sections, tie; 8 feed</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2</v>
      </c>
      <c r="O5607" s="12" t="n">
        <v>3</v>
      </c>
      <c r="P5607" s="12" t="n">
        <v>34500</v>
      </c>
      <c r="Q5607" s="12" t="n">
        <v>32000</v>
      </c>
      <c r="R5607" s="12" t="n">
        <v>595</v>
      </c>
      <c r="S5607" s="12" t="inlineStr">
        <is>
          <t>Duct bank</t>
        </is>
      </c>
      <c r="T5607" s="15" t="n">
        <v>189</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2 sets per phase</t>
        </is>
      </c>
      <c r="AA5607" s="12">
        <f>N5607*O5607</f>
        <v/>
      </c>
    </row>
    <row r="5608">
      <c r="A5608" s="12" t="inlineStr">
        <is>
          <t>I-MV-0088</t>
        </is>
      </c>
      <c r="B5608" s="12" t="inlineStr">
        <is>
          <t>I</t>
        </is>
      </c>
      <c r="C5608" s="12" t="inlineStr">
        <is>
          <t>Modular / portable power</t>
        </is>
      </c>
      <c r="D5608" s="12" t="inlineStr">
        <is>
          <t>PAD-GSU 34.5 kV collector feeder to SWG-PK (bus A)</t>
        </is>
      </c>
      <c r="E5608" s="12" t="inlineStr">
        <is>
          <t>PAD-GSU</t>
        </is>
      </c>
      <c r="F5608" s="12" t="inlineStr">
        <is>
          <t>PAD-GSU: 13.8 / 34.5 kV step-up, ~60 MVA (PAD-EH: TM-1, CHP site, MT-T</t>
        </is>
      </c>
      <c r="G5608" s="12" t="inlineStr">
        <is>
          <t>SWG-PK</t>
        </is>
      </c>
      <c r="H5608" s="12" t="inlineStr">
        <is>
          <t>SWG-PK: 34.5 kV park collector switchgear (2 bus sections, tie; 8 feed</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3</v>
      </c>
      <c r="O5608" s="12" t="n">
        <v>3</v>
      </c>
      <c r="P5608" s="12" t="n">
        <v>34500</v>
      </c>
      <c r="Q5608" s="12" t="n">
        <v>52000</v>
      </c>
      <c r="R5608" s="12" t="n">
        <v>967</v>
      </c>
      <c r="S5608" s="12" t="inlineStr">
        <is>
          <t>Duct bank</t>
        </is>
      </c>
      <c r="T5608" s="15" t="n">
        <v>447</v>
      </c>
      <c r="U5608" s="15" t="n">
        <v>32</v>
      </c>
      <c r="V5608" s="15">
        <f>ROUNDUP((T5608+U5608+2*'Read Me'!$B$13)*(1+'Read Me'!$B$12),-1)</f>
        <v/>
      </c>
      <c r="W5608" s="15">
        <f>V5608*N5608*O5608</f>
        <v/>
      </c>
      <c r="X5608" s="12">
        <f>IF(LEFT(I5608,2)="MV",2*N5608*IF(L5608="1/C",O5608,1),0)</f>
        <v/>
      </c>
      <c r="Y5608" s="12">
        <f>IF(OR(LEFT(K5608,4)="LVAX",LEFT(K5608,6)="MV15AX",LEFT(K5608,4)="CTAX",LEFT(K5608,2)="W|"),2*N5608*O5608,0)</f>
        <v/>
      </c>
      <c r="Z5608" s="12" t="inlineStr">
        <is>
          <t>3 sets per phase</t>
        </is>
      </c>
      <c r="AA5608" s="12">
        <f>N5608*O5608</f>
        <v/>
      </c>
    </row>
    <row r="5609">
      <c r="A5609" s="12" t="inlineStr">
        <is>
          <t>I-MV-0089</t>
        </is>
      </c>
      <c r="B5609" s="12" t="inlineStr">
        <is>
          <t>I</t>
        </is>
      </c>
      <c r="C5609" s="12" t="inlineStr">
        <is>
          <t>Modular / portable power</t>
        </is>
      </c>
      <c r="D5609" s="12" t="inlineStr">
        <is>
          <t>AX-GSU 34.5 kV collector feeder to SWG-PK (bus B)</t>
        </is>
      </c>
      <c r="E5609" s="12" t="inlineStr">
        <is>
          <t>AX-GSU</t>
        </is>
      </c>
      <c r="F5609" s="12" t="inlineStr">
        <is>
          <t>AX-GSU: 13.8 / 34.5 kV step-up, ~45 MVA (AX-1 unit step-up)</t>
        </is>
      </c>
      <c r="G5609" s="12" t="inlineStr">
        <is>
          <t>SWG-PK</t>
        </is>
      </c>
      <c r="H5609" s="12" t="inlineStr">
        <is>
          <t>SWG-PK: 34.5 kV park collector switchgear (2 bus sections, tie; 8 feed</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2</v>
      </c>
      <c r="O5609" s="12" t="n">
        <v>3</v>
      </c>
      <c r="P5609" s="12" t="n">
        <v>34500</v>
      </c>
      <c r="Q5609" s="12" t="n">
        <v>35000</v>
      </c>
      <c r="R5609" s="12" t="n">
        <v>651</v>
      </c>
      <c r="S5609" s="12" t="inlineStr">
        <is>
          <t>Duct bank</t>
        </is>
      </c>
      <c r="T5609" s="15" t="n">
        <v>257</v>
      </c>
      <c r="U5609" s="15" t="n">
        <v>32</v>
      </c>
      <c r="V5609" s="15">
        <f>ROUNDUP((T5609+U5609+2*'Read Me'!$B$13)*(1+'Read Me'!$B$12),-1)</f>
        <v/>
      </c>
      <c r="W5609" s="15">
        <f>V5609*N5609*O5609</f>
        <v/>
      </c>
      <c r="X5609" s="12">
        <f>IF(LEFT(I5609,2)="MV",2*N5609*IF(L5609="1/C",O5609,1),0)</f>
        <v/>
      </c>
      <c r="Y5609" s="12">
        <f>IF(OR(LEFT(K5609,4)="LVAX",LEFT(K5609,6)="MV15AX",LEFT(K5609,4)="CTAX",LEFT(K5609,2)="W|"),2*N5609*O5609,0)</f>
        <v/>
      </c>
      <c r="Z5609" s="12" t="inlineStr">
        <is>
          <t>2 sets per phase</t>
        </is>
      </c>
      <c r="AA5609" s="12">
        <f>N5609*O5609</f>
        <v/>
      </c>
    </row>
    <row r="5610">
      <c r="A5610" s="12" t="inlineStr">
        <is>
          <t>I-MV-0090</t>
        </is>
      </c>
      <c r="B5610" s="12" t="inlineStr">
        <is>
          <t>I</t>
        </is>
      </c>
      <c r="C5610" s="12" t="inlineStr">
        <is>
          <t>Modular / portable power</t>
        </is>
      </c>
      <c r="D5610" s="12" t="inlineStr">
        <is>
          <t>IG-GSU 34.5 kV collector feeder to SWG-PK (bus B)</t>
        </is>
      </c>
      <c r="E5610" s="12" t="inlineStr">
        <is>
          <t>IG-GSU</t>
        </is>
      </c>
      <c r="F5610" s="12" t="inlineStr">
        <is>
          <t>IG-GSU: 13.8 / 34.5 kV step-up, ~60 MVA (IG-1 unit step-up)</t>
        </is>
      </c>
      <c r="G5610" s="12" t="inlineStr">
        <is>
          <t>SWG-PK</t>
        </is>
      </c>
      <c r="H5610" s="12" t="inlineStr">
        <is>
          <t>SWG-PK: 34.5 kV park collector switchgear (2 bus sections, tie; 8 feed</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3</v>
      </c>
      <c r="O5610" s="12" t="n">
        <v>3</v>
      </c>
      <c r="P5610" s="12" t="n">
        <v>34500</v>
      </c>
      <c r="Q5610" s="12" t="n">
        <v>50000</v>
      </c>
      <c r="R5610" s="12" t="n">
        <v>930</v>
      </c>
      <c r="S5610" s="12" t="inlineStr">
        <is>
          <t>Duct bank</t>
        </is>
      </c>
      <c r="T5610" s="15" t="n">
        <v>126</v>
      </c>
      <c r="U5610" s="15" t="n">
        <v>32</v>
      </c>
      <c r="V5610" s="15">
        <f>ROUNDUP((T5610+U5610+2*'Read Me'!$B$13)*(1+'Read Me'!$B$12),-1)</f>
        <v/>
      </c>
      <c r="W5610" s="15">
        <f>V5610*N5610*O5610</f>
        <v/>
      </c>
      <c r="X5610" s="12">
        <f>IF(LEFT(I5610,2)="MV",2*N5610*IF(L5610="1/C",O5610,1),0)</f>
        <v/>
      </c>
      <c r="Y5610" s="12">
        <f>IF(OR(LEFT(K5610,4)="LVAX",LEFT(K5610,6)="MV15AX",LEFT(K5610,4)="CTAX",LEFT(K5610,2)="W|"),2*N5610*O5610,0)</f>
        <v/>
      </c>
      <c r="Z5610" s="12" t="inlineStr">
        <is>
          <t>3 sets per phase</t>
        </is>
      </c>
      <c r="AA5610" s="12">
        <f>N5610*O5610</f>
        <v/>
      </c>
    </row>
    <row r="5611">
      <c r="A5611" s="12" t="inlineStr">
        <is>
          <t>I-MV-0091</t>
        </is>
      </c>
      <c r="B5611" s="12" t="inlineStr">
        <is>
          <t>I</t>
        </is>
      </c>
      <c r="C5611" s="12" t="inlineStr">
        <is>
          <t>Modular / portable power</t>
        </is>
      </c>
      <c r="D5611" s="12" t="inlineStr">
        <is>
          <t>MOD-EH bus 1 main to T-MOD-1 34.5 kV</t>
        </is>
      </c>
      <c r="E5611" s="12" t="inlineStr">
        <is>
          <t>MOD-EH</t>
        </is>
      </c>
      <c r="F5611" s="12" t="inlineStr">
        <is>
          <t>MOD-EH: 34.5 kV modular collector e-house (2 bus sections + 13.8 kV st</t>
        </is>
      </c>
      <c r="G5611" s="12" t="inlineStr">
        <is>
          <t>T-MOD-1</t>
        </is>
      </c>
      <c r="H5611" s="12" t="inlineStr">
        <is>
          <t>T-MOD-1: 230 / 34.5 kV</t>
        </is>
      </c>
      <c r="I5611" s="12" t="inlineStr">
        <is>
          <t>MV 35 kV</t>
        </is>
      </c>
      <c r="J5611" s="12" t="inlineStr">
        <is>
          <t>MV-105 35 kV 1/C Al, EPR 133%, 1/3 concentric neutral, LLDPE jacket</t>
        </is>
      </c>
      <c r="K5611" s="12" t="inlineStr">
        <is>
          <t>MV35|1/C|1000</t>
        </is>
      </c>
      <c r="L5611" s="12" t="inlineStr">
        <is>
          <t>1/C</t>
        </is>
      </c>
      <c r="M5611" s="12" t="inlineStr">
        <is>
          <t>1000 kcmil</t>
        </is>
      </c>
      <c r="N5611" s="12" t="n">
        <v>6</v>
      </c>
      <c r="O5611" s="12" t="n">
        <v>3</v>
      </c>
      <c r="P5611" s="12" t="n">
        <v>34500</v>
      </c>
      <c r="Q5611" s="12" t="n">
        <v>123600</v>
      </c>
      <c r="R5611" s="12" t="n">
        <v>2298</v>
      </c>
      <c r="S5611" s="12" t="inlineStr">
        <is>
          <t>Duct bank</t>
        </is>
      </c>
      <c r="T5611" s="15" t="n">
        <v>50</v>
      </c>
      <c r="U5611" s="15" t="n">
        <v>20</v>
      </c>
      <c r="V5611" s="15">
        <f>ROUNDUP((T5611+U5611+2*'Read Me'!$B$13)*(1+'Read Me'!$B$12),-1)</f>
        <v/>
      </c>
      <c r="W5611" s="15">
        <f>V5611*N5611*O5611</f>
        <v/>
      </c>
      <c r="X5611" s="12">
        <f>IF(LEFT(I5611,2)="MV",2*N5611*IF(L5611="1/C",O5611,1),0)</f>
        <v/>
      </c>
      <c r="Y5611" s="12">
        <f>IF(OR(LEFT(K5611,4)="LVAX",LEFT(K5611,6)="MV15AX",LEFT(K5611,4)="CTAX",LEFT(K5611,2)="W|"),2*N5611*O5611,0)</f>
        <v/>
      </c>
      <c r="Z5611" s="12" t="inlineStr">
        <is>
          <t>6 sets per phase</t>
        </is>
      </c>
      <c r="AA5611" s="12">
        <f>N5611*O5611</f>
        <v/>
      </c>
    </row>
    <row r="5612">
      <c r="A5612" s="12" t="inlineStr">
        <is>
          <t>I-MV-0092</t>
        </is>
      </c>
      <c r="B5612" s="12" t="inlineStr">
        <is>
          <t>I</t>
        </is>
      </c>
      <c r="C5612" s="12" t="inlineStr">
        <is>
          <t>Modular / portable power</t>
        </is>
      </c>
      <c r="D5612" s="12" t="inlineStr">
        <is>
          <t>MOD-EH bus 2 main to T-MOD-2 34.5 kV</t>
        </is>
      </c>
      <c r="E5612" s="12" t="inlineStr">
        <is>
          <t>MOD-EH</t>
        </is>
      </c>
      <c r="F5612" s="12" t="inlineStr">
        <is>
          <t>MOD-EH: 34.5 kV modular collector e-house (2 bus sections + 13.8 kV st</t>
        </is>
      </c>
      <c r="G5612" s="12" t="inlineStr">
        <is>
          <t>T-MOD-2</t>
        </is>
      </c>
      <c r="H5612" s="12" t="inlineStr">
        <is>
          <t>T-MOD-2: 230 / 34.5 kV</t>
        </is>
      </c>
      <c r="I5612" s="12" t="inlineStr">
        <is>
          <t>MV 35 kV</t>
        </is>
      </c>
      <c r="J5612" s="12" t="inlineStr">
        <is>
          <t>MV-105 35 kV 1/C Al, EPR 133%, 1/3 concentric neutral, LLDPE jacket</t>
        </is>
      </c>
      <c r="K5612" s="12" t="inlineStr">
        <is>
          <t>MV35|1/C|1000</t>
        </is>
      </c>
      <c r="L5612" s="12" t="inlineStr">
        <is>
          <t>1/C</t>
        </is>
      </c>
      <c r="M5612" s="12" t="inlineStr">
        <is>
          <t>1000 kcmil</t>
        </is>
      </c>
      <c r="N5612" s="12" t="n">
        <v>6</v>
      </c>
      <c r="O5612" s="12" t="n">
        <v>3</v>
      </c>
      <c r="P5612" s="12" t="n">
        <v>34500</v>
      </c>
      <c r="Q5612" s="12" t="n">
        <v>123600</v>
      </c>
      <c r="R5612" s="12" t="n">
        <v>2298</v>
      </c>
      <c r="S5612" s="12" t="inlineStr">
        <is>
          <t>Duct bank</t>
        </is>
      </c>
      <c r="T5612" s="15" t="n">
        <v>153</v>
      </c>
      <c r="U5612" s="15" t="n">
        <v>20</v>
      </c>
      <c r="V5612" s="15">
        <f>ROUNDUP((T5612+U5612+2*'Read Me'!$B$13)*(1+'Read Me'!$B$12),-1)</f>
        <v/>
      </c>
      <c r="W5612" s="15">
        <f>V5612*N5612*O5612</f>
        <v/>
      </c>
      <c r="X5612" s="12">
        <f>IF(LEFT(I5612,2)="MV",2*N5612*IF(L5612="1/C",O5612,1),0)</f>
        <v/>
      </c>
      <c r="Y5612" s="12">
        <f>IF(OR(LEFT(K5612,4)="LVAX",LEFT(K5612,6)="MV15AX",LEFT(K5612,4)="CTAX",LEFT(K5612,2)="W|"),2*N5612*O5612,0)</f>
        <v/>
      </c>
      <c r="Z5612" s="12" t="inlineStr">
        <is>
          <t>6 sets per phase</t>
        </is>
      </c>
      <c r="AA5612" s="12">
        <f>N5612*O5612</f>
        <v/>
      </c>
    </row>
    <row r="5613">
      <c r="A5613" s="12" t="inlineStr">
        <is>
          <t>I-MV-0093</t>
        </is>
      </c>
      <c r="B5613" s="12" t="inlineStr">
        <is>
          <t>I</t>
        </is>
      </c>
      <c r="C5613" s="12" t="inlineStr">
        <is>
          <t>Modular / portable power</t>
        </is>
      </c>
      <c r="D5613" s="12" t="inlineStr">
        <is>
          <t>SWG-PK bus A main to T-MOD-3 LV winding 1</t>
        </is>
      </c>
      <c r="E5613" s="12" t="inlineStr">
        <is>
          <t>SWG-PK</t>
        </is>
      </c>
      <c r="F5613" s="12" t="inlineStr">
        <is>
          <t>SWG-PK: 34.5 kV park collector switchgear (2 bus sections, tie; 8 feed</t>
        </is>
      </c>
      <c r="G5613" s="12" t="inlineStr">
        <is>
          <t>T-MOD-3</t>
        </is>
      </c>
      <c r="H5613" s="12" t="inlineStr">
        <is>
          <t>T-MOD-3: 230 / 34.5 / 34.5 kV, ~250 MVA three-winding (power park coll</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5</v>
      </c>
      <c r="O5613" s="12" t="n">
        <v>3</v>
      </c>
      <c r="P5613" s="12" t="n">
        <v>34500</v>
      </c>
      <c r="Q5613" s="12" t="n">
        <v>92600</v>
      </c>
      <c r="R5613" s="12" t="n">
        <v>1722</v>
      </c>
      <c r="S5613" s="12" t="inlineStr">
        <is>
          <t>Duct bank</t>
        </is>
      </c>
      <c r="T5613" s="15" t="n">
        <v>22</v>
      </c>
      <c r="U5613" s="15" t="n">
        <v>58</v>
      </c>
      <c r="V5613" s="15">
        <f>ROUNDUP((T5613+U5613+2*'Read Me'!$B$13)*(1+'Read Me'!$B$12),-1)</f>
        <v/>
      </c>
      <c r="W5613" s="15">
        <f>V5613*N5613*O5613</f>
        <v/>
      </c>
      <c r="X5613" s="12">
        <f>IF(LEFT(I5613,2)="MV",2*N5613*IF(L5613="1/C",O5613,1),0)</f>
        <v/>
      </c>
      <c r="Y5613" s="12">
        <f>IF(OR(LEFT(K5613,4)="LVAX",LEFT(K5613,6)="MV15AX",LEFT(K5613,4)="CTAX",LEFT(K5613,2)="W|"),2*N5613*O5613,0)</f>
        <v/>
      </c>
      <c r="Z5613" s="12" t="inlineStr">
        <is>
          <t>5 sets per phase</t>
        </is>
      </c>
      <c r="AA5613" s="12">
        <f>N5613*O5613</f>
        <v/>
      </c>
    </row>
    <row r="5614">
      <c r="A5614" s="12" t="inlineStr">
        <is>
          <t>I-MV-0094</t>
        </is>
      </c>
      <c r="B5614" s="12" t="inlineStr">
        <is>
          <t>I</t>
        </is>
      </c>
      <c r="C5614" s="12" t="inlineStr">
        <is>
          <t>Modular / portable power</t>
        </is>
      </c>
      <c r="D5614" s="12" t="inlineStr">
        <is>
          <t>SWG-PK bus B main to T-MOD-3 LV winding 2</t>
        </is>
      </c>
      <c r="E5614" s="12" t="inlineStr">
        <is>
          <t>SWG-PK</t>
        </is>
      </c>
      <c r="F5614" s="12" t="inlineStr">
        <is>
          <t>SWG-PK: 34.5 kV park collector switchgear (2 bus sections, tie; 8 feed</t>
        </is>
      </c>
      <c r="G5614" s="12" t="inlineStr">
        <is>
          <t>T-MOD-3</t>
        </is>
      </c>
      <c r="H5614" s="12" t="inlineStr">
        <is>
          <t>T-MOD-3: 230 / 34.5 / 34.5 kV, ~250 MVA three-winding (power park coll</t>
        </is>
      </c>
      <c r="I5614" s="12" t="inlineStr">
        <is>
          <t>MV 35 kV</t>
        </is>
      </c>
      <c r="J5614" s="12" t="inlineStr">
        <is>
          <t>MV-105 35 kV 1/C Al, EPR 133%, 1/3 concentric neutral, LLDPE jacket</t>
        </is>
      </c>
      <c r="K5614" s="12" t="inlineStr">
        <is>
          <t>MV35|1/C|1000</t>
        </is>
      </c>
      <c r="L5614" s="12" t="inlineStr">
        <is>
          <t>1/C</t>
        </is>
      </c>
      <c r="M5614" s="12" t="inlineStr">
        <is>
          <t>1000 kcmil</t>
        </is>
      </c>
      <c r="N5614" s="12" t="n">
        <v>6</v>
      </c>
      <c r="O5614" s="12" t="n">
        <v>3</v>
      </c>
      <c r="P5614" s="12" t="n">
        <v>34500</v>
      </c>
      <c r="Q5614" s="12" t="n">
        <v>117000</v>
      </c>
      <c r="R5614" s="12" t="n">
        <v>2176</v>
      </c>
      <c r="S5614" s="12" t="inlineStr">
        <is>
          <t>Duct bank</t>
        </is>
      </c>
      <c r="T5614" s="15" t="n">
        <v>22</v>
      </c>
      <c r="U5614" s="15" t="n">
        <v>58</v>
      </c>
      <c r="V5614" s="15">
        <f>ROUNDUP((T5614+U5614+2*'Read Me'!$B$13)*(1+'Read Me'!$B$12),-1)</f>
        <v/>
      </c>
      <c r="W5614" s="15">
        <f>V5614*N5614*O5614</f>
        <v/>
      </c>
      <c r="X5614" s="12">
        <f>IF(LEFT(I5614,2)="MV",2*N5614*IF(L5614="1/C",O5614,1),0)</f>
        <v/>
      </c>
      <c r="Y5614" s="12">
        <f>IF(OR(LEFT(K5614,4)="LVAX",LEFT(K5614,6)="MV15AX",LEFT(K5614,4)="CTAX",LEFT(K5614,2)="W|"),2*N5614*O5614,0)</f>
        <v/>
      </c>
      <c r="Z5614" s="12" t="inlineStr">
        <is>
          <t>6 sets per phase</t>
        </is>
      </c>
      <c r="AA5614" s="12">
        <f>N5614*O5614</f>
        <v/>
      </c>
    </row>
    <row r="5615">
      <c r="A5615" s="12" t="inlineStr">
        <is>
          <t>I-PP-0001</t>
        </is>
      </c>
      <c r="B5615" s="12" t="inlineStr">
        <is>
          <t>I</t>
        </is>
      </c>
      <c r="C5615" s="12" t="inlineStr">
        <is>
          <t>Modular / portable power</t>
        </is>
      </c>
      <c r="D5615" s="12" t="inlineStr">
        <is>
          <t>PIC to commissioning load bank</t>
        </is>
      </c>
      <c r="E5615" s="12" t="inlineStr">
        <is>
          <t>PIC</t>
        </is>
      </c>
      <c r="F5615" s="12" t="inlineStr">
        <is>
          <t>PIC: portable input cabinet</t>
        </is>
      </c>
      <c r="G5615" s="12" t="inlineStr">
        <is>
          <t>LB</t>
        </is>
      </c>
      <c r="H5615" s="12" t="inlineStr">
        <is>
          <t>LB: commissioning load bank (trailer)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2000</v>
      </c>
      <c r="R5615" s="12" t="n">
        <v>93</v>
      </c>
      <c r="S5615" s="12" t="inlineStr">
        <is>
          <t>Surface</t>
        </is>
      </c>
      <c r="T5615" s="15" t="n">
        <v>27</v>
      </c>
      <c r="U5615" s="15" t="n">
        <v>53</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t>
        </is>
      </c>
      <c r="AA5615" s="12">
        <f>N5615*O5615</f>
        <v/>
      </c>
    </row>
    <row r="5616">
      <c r="A5616" s="12" t="inlineStr">
        <is>
          <t>I-PP-0002</t>
        </is>
      </c>
      <c r="B5616" s="12" t="inlineStr">
        <is>
          <t>I</t>
        </is>
      </c>
      <c r="C5616" s="12" t="inlineStr">
        <is>
          <t>Modular / portable power</t>
        </is>
      </c>
      <c r="D5616" s="12" t="inlineStr">
        <is>
          <t>PIC to PAD-EH (MOB-1 trailer genset onto the pad bus)</t>
        </is>
      </c>
      <c r="E5616" s="12" t="inlineStr">
        <is>
          <t>PIC</t>
        </is>
      </c>
      <c r="F5616" s="12" t="inlineStr">
        <is>
          <t>PIC: portable input cabinet</t>
        </is>
      </c>
      <c r="G5616" s="12" t="inlineStr">
        <is>
          <t>PAD-EH</t>
        </is>
      </c>
      <c r="H5616" s="12" t="inlineStr">
        <is>
          <t>PAD-EH 13.8 kV switchgear e-house</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2000</v>
      </c>
      <c r="R5616" s="12" t="n">
        <v>93</v>
      </c>
      <c r="S5616" s="12" t="inlineStr">
        <is>
          <t>Duct bank</t>
        </is>
      </c>
      <c r="T5616" s="15" t="n">
        <v>182</v>
      </c>
      <c r="U5616" s="15" t="n">
        <v>32</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t>
        </is>
      </c>
      <c r="AA5616" s="12">
        <f>N5616*O5616</f>
        <v/>
      </c>
    </row>
    <row r="5617">
      <c r="A5617" s="12" t="inlineStr">
        <is>
          <t>I-PP-0003</t>
        </is>
      </c>
      <c r="B5617" s="12" t="inlineStr">
        <is>
          <t>I</t>
        </is>
      </c>
      <c r="C5617" s="12" t="inlineStr">
        <is>
          <t>Modular / portable power</t>
        </is>
      </c>
      <c r="D5617" s="12" t="inlineStr">
        <is>
          <t>MOB-1 13.8 kV to PIC through the C-L01 ramp</t>
        </is>
      </c>
      <c r="E5617" s="12" t="inlineStr">
        <is>
          <t>MOB-1</t>
        </is>
      </c>
      <c r="F5617" s="12" t="inlineStr">
        <is>
          <t>MOB-1: trailer genset</t>
        </is>
      </c>
      <c r="G5617" s="12" t="inlineStr">
        <is>
          <t>PIC</t>
        </is>
      </c>
      <c r="H5617" s="12" t="inlineStr">
        <is>
          <t>PIC: portable input cabinet</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2000</v>
      </c>
      <c r="R5617" s="12" t="n">
        <v>93</v>
      </c>
      <c r="S5617" s="12" t="inlineStr">
        <is>
          <t>Surface</t>
        </is>
      </c>
      <c r="T5617" s="15" t="n">
        <v>104</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t>
        </is>
      </c>
      <c r="AA5617" s="12">
        <f>N5617*O5617</f>
        <v/>
      </c>
    </row>
    <row r="5618">
      <c r="A5618" s="12" t="inlineStr">
        <is>
          <t>I-PP-0004</t>
        </is>
      </c>
      <c r="B5618" s="12" t="inlineStr">
        <is>
          <t>I</t>
        </is>
      </c>
      <c r="C5618" s="12" t="inlineStr">
        <is>
          <t>Modular / portable power</t>
        </is>
      </c>
      <c r="D5618" s="12" t="inlineStr">
        <is>
          <t>TGF-1 13.8 kV leads to the switchgear trailer</t>
        </is>
      </c>
      <c r="E5618" s="12" t="inlineStr">
        <is>
          <t>TGF-1</t>
        </is>
      </c>
      <c r="F5618" s="12" t="inlineStr">
        <is>
          <t xml:space="preserve">TGF-1: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92</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I-PP-0005</t>
        </is>
      </c>
      <c r="B5619" s="12" t="inlineStr">
        <is>
          <t>I</t>
        </is>
      </c>
      <c r="C5619" s="12" t="inlineStr">
        <is>
          <t>Modular / portable power</t>
        </is>
      </c>
      <c r="D5619" s="12" t="inlineStr">
        <is>
          <t>TGF-2 13.8 kV leads to the switchgear trailer</t>
        </is>
      </c>
      <c r="E5619" s="12" t="inlineStr">
        <is>
          <t>TGF-2</t>
        </is>
      </c>
      <c r="F5619" s="12" t="inlineStr">
        <is>
          <t xml:space="preserve">TGF-2: trailer-mounted gas-engine generator ~2.5 MW, 13.8 kV (trailer </t>
        </is>
      </c>
      <c r="G5619" s="12" t="inlineStr">
        <is>
          <t>TGF-SWG</t>
        </is>
      </c>
      <c r="H5619" s="12" t="inlineStr">
        <is>
          <t>TGF-SWG: mobile 13.8 kV switchgear trailer (fleet collector)</t>
        </is>
      </c>
      <c r="I5619" s="12" t="inlineStr">
        <is>
          <t>Portable MV</t>
        </is>
      </c>
      <c r="J5619" s="12" t="inlineStr">
        <is>
          <t>Type SHD-GC 15 kV 3/C Cu, 2 grounds + GC, yellow CPE (portable)</t>
        </is>
      </c>
      <c r="K5619" s="12" t="inlineStr">
        <is>
          <t>SHD|3/C|2</t>
        </is>
      </c>
      <c r="L5619" s="12" t="inlineStr">
        <is>
          <t>3/C</t>
        </is>
      </c>
      <c r="M5619" s="12" t="inlineStr">
        <is>
          <t>2</t>
        </is>
      </c>
      <c r="N5619" s="12" t="n">
        <v>1</v>
      </c>
      <c r="O5619" s="12" t="n">
        <v>1</v>
      </c>
      <c r="P5619" s="12" t="n">
        <v>13800</v>
      </c>
      <c r="Q5619" s="12" t="n">
        <v>2500</v>
      </c>
      <c r="R5619" s="12" t="n">
        <v>105</v>
      </c>
      <c r="S5619" s="12" t="inlineStr">
        <is>
          <t>Surface</t>
        </is>
      </c>
      <c r="T5619" s="15" t="n">
        <v>78</v>
      </c>
      <c r="U5619" s="15" t="n">
        <v>27</v>
      </c>
      <c r="V5619" s="15">
        <f>ROUNDUP((T5619+U5619+2*'Read Me'!$B$13)*(1+'Read Me'!$B$12),-1)</f>
        <v/>
      </c>
      <c r="W5619" s="15">
        <f>V5619*N5619*O5619</f>
        <v/>
      </c>
      <c r="X5619" s="12">
        <f>IF(LEFT(I5619,2)="MV",2*N5619*IF(L5619="1/C",O5619,1),0)</f>
        <v/>
      </c>
      <c r="Y5619" s="12">
        <f>IF(OR(LEFT(K5619,4)="LVAX",LEFT(K5619,6)="MV15AX",LEFT(K5619,4)="CTAX",LEFT(K5619,2)="W|"),2*N5619*O5619,0)</f>
        <v/>
      </c>
      <c r="Z5619" s="12" t="inlineStr">
        <is>
          <t>portable, on grade, cam-lock</t>
        </is>
      </c>
      <c r="AA5619" s="12">
        <f>N5619*O5619</f>
        <v/>
      </c>
    </row>
    <row r="5620">
      <c r="A5620" s="12" t="inlineStr">
        <is>
          <t>I-PP-0006</t>
        </is>
      </c>
      <c r="B5620" s="12" t="inlineStr">
        <is>
          <t>I</t>
        </is>
      </c>
      <c r="C5620" s="12" t="inlineStr">
        <is>
          <t>Modular / portable power</t>
        </is>
      </c>
      <c r="D5620" s="12" t="inlineStr">
        <is>
          <t>TGF-3 13.8 kV leads to the switchgear trailer</t>
        </is>
      </c>
      <c r="E5620" s="12" t="inlineStr">
        <is>
          <t>TGF-3</t>
        </is>
      </c>
      <c r="F5620" s="12" t="inlineStr">
        <is>
          <t xml:space="preserve">TGF-3: trailer-mounted gas-engine generator ~2.5 MW, 13.8 kV (trailer </t>
        </is>
      </c>
      <c r="G5620" s="12" t="inlineStr">
        <is>
          <t>TGF-SWG</t>
        </is>
      </c>
      <c r="H5620" s="12" t="inlineStr">
        <is>
          <t>TGF-SWG: mobile 13.8 kV switchgear trailer (fleet collector)</t>
        </is>
      </c>
      <c r="I5620" s="12" t="inlineStr">
        <is>
          <t>Portable MV</t>
        </is>
      </c>
      <c r="J5620" s="12" t="inlineStr">
        <is>
          <t>Type SHD-GC 15 kV 3/C Cu, 2 grounds + GC, yellow CPE (portable)</t>
        </is>
      </c>
      <c r="K5620" s="12" t="inlineStr">
        <is>
          <t>SHD|3/C|2</t>
        </is>
      </c>
      <c r="L5620" s="12" t="inlineStr">
        <is>
          <t>3/C</t>
        </is>
      </c>
      <c r="M5620" s="12" t="inlineStr">
        <is>
          <t>2</t>
        </is>
      </c>
      <c r="N5620" s="12" t="n">
        <v>1</v>
      </c>
      <c r="O5620" s="12" t="n">
        <v>1</v>
      </c>
      <c r="P5620" s="12" t="n">
        <v>13800</v>
      </c>
      <c r="Q5620" s="12" t="n">
        <v>2500</v>
      </c>
      <c r="R5620" s="12" t="n">
        <v>105</v>
      </c>
      <c r="S5620" s="12" t="inlineStr">
        <is>
          <t>Surface</t>
        </is>
      </c>
      <c r="T5620" s="15" t="n">
        <v>64</v>
      </c>
      <c r="U5620" s="15" t="n">
        <v>27</v>
      </c>
      <c r="V5620" s="15">
        <f>ROUNDUP((T5620+U5620+2*'Read Me'!$B$13)*(1+'Read Me'!$B$12),-1)</f>
        <v/>
      </c>
      <c r="W5620" s="15">
        <f>V5620*N5620*O5620</f>
        <v/>
      </c>
      <c r="X5620" s="12">
        <f>IF(LEFT(I5620,2)="MV",2*N5620*IF(L5620="1/C",O5620,1),0)</f>
        <v/>
      </c>
      <c r="Y5620" s="12">
        <f>IF(OR(LEFT(K5620,4)="LVAX",LEFT(K5620,6)="MV15AX",LEFT(K5620,4)="CTAX",LEFT(K5620,2)="W|"),2*N5620*O5620,0)</f>
        <v/>
      </c>
      <c r="Z5620" s="12" t="inlineStr">
        <is>
          <t>portable, on grade, cam-lock</t>
        </is>
      </c>
      <c r="AA5620" s="12">
        <f>N5620*O5620</f>
        <v/>
      </c>
    </row>
    <row r="5621">
      <c r="A5621" s="12" t="inlineStr">
        <is>
          <t>I-PP-0007</t>
        </is>
      </c>
      <c r="B5621" s="12" t="inlineStr">
        <is>
          <t>I</t>
        </is>
      </c>
      <c r="C5621" s="12" t="inlineStr">
        <is>
          <t>Modular / portable power</t>
        </is>
      </c>
      <c r="D5621" s="12" t="inlineStr">
        <is>
          <t>TGF-4 13.8 kV leads to the switchgear trailer</t>
        </is>
      </c>
      <c r="E5621" s="12" t="inlineStr">
        <is>
          <t>TGF-4</t>
        </is>
      </c>
      <c r="F5621" s="12" t="inlineStr">
        <is>
          <t xml:space="preserve">TGF-4: trailer-mounted gas-engine generator ~2.5 MW, 13.8 kV (trailer </t>
        </is>
      </c>
      <c r="G5621" s="12" t="inlineStr">
        <is>
          <t>TGF-SWG</t>
        </is>
      </c>
      <c r="H5621" s="12" t="inlineStr">
        <is>
          <t>TGF-SWG: mobile 13.8 kV switchgear trailer (fleet collector)</t>
        </is>
      </c>
      <c r="I5621" s="12" t="inlineStr">
        <is>
          <t>Portable MV</t>
        </is>
      </c>
      <c r="J5621" s="12" t="inlineStr">
        <is>
          <t>Type SHD-GC 15 kV 3/C Cu, 2 grounds + GC, yellow CPE (portable)</t>
        </is>
      </c>
      <c r="K5621" s="12" t="inlineStr">
        <is>
          <t>SHD|3/C|2</t>
        </is>
      </c>
      <c r="L5621" s="12" t="inlineStr">
        <is>
          <t>3/C</t>
        </is>
      </c>
      <c r="M5621" s="12" t="inlineStr">
        <is>
          <t>2</t>
        </is>
      </c>
      <c r="N5621" s="12" t="n">
        <v>1</v>
      </c>
      <c r="O5621" s="12" t="n">
        <v>1</v>
      </c>
      <c r="P5621" s="12" t="n">
        <v>13800</v>
      </c>
      <c r="Q5621" s="12" t="n">
        <v>2500</v>
      </c>
      <c r="R5621" s="12" t="n">
        <v>105</v>
      </c>
      <c r="S5621" s="12" t="inlineStr">
        <is>
          <t>Surface</t>
        </is>
      </c>
      <c r="T5621" s="15" t="n">
        <v>50</v>
      </c>
      <c r="U5621" s="15" t="n">
        <v>27</v>
      </c>
      <c r="V5621" s="15">
        <f>ROUNDUP((T5621+U5621+2*'Read Me'!$B$13)*(1+'Read Me'!$B$12),-1)</f>
        <v/>
      </c>
      <c r="W5621" s="15">
        <f>V5621*N5621*O5621</f>
        <v/>
      </c>
      <c r="X5621" s="12">
        <f>IF(LEFT(I5621,2)="MV",2*N5621*IF(L5621="1/C",O5621,1),0)</f>
        <v/>
      </c>
      <c r="Y5621" s="12">
        <f>IF(OR(LEFT(K5621,4)="LVAX",LEFT(K5621,6)="MV15AX",LEFT(K5621,4)="CTAX",LEFT(K5621,2)="W|"),2*N5621*O5621,0)</f>
        <v/>
      </c>
      <c r="Z5621" s="12" t="inlineStr">
        <is>
          <t>portable, on grade, cam-lock</t>
        </is>
      </c>
      <c r="AA5621" s="12">
        <f>N5621*O5621</f>
        <v/>
      </c>
    </row>
    <row r="5622">
      <c r="A5622" s="12" t="inlineStr">
        <is>
          <t>I-PP-0008</t>
        </is>
      </c>
      <c r="B5622" s="12" t="inlineStr">
        <is>
          <t>I</t>
        </is>
      </c>
      <c r="C5622" s="12" t="inlineStr">
        <is>
          <t>Modular / portable power</t>
        </is>
      </c>
      <c r="D5622" s="12" t="inlineStr">
        <is>
          <t>TGF-5 13.8 kV leads to the switchgear trailer</t>
        </is>
      </c>
      <c r="E5622" s="12" t="inlineStr">
        <is>
          <t>TGF-5</t>
        </is>
      </c>
      <c r="F5622" s="12" t="inlineStr">
        <is>
          <t xml:space="preserve">TGF-5: trailer-mounted gas-engine generator ~2.5 MW, 13.8 kV (trailer </t>
        </is>
      </c>
      <c r="G5622" s="12" t="inlineStr">
        <is>
          <t>TGF-SWG</t>
        </is>
      </c>
      <c r="H5622" s="12" t="inlineStr">
        <is>
          <t>TGF-SWG: mobile 13.8 kV switchgear trailer (fleet collector)</t>
        </is>
      </c>
      <c r="I5622" s="12" t="inlineStr">
        <is>
          <t>Portable MV</t>
        </is>
      </c>
      <c r="J5622" s="12" t="inlineStr">
        <is>
          <t>Type SHD-GC 15 kV 3/C Cu, 2 grounds + GC, yellow CPE (portable)</t>
        </is>
      </c>
      <c r="K5622" s="12" t="inlineStr">
        <is>
          <t>SHD|3/C|2</t>
        </is>
      </c>
      <c r="L5622" s="12" t="inlineStr">
        <is>
          <t>3/C</t>
        </is>
      </c>
      <c r="M5622" s="12" t="inlineStr">
        <is>
          <t>2</t>
        </is>
      </c>
      <c r="N5622" s="12" t="n">
        <v>1</v>
      </c>
      <c r="O5622" s="12" t="n">
        <v>1</v>
      </c>
      <c r="P5622" s="12" t="n">
        <v>13800</v>
      </c>
      <c r="Q5622" s="12" t="n">
        <v>2500</v>
      </c>
      <c r="R5622" s="12" t="n">
        <v>105</v>
      </c>
      <c r="S5622" s="12" t="inlineStr">
        <is>
          <t>Surface</t>
        </is>
      </c>
      <c r="T5622" s="15" t="n">
        <v>38</v>
      </c>
      <c r="U5622" s="15" t="n">
        <v>27</v>
      </c>
      <c r="V5622" s="15">
        <f>ROUNDUP((T5622+U5622+2*'Read Me'!$B$13)*(1+'Read Me'!$B$12),-1)</f>
        <v/>
      </c>
      <c r="W5622" s="15">
        <f>V5622*N5622*O5622</f>
        <v/>
      </c>
      <c r="X5622" s="12">
        <f>IF(LEFT(I5622,2)="MV",2*N5622*IF(L5622="1/C",O5622,1),0)</f>
        <v/>
      </c>
      <c r="Y5622" s="12">
        <f>IF(OR(LEFT(K5622,4)="LVAX",LEFT(K5622,6)="MV15AX",LEFT(K5622,4)="CTAX",LEFT(K5622,2)="W|"),2*N5622*O5622,0)</f>
        <v/>
      </c>
      <c r="Z5622" s="12" t="inlineStr">
        <is>
          <t>portable, on grade, cam-lock</t>
        </is>
      </c>
      <c r="AA5622" s="12">
        <f>N5622*O5622</f>
        <v/>
      </c>
    </row>
    <row r="5623">
      <c r="A5623" s="12" t="inlineStr">
        <is>
          <t>I-PP-0009</t>
        </is>
      </c>
      <c r="B5623" s="12" t="inlineStr">
        <is>
          <t>I</t>
        </is>
      </c>
      <c r="C5623" s="12" t="inlineStr">
        <is>
          <t>Modular / portable power</t>
        </is>
      </c>
      <c r="D5623" s="12" t="inlineStr">
        <is>
          <t>TGF-6 13.8 kV leads to the switchgear trailer</t>
        </is>
      </c>
      <c r="E5623" s="12" t="inlineStr">
        <is>
          <t>TGF-6</t>
        </is>
      </c>
      <c r="F5623" s="12" t="inlineStr">
        <is>
          <t xml:space="preserve">TGF-6: trailer-mounted gas-engine generator ~2.5 MW, 13.8 kV (trailer </t>
        </is>
      </c>
      <c r="G5623" s="12" t="inlineStr">
        <is>
          <t>TGF-SWG</t>
        </is>
      </c>
      <c r="H5623" s="12" t="inlineStr">
        <is>
          <t>TGF-SWG: mobile 13.8 kV switchgear trailer (fleet collector)</t>
        </is>
      </c>
      <c r="I5623" s="12" t="inlineStr">
        <is>
          <t>Portable MV</t>
        </is>
      </c>
      <c r="J5623" s="12" t="inlineStr">
        <is>
          <t>Type SHD-GC 15 kV 3/C Cu, 2 grounds + GC, yellow CPE (portable)</t>
        </is>
      </c>
      <c r="K5623" s="12" t="inlineStr">
        <is>
          <t>SHD|3/C|2</t>
        </is>
      </c>
      <c r="L5623" s="12" t="inlineStr">
        <is>
          <t>3/C</t>
        </is>
      </c>
      <c r="M5623" s="12" t="inlineStr">
        <is>
          <t>2</t>
        </is>
      </c>
      <c r="N5623" s="12" t="n">
        <v>1</v>
      </c>
      <c r="O5623" s="12" t="n">
        <v>1</v>
      </c>
      <c r="P5623" s="12" t="n">
        <v>13800</v>
      </c>
      <c r="Q5623" s="12" t="n">
        <v>2500</v>
      </c>
      <c r="R5623" s="12" t="n">
        <v>105</v>
      </c>
      <c r="S5623" s="12" t="inlineStr">
        <is>
          <t>Surface</t>
        </is>
      </c>
      <c r="T5623" s="15" t="n">
        <v>26</v>
      </c>
      <c r="U5623" s="15" t="n">
        <v>27</v>
      </c>
      <c r="V5623" s="15">
        <f>ROUNDUP((T5623+U5623+2*'Read Me'!$B$13)*(1+'Read Me'!$B$12),-1)</f>
        <v/>
      </c>
      <c r="W5623" s="15">
        <f>V5623*N5623*O5623</f>
        <v/>
      </c>
      <c r="X5623" s="12">
        <f>IF(LEFT(I5623,2)="MV",2*N5623*IF(L5623="1/C",O5623,1),0)</f>
        <v/>
      </c>
      <c r="Y5623" s="12">
        <f>IF(OR(LEFT(K5623,4)="LVAX",LEFT(K5623,6)="MV15AX",LEFT(K5623,4)="CTAX",LEFT(K5623,2)="W|"),2*N5623*O5623,0)</f>
        <v/>
      </c>
      <c r="Z5623" s="12" t="inlineStr">
        <is>
          <t>portable, on grade, cam-lock</t>
        </is>
      </c>
      <c r="AA5623" s="12">
        <f>N5623*O5623</f>
        <v/>
      </c>
    </row>
    <row r="5624">
      <c r="A5624" s="12" t="inlineStr">
        <is>
          <t>J-C-0001</t>
        </is>
      </c>
      <c r="B5624" s="12" t="inlineStr">
        <is>
          <t>J</t>
        </is>
      </c>
      <c r="C5624" s="12" t="inlineStr">
        <is>
          <t>GT inlet chilling</t>
        </is>
      </c>
      <c r="D5624" s="12" t="inlineStr">
        <is>
          <t>Motor 1 of 4: control / local station</t>
        </is>
      </c>
      <c r="E5624" s="12" t="inlineStr"/>
      <c r="F5624" s="12" t="inlineStr">
        <is>
          <t>Inlet-chilling e-house / transformer</t>
        </is>
      </c>
      <c r="G5624" s="12" t="inlineStr"/>
      <c r="H5624" s="12" t="inlineStr">
        <is>
          <t>CHW pumps</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579</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J-C-0002</t>
        </is>
      </c>
      <c r="B5625" s="12" t="inlineStr">
        <is>
          <t>J</t>
        </is>
      </c>
      <c r="C5625" s="12" t="inlineStr">
        <is>
          <t>GT inlet chilling</t>
        </is>
      </c>
      <c r="D5625" s="12" t="inlineStr">
        <is>
          <t>Motor 2 of 4: control / local station</t>
        </is>
      </c>
      <c r="E5625" s="12" t="inlineStr"/>
      <c r="F5625" s="12" t="inlineStr">
        <is>
          <t>Inlet-chilling e-house / transformer</t>
        </is>
      </c>
      <c r="G5625" s="12" t="inlineStr"/>
      <c r="H5625" s="12" t="inlineStr">
        <is>
          <t>CHW pumps</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579</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J-C-0003</t>
        </is>
      </c>
      <c r="B5626" s="12" t="inlineStr">
        <is>
          <t>J</t>
        </is>
      </c>
      <c r="C5626" s="12" t="inlineStr">
        <is>
          <t>GT inlet chilling</t>
        </is>
      </c>
      <c r="D5626" s="12" t="inlineStr">
        <is>
          <t>Motor 3 of 4: control / local station</t>
        </is>
      </c>
      <c r="E5626" s="12" t="inlineStr"/>
      <c r="F5626" s="12" t="inlineStr">
        <is>
          <t>Inlet-chilling e-house / transformer</t>
        </is>
      </c>
      <c r="G5626" s="12" t="inlineStr"/>
      <c r="H5626" s="12" t="inlineStr">
        <is>
          <t>CHW pumps</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579</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J-C-0004</t>
        </is>
      </c>
      <c r="B5627" s="12" t="inlineStr">
        <is>
          <t>J</t>
        </is>
      </c>
      <c r="C5627" s="12" t="inlineStr">
        <is>
          <t>GT inlet chilling</t>
        </is>
      </c>
      <c r="D5627" s="12" t="inlineStr">
        <is>
          <t>Motor 4 of 4: control / local station</t>
        </is>
      </c>
      <c r="E5627" s="12" t="inlineStr"/>
      <c r="F5627" s="12" t="inlineStr">
        <is>
          <t>Inlet-chilling e-house / transformer</t>
        </is>
      </c>
      <c r="G5627" s="12" t="inlineStr"/>
      <c r="H5627" s="12" t="inlineStr">
        <is>
          <t>CHW pumps</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579</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J-C-0005</t>
        </is>
      </c>
      <c r="B5628" s="12" t="inlineStr">
        <is>
          <t>J</t>
        </is>
      </c>
      <c r="C5628" s="12" t="inlineStr">
        <is>
          <t>GT inlet chilling</t>
        </is>
      </c>
      <c r="D5628" s="12" t="inlineStr">
        <is>
          <t>Motor 1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J-C-0006</t>
        </is>
      </c>
      <c r="B5629" s="12" t="inlineStr">
        <is>
          <t>J</t>
        </is>
      </c>
      <c r="C5629" s="12" t="inlineStr">
        <is>
          <t>GT inlet chilling</t>
        </is>
      </c>
      <c r="D5629" s="12" t="inlineStr">
        <is>
          <t>Motor 2 of 6: control / local station</t>
        </is>
      </c>
      <c r="E5629" s="12" t="inlineStr"/>
      <c r="F5629" s="12" t="inlineStr">
        <is>
          <t>Inlet-chilling e-house / transformer</t>
        </is>
      </c>
      <c r="G5629" s="12" t="inlineStr"/>
      <c r="H5629" s="12" t="inlineStr">
        <is>
          <t>Chillers x6 (water-cooled)</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Duct bank</t>
        </is>
      </c>
      <c r="T5629" s="15" t="n">
        <v>10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J-C-0007</t>
        </is>
      </c>
      <c r="B5630" s="12" t="inlineStr">
        <is>
          <t>J</t>
        </is>
      </c>
      <c r="C5630" s="12" t="inlineStr">
        <is>
          <t>GT inlet chilling</t>
        </is>
      </c>
      <c r="D5630" s="12" t="inlineStr">
        <is>
          <t>Motor 3 of 6: control / local station</t>
        </is>
      </c>
      <c r="E5630" s="12" t="inlineStr"/>
      <c r="F5630" s="12" t="inlineStr">
        <is>
          <t>Inlet-chilling e-house / transformer</t>
        </is>
      </c>
      <c r="G5630" s="12" t="inlineStr"/>
      <c r="H5630" s="12" t="inlineStr">
        <is>
          <t>Chillers x6 (water-cooled)</t>
        </is>
      </c>
      <c r="I5630" s="12" t="inlineStr">
        <is>
          <t>Control</t>
        </is>
      </c>
      <c r="J5630" s="12" t="inlineStr">
        <is>
          <t>Control cable 600 V Type TC-ER, Cu #14 AWG, PVC jacket</t>
        </is>
      </c>
      <c r="K5630" s="12" t="inlineStr">
        <is>
          <t>CT|7/C|14</t>
        </is>
      </c>
      <c r="L5630" s="12" t="inlineStr">
        <is>
          <t>7/C</t>
        </is>
      </c>
      <c r="M5630" s="12" t="inlineStr">
        <is>
          <t>14</t>
        </is>
      </c>
      <c r="N5630" s="12" t="n">
        <v>1</v>
      </c>
      <c r="O5630" s="12" t="n">
        <v>1</v>
      </c>
      <c r="P5630" s="12" t="n"/>
      <c r="Q5630" s="12" t="n"/>
      <c r="R5630" s="12" t="n"/>
      <c r="S5630" s="12" t="inlineStr">
        <is>
          <t>Duct bank</t>
        </is>
      </c>
      <c r="T5630" s="15" t="n">
        <v>10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J-C-0008</t>
        </is>
      </c>
      <c r="B5631" s="12" t="inlineStr">
        <is>
          <t>J</t>
        </is>
      </c>
      <c r="C5631" s="12" t="inlineStr">
        <is>
          <t>GT inlet chilling</t>
        </is>
      </c>
      <c r="D5631" s="12" t="inlineStr">
        <is>
          <t>Motor 4 of 6: control / local station</t>
        </is>
      </c>
      <c r="E5631" s="12" t="inlineStr"/>
      <c r="F5631" s="12" t="inlineStr">
        <is>
          <t>Inlet-chilling e-house / transformer</t>
        </is>
      </c>
      <c r="G5631" s="12" t="inlineStr"/>
      <c r="H5631" s="12" t="inlineStr">
        <is>
          <t>Chillers x6 (water-cooled)</t>
        </is>
      </c>
      <c r="I5631" s="12" t="inlineStr">
        <is>
          <t>Control</t>
        </is>
      </c>
      <c r="J5631" s="12" t="inlineStr">
        <is>
          <t>Control cable 600 V Type TC-ER, Cu #14 AWG, PVC jacket</t>
        </is>
      </c>
      <c r="K5631" s="12" t="inlineStr">
        <is>
          <t>CT|7/C|14</t>
        </is>
      </c>
      <c r="L5631" s="12" t="inlineStr">
        <is>
          <t>7/C</t>
        </is>
      </c>
      <c r="M5631" s="12" t="inlineStr">
        <is>
          <t>14</t>
        </is>
      </c>
      <c r="N5631" s="12" t="n">
        <v>1</v>
      </c>
      <c r="O5631" s="12" t="n">
        <v>1</v>
      </c>
      <c r="P5631" s="12" t="n"/>
      <c r="Q5631" s="12" t="n"/>
      <c r="R5631" s="12" t="n"/>
      <c r="S5631" s="12" t="inlineStr">
        <is>
          <t>Duct bank</t>
        </is>
      </c>
      <c r="T5631" s="15" t="n">
        <v>10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J-C-0009</t>
        </is>
      </c>
      <c r="B5632" s="12" t="inlineStr">
        <is>
          <t>J</t>
        </is>
      </c>
      <c r="C5632" s="12" t="inlineStr">
        <is>
          <t>GT inlet chilling</t>
        </is>
      </c>
      <c r="D5632" s="12" t="inlineStr">
        <is>
          <t>Motor 5 of 6: control / local station</t>
        </is>
      </c>
      <c r="E5632" s="12" t="inlineStr"/>
      <c r="F5632" s="12" t="inlineStr">
        <is>
          <t>Inlet-chilling e-house / transformer</t>
        </is>
      </c>
      <c r="G5632" s="12" t="inlineStr"/>
      <c r="H5632" s="12" t="inlineStr">
        <is>
          <t>Chillers x6 (water-cooled)</t>
        </is>
      </c>
      <c r="I5632" s="12" t="inlineStr">
        <is>
          <t>Control</t>
        </is>
      </c>
      <c r="J5632" s="12" t="inlineStr">
        <is>
          <t>Control cable 600 V Type TC-ER, Cu #14 AWG, PVC jacket</t>
        </is>
      </c>
      <c r="K5632" s="12" t="inlineStr">
        <is>
          <t>CT|7/C|14</t>
        </is>
      </c>
      <c r="L5632" s="12" t="inlineStr">
        <is>
          <t>7/C</t>
        </is>
      </c>
      <c r="M5632" s="12" t="inlineStr">
        <is>
          <t>14</t>
        </is>
      </c>
      <c r="N5632" s="12" t="n">
        <v>1</v>
      </c>
      <c r="O5632" s="12" t="n">
        <v>1</v>
      </c>
      <c r="P5632" s="12" t="n"/>
      <c r="Q5632" s="12" t="n"/>
      <c r="R5632" s="12" t="n"/>
      <c r="S5632" s="12" t="inlineStr">
        <is>
          <t>Duct bank</t>
        </is>
      </c>
      <c r="T5632" s="15" t="n">
        <v>10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J-C-0010</t>
        </is>
      </c>
      <c r="B5633" s="12" t="inlineStr">
        <is>
          <t>J</t>
        </is>
      </c>
      <c r="C5633" s="12" t="inlineStr">
        <is>
          <t>GT inlet chilling</t>
        </is>
      </c>
      <c r="D5633" s="12" t="inlineStr">
        <is>
          <t>Motor 6 of 6: control / local station</t>
        </is>
      </c>
      <c r="E5633" s="12" t="inlineStr"/>
      <c r="F5633" s="12" t="inlineStr">
        <is>
          <t>Inlet-chilling e-house / transformer</t>
        </is>
      </c>
      <c r="G5633" s="12" t="inlineStr"/>
      <c r="H5633" s="12" t="inlineStr">
        <is>
          <t>Chillers x6 (water-cooled)</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10</v>
      </c>
      <c r="U5633" s="15" t="n">
        <v>32</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J-C-0011</t>
        </is>
      </c>
      <c r="B5634" s="12" t="inlineStr">
        <is>
          <t>J</t>
        </is>
      </c>
      <c r="C5634" s="12" t="inlineStr">
        <is>
          <t>GT inlet chilling</t>
        </is>
      </c>
      <c r="D5634" s="12" t="inlineStr">
        <is>
          <t>Control</t>
        </is>
      </c>
      <c r="E5634" s="12" t="inlineStr"/>
      <c r="F5634" s="12" t="inlineStr">
        <is>
          <t>Inlet-chilling e-house / transformer</t>
        </is>
      </c>
      <c r="G5634" s="12" t="inlineStr"/>
      <c r="H5634" s="12" t="inlineStr">
        <is>
          <t>Inlet-chilling e-house / transformer</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Tray</t>
        </is>
      </c>
      <c r="T5634" s="15" t="n">
        <v>0</v>
      </c>
      <c r="U5634" s="15" t="n">
        <v>32</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J-C-0012</t>
        </is>
      </c>
      <c r="B5635" s="12" t="inlineStr">
        <is>
          <t>J</t>
        </is>
      </c>
      <c r="C5635" s="12" t="inlineStr">
        <is>
          <t>GT inlet chilling</t>
        </is>
      </c>
      <c r="D5635" s="12" t="inlineStr">
        <is>
          <t>Control</t>
        </is>
      </c>
      <c r="E5635" s="12" t="inlineStr"/>
      <c r="F5635" s="12" t="inlineStr">
        <is>
          <t>Inlet-chilling e-house / transformer</t>
        </is>
      </c>
      <c r="G5635" s="12" t="inlineStr"/>
      <c r="H5635" s="12" t="inlineStr">
        <is>
          <t>Inlet-chilling e-house / transformer</t>
        </is>
      </c>
      <c r="I5635" s="12" t="inlineStr">
        <is>
          <t>Control</t>
        </is>
      </c>
      <c r="J5635" s="12" t="inlineStr">
        <is>
          <t>Control cable 600 V Type TC-ER, Cu #14 AWG, PVC jacket</t>
        </is>
      </c>
      <c r="K5635" s="12" t="inlineStr">
        <is>
          <t>CT|12/C|14</t>
        </is>
      </c>
      <c r="L5635" s="12" t="inlineStr">
        <is>
          <t>12/C</t>
        </is>
      </c>
      <c r="M5635" s="12" t="inlineStr">
        <is>
          <t>14</t>
        </is>
      </c>
      <c r="N5635" s="12" t="n">
        <v>1</v>
      </c>
      <c r="O5635" s="12" t="n">
        <v>1</v>
      </c>
      <c r="P5635" s="12" t="n"/>
      <c r="Q5635" s="12" t="n"/>
      <c r="R5635" s="12" t="n"/>
      <c r="S5635" s="12" t="inlineStr">
        <is>
          <t>Tray</t>
        </is>
      </c>
      <c r="T5635" s="15" t="n">
        <v>0</v>
      </c>
      <c r="U5635" s="15" t="n">
        <v>32</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J-C-0013</t>
        </is>
      </c>
      <c r="B5636" s="12" t="inlineStr">
        <is>
          <t>J</t>
        </is>
      </c>
      <c r="C5636" s="12" t="inlineStr">
        <is>
          <t>GT inlet chilling</t>
        </is>
      </c>
      <c r="D5636" s="12" t="inlineStr">
        <is>
          <t>CT / VT</t>
        </is>
      </c>
      <c r="E5636" s="12" t="inlineStr"/>
      <c r="F5636" s="12" t="inlineStr">
        <is>
          <t>Inlet-chilling e-house / transformer</t>
        </is>
      </c>
      <c r="G5636" s="12" t="inlineStr"/>
      <c r="H5636" s="12" t="inlineStr">
        <is>
          <t>Inlet-chilling e-house / transformer</t>
        </is>
      </c>
      <c r="I5636" s="12" t="inlineStr">
        <is>
          <t>Control</t>
        </is>
      </c>
      <c r="J5636" s="12" t="inlineStr">
        <is>
          <t>Control cable 600 V Type TC-ER, Cu #10 AWG (CT / VT circuits)</t>
        </is>
      </c>
      <c r="K5636" s="12" t="inlineStr">
        <is>
          <t>CTCT|4/C|10</t>
        </is>
      </c>
      <c r="L5636" s="12" t="inlineStr">
        <is>
          <t>4/C</t>
        </is>
      </c>
      <c r="M5636" s="12" t="inlineStr">
        <is>
          <t>10</t>
        </is>
      </c>
      <c r="N5636" s="12" t="n">
        <v>1</v>
      </c>
      <c r="O5636" s="12" t="n">
        <v>1</v>
      </c>
      <c r="P5636" s="12" t="n"/>
      <c r="Q5636" s="12" t="n"/>
      <c r="R5636" s="12" t="n"/>
      <c r="S5636" s="12" t="inlineStr">
        <is>
          <t>Tray</t>
        </is>
      </c>
      <c r="T5636" s="15" t="n">
        <v>0</v>
      </c>
      <c r="U5636" s="15" t="n">
        <v>32</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J-C-0014</t>
        </is>
      </c>
      <c r="B5637" s="12" t="inlineStr">
        <is>
          <t>J</t>
        </is>
      </c>
      <c r="C5637" s="12" t="inlineStr">
        <is>
          <t>GT inlet chilling</t>
        </is>
      </c>
      <c r="D5637" s="12" t="inlineStr">
        <is>
          <t>CT / VT</t>
        </is>
      </c>
      <c r="E5637" s="12" t="inlineStr"/>
      <c r="F5637" s="12" t="inlineStr">
        <is>
          <t>Inlet-chilling e-house / transformer</t>
        </is>
      </c>
      <c r="G5637" s="12" t="inlineStr"/>
      <c r="H5637" s="12" t="inlineStr">
        <is>
          <t>Inlet-chilling e-house / transformer</t>
        </is>
      </c>
      <c r="I5637" s="12" t="inlineStr">
        <is>
          <t>Control</t>
        </is>
      </c>
      <c r="J5637" s="12" t="inlineStr">
        <is>
          <t>Control cable 600 V Type TC-ER, Cu #10 AWG (CT / VT circuits)</t>
        </is>
      </c>
      <c r="K5637" s="12" t="inlineStr">
        <is>
          <t>CTCT|4/C|10</t>
        </is>
      </c>
      <c r="L5637" s="12" t="inlineStr">
        <is>
          <t>4/C</t>
        </is>
      </c>
      <c r="M5637" s="12" t="inlineStr">
        <is>
          <t>10</t>
        </is>
      </c>
      <c r="N5637" s="12" t="n">
        <v>1</v>
      </c>
      <c r="O5637" s="12" t="n">
        <v>1</v>
      </c>
      <c r="P5637" s="12" t="n"/>
      <c r="Q5637" s="12" t="n"/>
      <c r="R5637" s="12" t="n"/>
      <c r="S5637" s="12" t="inlineStr">
        <is>
          <t>Tray</t>
        </is>
      </c>
      <c r="T5637" s="15" t="n">
        <v>0</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J-C-0015</t>
        </is>
      </c>
      <c r="B5638" s="12" t="inlineStr">
        <is>
          <t>J</t>
        </is>
      </c>
      <c r="C5638" s="12" t="inlineStr">
        <is>
          <t>GT inlet chilling</t>
        </is>
      </c>
      <c r="D5638" s="12" t="inlineStr">
        <is>
          <t>Motor 1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J-C-0016</t>
        </is>
      </c>
      <c r="B5639" s="12" t="inlineStr">
        <is>
          <t>J</t>
        </is>
      </c>
      <c r="C5639" s="12" t="inlineStr">
        <is>
          <t>GT inlet chilling</t>
        </is>
      </c>
      <c r="D5639" s="12" t="inlineStr">
        <is>
          <t>Motor 2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J-C-0017</t>
        </is>
      </c>
      <c r="B5640" s="12" t="inlineStr">
        <is>
          <t>J</t>
        </is>
      </c>
      <c r="C5640" s="12" t="inlineStr">
        <is>
          <t>GT inlet chilling</t>
        </is>
      </c>
      <c r="D5640" s="12" t="inlineStr">
        <is>
          <t>Motor 3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J-C-0018</t>
        </is>
      </c>
      <c r="B5641" s="12" t="inlineStr">
        <is>
          <t>J</t>
        </is>
      </c>
      <c r="C5641" s="12" t="inlineStr">
        <is>
          <t>GT inlet chilling</t>
        </is>
      </c>
      <c r="D5641" s="12" t="inlineStr">
        <is>
          <t>Motor 4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J-C-0019</t>
        </is>
      </c>
      <c r="B5642" s="12" t="inlineStr">
        <is>
          <t>J</t>
        </is>
      </c>
      <c r="C5642" s="12" t="inlineStr">
        <is>
          <t>GT inlet chilling</t>
        </is>
      </c>
      <c r="D5642" s="12" t="inlineStr">
        <is>
          <t>Motor 5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J-C-0020</t>
        </is>
      </c>
      <c r="B5643" s="12" t="inlineStr">
        <is>
          <t>J</t>
        </is>
      </c>
      <c r="C5643" s="12" t="inlineStr">
        <is>
          <t>GT inlet chilling</t>
        </is>
      </c>
      <c r="D5643" s="12" t="inlineStr">
        <is>
          <t>Motor 6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J-C-0021</t>
        </is>
      </c>
      <c r="B5644" s="12" t="inlineStr">
        <is>
          <t>J</t>
        </is>
      </c>
      <c r="C5644" s="12" t="inlineStr">
        <is>
          <t>GT inlet chilling</t>
        </is>
      </c>
      <c r="D5644" s="12" t="inlineStr">
        <is>
          <t>Motor 7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J-C-0022</t>
        </is>
      </c>
      <c r="B5645" s="12" t="inlineStr">
        <is>
          <t>J</t>
        </is>
      </c>
      <c r="C5645" s="12" t="inlineStr">
        <is>
          <t>GT inlet chilling</t>
        </is>
      </c>
      <c r="D5645" s="12" t="inlineStr">
        <is>
          <t>Motor 8 of 12: control / local station</t>
        </is>
      </c>
      <c r="E5645" s="12" t="inlineStr"/>
      <c r="F5645" s="12" t="inlineStr">
        <is>
          <t>Inlet-chilling e-house / transformer</t>
        </is>
      </c>
      <c r="G5645" s="12" t="inlineStr"/>
      <c r="H5645" s="12" t="inlineStr">
        <is>
          <t>Inlet-chilling tower (12 cells): chiller heat rejection</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478</v>
      </c>
      <c r="U5645" s="15" t="n">
        <v>38</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J-C-0023</t>
        </is>
      </c>
      <c r="B5646" s="12" t="inlineStr">
        <is>
          <t>J</t>
        </is>
      </c>
      <c r="C5646" s="12" t="inlineStr">
        <is>
          <t>GT inlet chilling</t>
        </is>
      </c>
      <c r="D5646" s="12" t="inlineStr">
        <is>
          <t>Motor 9 of 12: control / local station</t>
        </is>
      </c>
      <c r="E5646" s="12" t="inlineStr"/>
      <c r="F5646" s="12" t="inlineStr">
        <is>
          <t>Inlet-chilling e-house / transformer</t>
        </is>
      </c>
      <c r="G5646" s="12" t="inlineStr"/>
      <c r="H5646" s="12" t="inlineStr">
        <is>
          <t>Inlet-chilling tower (12 cells): chiller heat rejection</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478</v>
      </c>
      <c r="U5646" s="15" t="n">
        <v>38</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J-C-0024</t>
        </is>
      </c>
      <c r="B5647" s="12" t="inlineStr">
        <is>
          <t>J</t>
        </is>
      </c>
      <c r="C5647" s="12" t="inlineStr">
        <is>
          <t>GT inlet chilling</t>
        </is>
      </c>
      <c r="D5647" s="12" t="inlineStr">
        <is>
          <t>Motor 10 of 12: control / local station</t>
        </is>
      </c>
      <c r="E5647" s="12" t="inlineStr"/>
      <c r="F5647" s="12" t="inlineStr">
        <is>
          <t>Inlet-chilling e-house / transformer</t>
        </is>
      </c>
      <c r="G5647" s="12" t="inlineStr"/>
      <c r="H5647" s="12" t="inlineStr">
        <is>
          <t>Inlet-chilling tower (12 cells): chiller heat rejection</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478</v>
      </c>
      <c r="U5647" s="15" t="n">
        <v>38</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J-C-0025</t>
        </is>
      </c>
      <c r="B5648" s="12" t="inlineStr">
        <is>
          <t>J</t>
        </is>
      </c>
      <c r="C5648" s="12" t="inlineStr">
        <is>
          <t>GT inlet chilling</t>
        </is>
      </c>
      <c r="D5648" s="12" t="inlineStr">
        <is>
          <t>Motor 11 of 12: control / local station</t>
        </is>
      </c>
      <c r="E5648" s="12" t="inlineStr"/>
      <c r="F5648" s="12" t="inlineStr">
        <is>
          <t>Inlet-chilling e-house / transformer</t>
        </is>
      </c>
      <c r="G5648" s="12" t="inlineStr"/>
      <c r="H5648" s="12" t="inlineStr">
        <is>
          <t>Inlet-chilling tower (12 cells): chiller heat rejection</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478</v>
      </c>
      <c r="U5648" s="15" t="n">
        <v>38</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J-C-0026</t>
        </is>
      </c>
      <c r="B5649" s="12" t="inlineStr">
        <is>
          <t>J</t>
        </is>
      </c>
      <c r="C5649" s="12" t="inlineStr">
        <is>
          <t>GT inlet chilling</t>
        </is>
      </c>
      <c r="D5649" s="12" t="inlineStr">
        <is>
          <t>Motor 12 of 12: control / local station</t>
        </is>
      </c>
      <c r="E5649" s="12" t="inlineStr"/>
      <c r="F5649" s="12" t="inlineStr">
        <is>
          <t>Inlet-chilling e-house / transformer</t>
        </is>
      </c>
      <c r="G5649" s="12" t="inlineStr"/>
      <c r="H5649" s="12" t="inlineStr">
        <is>
          <t>Inlet-chilling tower (12 cells): chiller heat rejection</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478</v>
      </c>
      <c r="U5649" s="15" t="n">
        <v>38</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J-I-0001</t>
        </is>
      </c>
      <c r="B5650" s="12" t="inlineStr">
        <is>
          <t>J</t>
        </is>
      </c>
      <c r="C5650" s="12" t="inlineStr">
        <is>
          <t>GT inlet chilling</t>
        </is>
      </c>
      <c r="D5650" s="12" t="inlineStr">
        <is>
          <t>Analog instrument to JB JB-CHW pumps-AI01: 12 x 1 pr (field cables)</t>
        </is>
      </c>
      <c r="E5650" s="12" t="inlineStr"/>
      <c r="F5650" s="12" t="inlineStr">
        <is>
          <t>CHW pumps</t>
        </is>
      </c>
      <c r="G5650" s="12" t="inlineStr">
        <is>
          <t>JB-CHW pumps-AI01</t>
        </is>
      </c>
      <c r="H5650" s="12" t="inlineStr">
        <is>
          <t>CHW pumps</t>
        </is>
      </c>
      <c r="I5650" s="12" t="inlineStr">
        <is>
          <t>Instrumentation</t>
        </is>
      </c>
      <c r="J5650" s="12" t="inlineStr">
        <is>
          <t>Instrumentation PLTC / TC-ER 300 V, #18 twisted shielded pairs, overall shield</t>
        </is>
      </c>
      <c r="K5650" s="12" t="inlineStr">
        <is>
          <t>PLTC|1 pr|16</t>
        </is>
      </c>
      <c r="L5650" s="12" t="inlineStr">
        <is>
          <t>1 pr</t>
        </is>
      </c>
      <c r="M5650" s="12" t="inlineStr">
        <is>
          <t>16</t>
        </is>
      </c>
      <c r="N5650" s="12" t="n">
        <v>12</v>
      </c>
      <c r="O5650" s="12" t="n">
        <v>1</v>
      </c>
      <c r="P5650" s="12" t="n"/>
      <c r="Q5650" s="12" t="n"/>
      <c r="R5650" s="12" t="n"/>
      <c r="S5650" s="12" t="inlineStr">
        <is>
          <t>Tray / conduit</t>
        </is>
      </c>
      <c r="T5650" s="15" t="n">
        <v>92</v>
      </c>
      <c r="U5650" s="15" t="n">
        <v>10</v>
      </c>
      <c r="V5650" s="15">
        <f>ROUNDUP((T5650+U5650+2*'Read Me'!$B$13)*(1+'Read Me'!$B$12),-1)</f>
        <v/>
      </c>
      <c r="W5650" s="15">
        <f>V5650*N5650*O5650</f>
        <v/>
      </c>
      <c r="X5650" s="12">
        <f>IF(LEFT(I5650,2)="MV",2*N5650*IF(L5650="1/C",O5650,1),0)</f>
        <v/>
      </c>
      <c r="Y5650" s="12">
        <f>IF(OR(LEFT(K5650,4)="LVAX",LEFT(K5650,6)="MV15AX",LEFT(K5650,4)="CTAX",LEFT(K5650,2)="W|"),2*N5650*O5650,0)</f>
        <v/>
      </c>
      <c r="Z5650" s="12" t="inlineStr">
        <is>
          <t>device-to-JB field wiring, one cable per device</t>
        </is>
      </c>
      <c r="AA5650" s="12">
        <f>N5650*O5650</f>
        <v/>
      </c>
    </row>
    <row r="5651">
      <c r="A5651" s="12" t="inlineStr">
        <is>
          <t>J-I-0002</t>
        </is>
      </c>
      <c r="B5651" s="12" t="inlineStr">
        <is>
          <t>J</t>
        </is>
      </c>
      <c r="C5651" s="12" t="inlineStr">
        <is>
          <t>GT inlet chilling</t>
        </is>
      </c>
      <c r="D5651" s="12" t="inlineStr">
        <is>
          <t>Home run JB-CHW pumps-AI01 to the control / marshalling room</t>
        </is>
      </c>
      <c r="E5651" s="12" t="inlineStr"/>
      <c r="F5651" s="12" t="inlineStr">
        <is>
          <t>Inlet-chilling e-house / transformer</t>
        </is>
      </c>
      <c r="G5651" s="12" t="inlineStr">
        <is>
          <t>JB-CHW pumps-AI01</t>
        </is>
      </c>
      <c r="H5651" s="12" t="inlineStr">
        <is>
          <t>CHW pumps</t>
        </is>
      </c>
      <c r="I5651" s="12" t="inlineStr">
        <is>
          <t>Instrumentation</t>
        </is>
      </c>
      <c r="J5651" s="12" t="inlineStr">
        <is>
          <t>Instrumentation PLTC / TC-ER 300 V, #18 twisted shielded pairs, overall shield</t>
        </is>
      </c>
      <c r="K5651" s="12" t="inlineStr">
        <is>
          <t>PLTC|24 pr|18</t>
        </is>
      </c>
      <c r="L5651" s="12" t="inlineStr">
        <is>
          <t>24 pr</t>
        </is>
      </c>
      <c r="M5651" s="12" t="inlineStr">
        <is>
          <t>18</t>
        </is>
      </c>
      <c r="N5651" s="12" t="n">
        <v>1</v>
      </c>
      <c r="O5651" s="12" t="n">
        <v>1</v>
      </c>
      <c r="P5651" s="12" t="n"/>
      <c r="Q5651" s="12" t="n"/>
      <c r="R5651" s="12" t="n"/>
      <c r="S5651" s="12" t="inlineStr">
        <is>
          <t>Duct bank</t>
        </is>
      </c>
      <c r="T5651" s="15" t="n">
        <v>579</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J-I-0003</t>
        </is>
      </c>
      <c r="B5652" s="12" t="inlineStr">
        <is>
          <t>J</t>
        </is>
      </c>
      <c r="C5652" s="12" t="inlineStr">
        <is>
          <t>GT inlet chilling</t>
        </is>
      </c>
      <c r="D5652" s="12" t="inlineStr">
        <is>
          <t>Discrete device to JB JB-CHW pumps-DI01: 12 x 1 pr (field cables)</t>
        </is>
      </c>
      <c r="E5652" s="12" t="inlineStr"/>
      <c r="F5652" s="12" t="inlineStr">
        <is>
          <t>CHW pumps</t>
        </is>
      </c>
      <c r="G5652" s="12" t="inlineStr">
        <is>
          <t>JB-CHW pumps-DI01</t>
        </is>
      </c>
      <c r="H5652" s="12" t="inlineStr">
        <is>
          <t>CHW pumps</t>
        </is>
      </c>
      <c r="I5652" s="12" t="inlineStr">
        <is>
          <t>Instrumentation</t>
        </is>
      </c>
      <c r="J5652" s="12" t="inlineStr">
        <is>
          <t>Instrumentation PLTC / TC-ER 300 V, #18 twisted shielded pairs, overall shield</t>
        </is>
      </c>
      <c r="K5652" s="12" t="inlineStr">
        <is>
          <t>PLTC|1 pr|16</t>
        </is>
      </c>
      <c r="L5652" s="12" t="inlineStr">
        <is>
          <t>1 pr</t>
        </is>
      </c>
      <c r="M5652" s="12" t="inlineStr">
        <is>
          <t>16</t>
        </is>
      </c>
      <c r="N5652" s="12" t="n">
        <v>12</v>
      </c>
      <c r="O5652" s="12" t="n">
        <v>1</v>
      </c>
      <c r="P5652" s="12" t="n"/>
      <c r="Q5652" s="12" t="n"/>
      <c r="R5652" s="12" t="n"/>
      <c r="S5652" s="12" t="inlineStr">
        <is>
          <t>Tray / conduit</t>
        </is>
      </c>
      <c r="T5652" s="15" t="n">
        <v>92</v>
      </c>
      <c r="U5652" s="15" t="n">
        <v>10</v>
      </c>
      <c r="V5652" s="15">
        <f>ROUNDUP((T5652+U5652+2*'Read Me'!$B$13)*(1+'Read Me'!$B$12),-1)</f>
        <v/>
      </c>
      <c r="W5652" s="15">
        <f>V5652*N5652*O5652</f>
        <v/>
      </c>
      <c r="X5652" s="12">
        <f>IF(LEFT(I5652,2)="MV",2*N5652*IF(L5652="1/C",O5652,1),0)</f>
        <v/>
      </c>
      <c r="Y5652" s="12">
        <f>IF(OR(LEFT(K5652,4)="LVAX",LEFT(K5652,6)="MV15AX",LEFT(K5652,4)="CTAX",LEFT(K5652,2)="W|"),2*N5652*O5652,0)</f>
        <v/>
      </c>
      <c r="Z5652" s="12" t="inlineStr">
        <is>
          <t>device-to-JB field wiring, one cable per device</t>
        </is>
      </c>
      <c r="AA5652" s="12">
        <f>N5652*O5652</f>
        <v/>
      </c>
    </row>
    <row r="5653">
      <c r="A5653" s="12" t="inlineStr">
        <is>
          <t>J-I-0004</t>
        </is>
      </c>
      <c r="B5653" s="12" t="inlineStr">
        <is>
          <t>J</t>
        </is>
      </c>
      <c r="C5653" s="12" t="inlineStr">
        <is>
          <t>GT inlet chilling</t>
        </is>
      </c>
      <c r="D5653" s="12" t="inlineStr">
        <is>
          <t>Home run JB-CHW pumps-DI01 to the control / marshalling room</t>
        </is>
      </c>
      <c r="E5653" s="12" t="inlineStr"/>
      <c r="F5653" s="12" t="inlineStr">
        <is>
          <t>Inlet-chilling e-house / transformer</t>
        </is>
      </c>
      <c r="G5653" s="12" t="inlineStr">
        <is>
          <t>JB-CHW pumps-DI01</t>
        </is>
      </c>
      <c r="H5653" s="12" t="inlineStr">
        <is>
          <t>CHW pumps</t>
        </is>
      </c>
      <c r="I5653" s="12" t="inlineStr">
        <is>
          <t>Instrumentation</t>
        </is>
      </c>
      <c r="J5653" s="12" t="inlineStr">
        <is>
          <t>Instrumentation PLTC / TC-ER 300 V, #18 twisted shielded pairs, overall shield</t>
        </is>
      </c>
      <c r="K5653" s="12" t="inlineStr">
        <is>
          <t>PLTC|24 pr|18</t>
        </is>
      </c>
      <c r="L5653" s="12" t="inlineStr">
        <is>
          <t>24 pr</t>
        </is>
      </c>
      <c r="M5653" s="12" t="inlineStr">
        <is>
          <t>18</t>
        </is>
      </c>
      <c r="N5653" s="12" t="n">
        <v>1</v>
      </c>
      <c r="O5653" s="12" t="n">
        <v>1</v>
      </c>
      <c r="P5653" s="12" t="n"/>
      <c r="Q5653" s="12" t="n"/>
      <c r="R5653" s="12" t="n"/>
      <c r="S5653" s="12" t="inlineStr">
        <is>
          <t>Duct bank</t>
        </is>
      </c>
      <c r="T5653" s="15" t="n">
        <v>579</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J-I-0005</t>
        </is>
      </c>
      <c r="B5654" s="12" t="inlineStr">
        <is>
          <t>J</t>
        </is>
      </c>
      <c r="C5654" s="12" t="inlineStr">
        <is>
          <t>GT inlet chilling</t>
        </is>
      </c>
      <c r="D5654" s="12" t="inlineStr">
        <is>
          <t>Analog instrument to JB JB-CONDITIONAL: TES c-AI01: 4 x 1 pr (field cables)</t>
        </is>
      </c>
      <c r="E5654" s="12" t="inlineStr"/>
      <c r="F5654" s="12" t="inlineStr">
        <is>
          <t>CONDITIONAL: TES chilled-water tank</t>
        </is>
      </c>
      <c r="G5654" s="12" t="inlineStr">
        <is>
          <t>JB-CONDITIONAL: TES c-AI01</t>
        </is>
      </c>
      <c r="H5654" s="12" t="inlineStr">
        <is>
          <t>CONDITIONAL: TES chilled-water tank</t>
        </is>
      </c>
      <c r="I5654" s="12" t="inlineStr">
        <is>
          <t>Instrumentation</t>
        </is>
      </c>
      <c r="J5654" s="12" t="inlineStr">
        <is>
          <t>Instrumentation PLTC / TC-ER 300 V, #18 twisted shielded pairs, overall shield</t>
        </is>
      </c>
      <c r="K5654" s="12" t="inlineStr">
        <is>
          <t>PLTC|1 pr|16</t>
        </is>
      </c>
      <c r="L5654" s="12" t="inlineStr">
        <is>
          <t>1 pr</t>
        </is>
      </c>
      <c r="M5654" s="12" t="inlineStr">
        <is>
          <t>16</t>
        </is>
      </c>
      <c r="N5654" s="12" t="n">
        <v>4</v>
      </c>
      <c r="O5654" s="12" t="n">
        <v>1</v>
      </c>
      <c r="P5654" s="12" t="n"/>
      <c r="Q5654" s="12" t="n"/>
      <c r="R5654" s="12" t="n"/>
      <c r="S5654" s="12" t="inlineStr">
        <is>
          <t>Tray / conduit</t>
        </is>
      </c>
      <c r="T5654" s="15" t="n">
        <v>91</v>
      </c>
      <c r="U5654" s="15" t="n">
        <v>10</v>
      </c>
      <c r="V5654" s="15">
        <f>ROUNDUP((T5654+U5654+2*'Read Me'!$B$13)*(1+'Read Me'!$B$12),-1)</f>
        <v/>
      </c>
      <c r="W5654" s="15">
        <f>V5654*N5654*O5654</f>
        <v/>
      </c>
      <c r="X5654" s="12">
        <f>IF(LEFT(I5654,2)="MV",2*N5654*IF(L5654="1/C",O5654,1),0)</f>
        <v/>
      </c>
      <c r="Y5654" s="12">
        <f>IF(OR(LEFT(K5654,4)="LVAX",LEFT(K5654,6)="MV15AX",LEFT(K5654,4)="CTAX",LEFT(K5654,2)="W|"),2*N5654*O5654,0)</f>
        <v/>
      </c>
      <c r="Z5654" s="12" t="inlineStr">
        <is>
          <t>device-to-JB field wiring, one cable per device</t>
        </is>
      </c>
      <c r="AA5654" s="12">
        <f>N5654*O5654</f>
        <v/>
      </c>
    </row>
    <row r="5655">
      <c r="A5655" s="12" t="inlineStr">
        <is>
          <t>J-I-0006</t>
        </is>
      </c>
      <c r="B5655" s="12" t="inlineStr">
        <is>
          <t>J</t>
        </is>
      </c>
      <c r="C5655" s="12" t="inlineStr">
        <is>
          <t>GT inlet chilling</t>
        </is>
      </c>
      <c r="D5655" s="12" t="inlineStr">
        <is>
          <t>Home run JB-CONDITIONAL: TES c-AI01 to the control / marshalling room</t>
        </is>
      </c>
      <c r="E5655" s="12" t="inlineStr"/>
      <c r="F5655" s="12" t="inlineStr">
        <is>
          <t>Inlet-chilling e-house / transformer</t>
        </is>
      </c>
      <c r="G5655" s="12" t="inlineStr">
        <is>
          <t>JB-CONDITIONAL: TES c-AI01</t>
        </is>
      </c>
      <c r="H5655" s="12" t="inlineStr">
        <is>
          <t>CONDITIONAL: TES chilled-water tank</t>
        </is>
      </c>
      <c r="I5655" s="12" t="inlineStr">
        <is>
          <t>Instrumentation</t>
        </is>
      </c>
      <c r="J5655" s="12" t="inlineStr">
        <is>
          <t>Instrumentation PLTC / TC-ER 300 V, #18 twisted shielded pairs, overall shield</t>
        </is>
      </c>
      <c r="K5655" s="12" t="inlineStr">
        <is>
          <t>PLTC|24 pr|18</t>
        </is>
      </c>
      <c r="L5655" s="12" t="inlineStr">
        <is>
          <t>24 pr</t>
        </is>
      </c>
      <c r="M5655" s="12" t="inlineStr">
        <is>
          <t>18</t>
        </is>
      </c>
      <c r="N5655" s="12" t="n">
        <v>1</v>
      </c>
      <c r="O5655" s="12" t="n">
        <v>1</v>
      </c>
      <c r="P5655" s="12" t="n"/>
      <c r="Q5655" s="12" t="n"/>
      <c r="R5655" s="12" t="n"/>
      <c r="S5655" s="12" t="inlineStr">
        <is>
          <t>Duct bank</t>
        </is>
      </c>
      <c r="T5655" s="15" t="n">
        <v>271</v>
      </c>
      <c r="U5655" s="15" t="n">
        <v>217</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J-I-0007</t>
        </is>
      </c>
      <c r="B5656" s="12" t="inlineStr">
        <is>
          <t>J</t>
        </is>
      </c>
      <c r="C5656" s="12" t="inlineStr">
        <is>
          <t>GT inlet chilling</t>
        </is>
      </c>
      <c r="D5656" s="12" t="inlineStr">
        <is>
          <t>Discrete device to JB JB-CONDITIONAL: TES c-DI01: 4 x 1 pr (field cables)</t>
        </is>
      </c>
      <c r="E5656" s="12" t="inlineStr"/>
      <c r="F5656" s="12" t="inlineStr">
        <is>
          <t>CONDITIONAL: TES chilled-water tank</t>
        </is>
      </c>
      <c r="G5656" s="12" t="inlineStr">
        <is>
          <t>JB-CONDITIONAL: TES c-DI01</t>
        </is>
      </c>
      <c r="H5656" s="12" t="inlineStr">
        <is>
          <t>CONDITIONAL: TES chilled-water tank</t>
        </is>
      </c>
      <c r="I5656" s="12" t="inlineStr">
        <is>
          <t>Instrumentation</t>
        </is>
      </c>
      <c r="J5656" s="12" t="inlineStr">
        <is>
          <t>Instrumentation PLTC / TC-ER 300 V, #18 twisted shielded pairs, overall shield</t>
        </is>
      </c>
      <c r="K5656" s="12" t="inlineStr">
        <is>
          <t>PLTC|1 pr|16</t>
        </is>
      </c>
      <c r="L5656" s="12" t="inlineStr">
        <is>
          <t>1 pr</t>
        </is>
      </c>
      <c r="M5656" s="12" t="inlineStr">
        <is>
          <t>16</t>
        </is>
      </c>
      <c r="N5656" s="12" t="n">
        <v>4</v>
      </c>
      <c r="O5656" s="12" t="n">
        <v>1</v>
      </c>
      <c r="P5656" s="12" t="n"/>
      <c r="Q5656" s="12" t="n"/>
      <c r="R5656" s="12" t="n"/>
      <c r="S5656" s="12" t="inlineStr">
        <is>
          <t>Tray / conduit</t>
        </is>
      </c>
      <c r="T5656" s="15" t="n">
        <v>91</v>
      </c>
      <c r="U5656" s="15" t="n">
        <v>10</v>
      </c>
      <c r="V5656" s="15">
        <f>ROUNDUP((T5656+U5656+2*'Read Me'!$B$13)*(1+'Read Me'!$B$12),-1)</f>
        <v/>
      </c>
      <c r="W5656" s="15">
        <f>V5656*N5656*O5656</f>
        <v/>
      </c>
      <c r="X5656" s="12">
        <f>IF(LEFT(I5656,2)="MV",2*N5656*IF(L5656="1/C",O5656,1),0)</f>
        <v/>
      </c>
      <c r="Y5656" s="12">
        <f>IF(OR(LEFT(K5656,4)="LVAX",LEFT(K5656,6)="MV15AX",LEFT(K5656,4)="CTAX",LEFT(K5656,2)="W|"),2*N5656*O5656,0)</f>
        <v/>
      </c>
      <c r="Z5656" s="12" t="inlineStr">
        <is>
          <t>device-to-JB field wiring, one cable per device</t>
        </is>
      </c>
      <c r="AA5656" s="12">
        <f>N5656*O5656</f>
        <v/>
      </c>
    </row>
    <row r="5657">
      <c r="A5657" s="12" t="inlineStr">
        <is>
          <t>J-I-0008</t>
        </is>
      </c>
      <c r="B5657" s="12" t="inlineStr">
        <is>
          <t>J</t>
        </is>
      </c>
      <c r="C5657" s="12" t="inlineStr">
        <is>
          <t>GT inlet chilling</t>
        </is>
      </c>
      <c r="D5657" s="12" t="inlineStr">
        <is>
          <t>Home run JB-CONDITIONAL: TES c-DI01 to the control / marshalling room</t>
        </is>
      </c>
      <c r="E5657" s="12" t="inlineStr"/>
      <c r="F5657" s="12" t="inlineStr">
        <is>
          <t>Inlet-chilling e-house / transformer</t>
        </is>
      </c>
      <c r="G5657" s="12" t="inlineStr">
        <is>
          <t>JB-CONDITIONAL: TES c-DI01</t>
        </is>
      </c>
      <c r="H5657" s="12" t="inlineStr">
        <is>
          <t>CONDITIONAL: TES chilled-water tank</t>
        </is>
      </c>
      <c r="I5657" s="12" t="inlineStr">
        <is>
          <t>Instrumentation</t>
        </is>
      </c>
      <c r="J5657" s="12" t="inlineStr">
        <is>
          <t>Instrumentation PLTC / TC-ER 300 V, #18 twisted shielded pairs, overall shield</t>
        </is>
      </c>
      <c r="K5657" s="12" t="inlineStr">
        <is>
          <t>PLTC|24 pr|18</t>
        </is>
      </c>
      <c r="L5657" s="12" t="inlineStr">
        <is>
          <t>24 pr</t>
        </is>
      </c>
      <c r="M5657" s="12" t="inlineStr">
        <is>
          <t>18</t>
        </is>
      </c>
      <c r="N5657" s="12" t="n">
        <v>1</v>
      </c>
      <c r="O5657" s="12" t="n">
        <v>1</v>
      </c>
      <c r="P5657" s="12" t="n"/>
      <c r="Q5657" s="12" t="n"/>
      <c r="R5657" s="12" t="n"/>
      <c r="S5657" s="12" t="inlineStr">
        <is>
          <t>Duct bank</t>
        </is>
      </c>
      <c r="T5657" s="15" t="n">
        <v>271</v>
      </c>
      <c r="U5657" s="15" t="n">
        <v>217</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J-I-0009</t>
        </is>
      </c>
      <c r="B5658" s="12" t="inlineStr">
        <is>
          <t>J</t>
        </is>
      </c>
      <c r="C5658" s="12" t="inlineStr">
        <is>
          <t>GT inlet chilling</t>
        </is>
      </c>
      <c r="D5658" s="12" t="inlineStr">
        <is>
          <t>Analog instrument to JB JB-CW pumps (inlet ch-AI01: 20 x 1 pr (field cables)</t>
        </is>
      </c>
      <c r="E5658" s="12" t="inlineStr"/>
      <c r="F5658" s="12" t="inlineStr">
        <is>
          <t>CW pumps (inlet chilling)</t>
        </is>
      </c>
      <c r="G5658" s="12" t="inlineStr">
        <is>
          <t>JB-CW pumps (inlet ch-AI01</t>
        </is>
      </c>
      <c r="H5658" s="12" t="inlineStr">
        <is>
          <t>CW pumps (inlet chilling)</t>
        </is>
      </c>
      <c r="I5658" s="12" t="inlineStr">
        <is>
          <t>Instrumentation</t>
        </is>
      </c>
      <c r="J5658" s="12" t="inlineStr">
        <is>
          <t>Instrumentation PLTC / TC-ER 300 V, #18 twisted shielded pairs, overall shield</t>
        </is>
      </c>
      <c r="K5658" s="12" t="inlineStr">
        <is>
          <t>PLTC|1 pr|16</t>
        </is>
      </c>
      <c r="L5658" s="12" t="inlineStr">
        <is>
          <t>1 pr</t>
        </is>
      </c>
      <c r="M5658" s="12" t="inlineStr">
        <is>
          <t>16</t>
        </is>
      </c>
      <c r="N5658" s="12" t="n">
        <v>20</v>
      </c>
      <c r="O5658" s="12" t="n">
        <v>1</v>
      </c>
      <c r="P5658" s="12" t="n"/>
      <c r="Q5658" s="12" t="n"/>
      <c r="R5658" s="12" t="n"/>
      <c r="S5658" s="12" t="inlineStr">
        <is>
          <t>Tray / conduit</t>
        </is>
      </c>
      <c r="T5658" s="15" t="n">
        <v>92</v>
      </c>
      <c r="U5658" s="15" t="n">
        <v>10</v>
      </c>
      <c r="V5658" s="15">
        <f>ROUNDUP((T5658+U5658+2*'Read Me'!$B$13)*(1+'Read Me'!$B$12),-1)</f>
        <v/>
      </c>
      <c r="W5658" s="15">
        <f>V5658*N5658*O5658</f>
        <v/>
      </c>
      <c r="X5658" s="12">
        <f>IF(LEFT(I5658,2)="MV",2*N5658*IF(L5658="1/C",O5658,1),0)</f>
        <v/>
      </c>
      <c r="Y5658" s="12">
        <f>IF(OR(LEFT(K5658,4)="LVAX",LEFT(K5658,6)="MV15AX",LEFT(K5658,4)="CTAX",LEFT(K5658,2)="W|"),2*N5658*O5658,0)</f>
        <v/>
      </c>
      <c r="Z5658" s="12" t="inlineStr">
        <is>
          <t>device-to-JB field wiring, one cable per device</t>
        </is>
      </c>
      <c r="AA5658" s="12">
        <f>N5658*O5658</f>
        <v/>
      </c>
    </row>
    <row r="5659">
      <c r="A5659" s="12" t="inlineStr">
        <is>
          <t>J-I-0010</t>
        </is>
      </c>
      <c r="B5659" s="12" t="inlineStr">
        <is>
          <t>J</t>
        </is>
      </c>
      <c r="C5659" s="12" t="inlineStr">
        <is>
          <t>GT inlet chilling</t>
        </is>
      </c>
      <c r="D5659" s="12" t="inlineStr">
        <is>
          <t>Home run JB-CW pumps (inlet ch-AI01 to the control / marshalling room</t>
        </is>
      </c>
      <c r="E5659" s="12" t="inlineStr"/>
      <c r="F5659" s="12" t="inlineStr">
        <is>
          <t>Inlet-chilling e-house / transformer</t>
        </is>
      </c>
      <c r="G5659" s="12" t="inlineStr">
        <is>
          <t>JB-CW pumps (inlet ch-AI01</t>
        </is>
      </c>
      <c r="H5659" s="12" t="inlineStr">
        <is>
          <t>CW pumps (inlet chilling)</t>
        </is>
      </c>
      <c r="I5659" s="12" t="inlineStr">
        <is>
          <t>Instrumentation</t>
        </is>
      </c>
      <c r="J5659" s="12" t="inlineStr">
        <is>
          <t>Instrumentation PLTC / TC-ER 300 V, #18 twisted shielded pairs, overall shield</t>
        </is>
      </c>
      <c r="K5659" s="12" t="inlineStr">
        <is>
          <t>PLTC|24 pr|18</t>
        </is>
      </c>
      <c r="L5659" s="12" t="inlineStr">
        <is>
          <t>24 pr</t>
        </is>
      </c>
      <c r="M5659" s="12" t="inlineStr">
        <is>
          <t>18</t>
        </is>
      </c>
      <c r="N5659" s="12" t="n">
        <v>1</v>
      </c>
      <c r="O5659" s="12" t="n">
        <v>1</v>
      </c>
      <c r="P5659" s="12" t="n"/>
      <c r="Q5659" s="12" t="n"/>
      <c r="R5659" s="12" t="n"/>
      <c r="S5659" s="12" t="inlineStr">
        <is>
          <t>Tray</t>
        </is>
      </c>
      <c r="T5659" s="15" t="n">
        <v>0</v>
      </c>
      <c r="U5659" s="15" t="n">
        <v>70</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J-I-0011</t>
        </is>
      </c>
      <c r="B5660" s="12" t="inlineStr">
        <is>
          <t>J</t>
        </is>
      </c>
      <c r="C5660" s="12" t="inlineStr">
        <is>
          <t>GT inlet chilling</t>
        </is>
      </c>
      <c r="D5660" s="12" t="inlineStr">
        <is>
          <t>Analog instrument to JB JB-CW pumps (inlet ch-AI02: 4 x 1 pr (field cables)</t>
        </is>
      </c>
      <c r="E5660" s="12" t="inlineStr"/>
      <c r="F5660" s="12" t="inlineStr">
        <is>
          <t>CW pumps (inlet chilling)</t>
        </is>
      </c>
      <c r="G5660" s="12" t="inlineStr">
        <is>
          <t>JB-CW pumps (inlet ch-AI02</t>
        </is>
      </c>
      <c r="H5660" s="12" t="inlineStr">
        <is>
          <t>CW pumps (inlet chilling)</t>
        </is>
      </c>
      <c r="I5660" s="12" t="inlineStr">
        <is>
          <t>Instrumentation</t>
        </is>
      </c>
      <c r="J5660" s="12" t="inlineStr">
        <is>
          <t>Instrumentation PLTC / TC-ER 300 V, #18 twisted shielded pairs, overall shield</t>
        </is>
      </c>
      <c r="K5660" s="12" t="inlineStr">
        <is>
          <t>PLTC|1 pr|16</t>
        </is>
      </c>
      <c r="L5660" s="12" t="inlineStr">
        <is>
          <t>1 pr</t>
        </is>
      </c>
      <c r="M5660" s="12" t="inlineStr">
        <is>
          <t>16</t>
        </is>
      </c>
      <c r="N5660" s="12" t="n">
        <v>4</v>
      </c>
      <c r="O5660" s="12" t="n">
        <v>1</v>
      </c>
      <c r="P5660" s="12" t="n"/>
      <c r="Q5660" s="12" t="n"/>
      <c r="R5660" s="12" t="n"/>
      <c r="S5660" s="12" t="inlineStr">
        <is>
          <t>Tray / conduit</t>
        </is>
      </c>
      <c r="T5660" s="15" t="n">
        <v>92</v>
      </c>
      <c r="U5660" s="15" t="n">
        <v>10</v>
      </c>
      <c r="V5660" s="15">
        <f>ROUNDUP((T5660+U5660+2*'Read Me'!$B$13)*(1+'Read Me'!$B$12),-1)</f>
        <v/>
      </c>
      <c r="W5660" s="15">
        <f>V5660*N5660*O5660</f>
        <v/>
      </c>
      <c r="X5660" s="12">
        <f>IF(LEFT(I5660,2)="MV",2*N5660*IF(L5660="1/C",O5660,1),0)</f>
        <v/>
      </c>
      <c r="Y5660" s="12">
        <f>IF(OR(LEFT(K5660,4)="LVAX",LEFT(K5660,6)="MV15AX",LEFT(K5660,4)="CTAX",LEFT(K5660,2)="W|"),2*N5660*O5660,0)</f>
        <v/>
      </c>
      <c r="Z5660" s="12" t="inlineStr">
        <is>
          <t>device-to-JB field wiring, one cable per device</t>
        </is>
      </c>
      <c r="AA5660" s="12">
        <f>N5660*O5660</f>
        <v/>
      </c>
    </row>
    <row r="5661">
      <c r="A5661" s="12" t="inlineStr">
        <is>
          <t>J-I-0012</t>
        </is>
      </c>
      <c r="B5661" s="12" t="inlineStr">
        <is>
          <t>J</t>
        </is>
      </c>
      <c r="C5661" s="12" t="inlineStr">
        <is>
          <t>GT inlet chilling</t>
        </is>
      </c>
      <c r="D5661" s="12" t="inlineStr">
        <is>
          <t>Home run JB-CW pumps (inlet ch-AI02 to the control / marshalling room</t>
        </is>
      </c>
      <c r="E5661" s="12" t="inlineStr"/>
      <c r="F5661" s="12" t="inlineStr">
        <is>
          <t>Inlet-chilling e-house / transformer</t>
        </is>
      </c>
      <c r="G5661" s="12" t="inlineStr">
        <is>
          <t>JB-CW pumps (inlet ch-AI02</t>
        </is>
      </c>
      <c r="H5661" s="12" t="inlineStr">
        <is>
          <t>CW pumps (inlet chilling)</t>
        </is>
      </c>
      <c r="I5661" s="12" t="inlineStr">
        <is>
          <t>Instrumentation</t>
        </is>
      </c>
      <c r="J5661" s="12" t="inlineStr">
        <is>
          <t>Instrumentation PLTC / TC-ER 300 V, #18 twisted shielded pairs, overall shield</t>
        </is>
      </c>
      <c r="K5661" s="12" t="inlineStr">
        <is>
          <t>PLTC|24 pr|18</t>
        </is>
      </c>
      <c r="L5661" s="12" t="inlineStr">
        <is>
          <t>24 pr</t>
        </is>
      </c>
      <c r="M5661" s="12" t="inlineStr">
        <is>
          <t>18</t>
        </is>
      </c>
      <c r="N5661" s="12" t="n">
        <v>1</v>
      </c>
      <c r="O5661" s="12" t="n">
        <v>1</v>
      </c>
      <c r="P5661" s="12" t="n"/>
      <c r="Q5661" s="12" t="n"/>
      <c r="R5661" s="12" t="n"/>
      <c r="S5661" s="12" t="inlineStr">
        <is>
          <t>Tray</t>
        </is>
      </c>
      <c r="T5661" s="15" t="n">
        <v>0</v>
      </c>
      <c r="U5661" s="15" t="n">
        <v>70</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J-I-0013</t>
        </is>
      </c>
      <c r="B5662" s="12" t="inlineStr">
        <is>
          <t>J</t>
        </is>
      </c>
      <c r="C5662" s="12" t="inlineStr">
        <is>
          <t>GT inlet chilling</t>
        </is>
      </c>
      <c r="D5662" s="12" t="inlineStr">
        <is>
          <t>Discrete device to JB JB-CW pumps (inlet ch-DI01: 20 x 1 pr (field cables)</t>
        </is>
      </c>
      <c r="E5662" s="12" t="inlineStr"/>
      <c r="F5662" s="12" t="inlineStr">
        <is>
          <t>CW pumps (inlet chilling)</t>
        </is>
      </c>
      <c r="G5662" s="12" t="inlineStr">
        <is>
          <t>JB-CW pumps (inlet ch-DI01</t>
        </is>
      </c>
      <c r="H5662" s="12" t="inlineStr">
        <is>
          <t>CW pumps (inlet chilling)</t>
        </is>
      </c>
      <c r="I5662" s="12" t="inlineStr">
        <is>
          <t>Instrumentation</t>
        </is>
      </c>
      <c r="J5662" s="12" t="inlineStr">
        <is>
          <t>Instrumentation PLTC / TC-ER 300 V, #18 twisted shielded pairs, overall shield</t>
        </is>
      </c>
      <c r="K5662" s="12" t="inlineStr">
        <is>
          <t>PLTC|1 pr|16</t>
        </is>
      </c>
      <c r="L5662" s="12" t="inlineStr">
        <is>
          <t>1 pr</t>
        </is>
      </c>
      <c r="M5662" s="12" t="inlineStr">
        <is>
          <t>16</t>
        </is>
      </c>
      <c r="N5662" s="12" t="n">
        <v>20</v>
      </c>
      <c r="O5662" s="12" t="n">
        <v>1</v>
      </c>
      <c r="P5662" s="12" t="n"/>
      <c r="Q5662" s="12" t="n"/>
      <c r="R5662" s="12" t="n"/>
      <c r="S5662" s="12" t="inlineStr">
        <is>
          <t>Tray / conduit</t>
        </is>
      </c>
      <c r="T5662" s="15" t="n">
        <v>92</v>
      </c>
      <c r="U5662" s="15" t="n">
        <v>10</v>
      </c>
      <c r="V5662" s="15">
        <f>ROUNDUP((T5662+U5662+2*'Read Me'!$B$13)*(1+'Read Me'!$B$12),-1)</f>
        <v/>
      </c>
      <c r="W5662" s="15">
        <f>V5662*N5662*O5662</f>
        <v/>
      </c>
      <c r="X5662" s="12">
        <f>IF(LEFT(I5662,2)="MV",2*N5662*IF(L5662="1/C",O5662,1),0)</f>
        <v/>
      </c>
      <c r="Y5662" s="12">
        <f>IF(OR(LEFT(K5662,4)="LVAX",LEFT(K5662,6)="MV15AX",LEFT(K5662,4)="CTAX",LEFT(K5662,2)="W|"),2*N5662*O5662,0)</f>
        <v/>
      </c>
      <c r="Z5662" s="12" t="inlineStr">
        <is>
          <t>device-to-JB field wiring, one cable per device</t>
        </is>
      </c>
      <c r="AA5662" s="12">
        <f>N5662*O5662</f>
        <v/>
      </c>
    </row>
    <row r="5663">
      <c r="A5663" s="12" t="inlineStr">
        <is>
          <t>J-I-0014</t>
        </is>
      </c>
      <c r="B5663" s="12" t="inlineStr">
        <is>
          <t>J</t>
        </is>
      </c>
      <c r="C5663" s="12" t="inlineStr">
        <is>
          <t>GT inlet chilling</t>
        </is>
      </c>
      <c r="D5663" s="12" t="inlineStr">
        <is>
          <t>Home run JB-CW pumps (inlet ch-DI01 to the control / marshalling room</t>
        </is>
      </c>
      <c r="E5663" s="12" t="inlineStr"/>
      <c r="F5663" s="12" t="inlineStr">
        <is>
          <t>Inlet-chilling e-house / transformer</t>
        </is>
      </c>
      <c r="G5663" s="12" t="inlineStr">
        <is>
          <t>JB-CW pumps (inlet ch-DI01</t>
        </is>
      </c>
      <c r="H5663" s="12" t="inlineStr">
        <is>
          <t>CW pumps (inlet chilling)</t>
        </is>
      </c>
      <c r="I5663" s="12" t="inlineStr">
        <is>
          <t>Instrumentation</t>
        </is>
      </c>
      <c r="J5663" s="12" t="inlineStr">
        <is>
          <t>Instrumentation PLTC / TC-ER 300 V, #18 twisted shielded pairs, overall shield</t>
        </is>
      </c>
      <c r="K5663" s="12" t="inlineStr">
        <is>
          <t>PLTC|24 pr|18</t>
        </is>
      </c>
      <c r="L5663" s="12" t="inlineStr">
        <is>
          <t>24 pr</t>
        </is>
      </c>
      <c r="M5663" s="12" t="inlineStr">
        <is>
          <t>18</t>
        </is>
      </c>
      <c r="N5663" s="12" t="n">
        <v>1</v>
      </c>
      <c r="O5663" s="12" t="n">
        <v>1</v>
      </c>
      <c r="P5663" s="12" t="n"/>
      <c r="Q5663" s="12" t="n"/>
      <c r="R5663" s="12" t="n"/>
      <c r="S5663" s="12" t="inlineStr">
        <is>
          <t>Tray</t>
        </is>
      </c>
      <c r="T5663" s="15" t="n">
        <v>0</v>
      </c>
      <c r="U5663" s="15" t="n">
        <v>70</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J-I-0015</t>
        </is>
      </c>
      <c r="B5664" s="12" t="inlineStr">
        <is>
          <t>J</t>
        </is>
      </c>
      <c r="C5664" s="12" t="inlineStr">
        <is>
          <t>GT inlet chilling</t>
        </is>
      </c>
      <c r="D5664" s="12" t="inlineStr">
        <is>
          <t>Discrete device to JB JB-CW pumps (inlet ch-DI02: 4 x 1 pr (field cables)</t>
        </is>
      </c>
      <c r="E5664" s="12" t="inlineStr"/>
      <c r="F5664" s="12" t="inlineStr">
        <is>
          <t>CW pumps (inlet chilling)</t>
        </is>
      </c>
      <c r="G5664" s="12" t="inlineStr">
        <is>
          <t>JB-CW pumps (inlet ch-DI02</t>
        </is>
      </c>
      <c r="H5664" s="12" t="inlineStr">
        <is>
          <t>CW pumps (inlet chilling)</t>
        </is>
      </c>
      <c r="I5664" s="12" t="inlineStr">
        <is>
          <t>Instrumentation</t>
        </is>
      </c>
      <c r="J5664" s="12" t="inlineStr">
        <is>
          <t>Instrumentation PLTC / TC-ER 300 V, #18 twisted shielded pairs, overall shield</t>
        </is>
      </c>
      <c r="K5664" s="12" t="inlineStr">
        <is>
          <t>PLTC|1 pr|16</t>
        </is>
      </c>
      <c r="L5664" s="12" t="inlineStr">
        <is>
          <t>1 pr</t>
        </is>
      </c>
      <c r="M5664" s="12" t="inlineStr">
        <is>
          <t>16</t>
        </is>
      </c>
      <c r="N5664" s="12" t="n">
        <v>4</v>
      </c>
      <c r="O5664" s="12" t="n">
        <v>1</v>
      </c>
      <c r="P5664" s="12" t="n"/>
      <c r="Q5664" s="12" t="n"/>
      <c r="R5664" s="12" t="n"/>
      <c r="S5664" s="12" t="inlineStr">
        <is>
          <t>Tray / conduit</t>
        </is>
      </c>
      <c r="T5664" s="15" t="n">
        <v>92</v>
      </c>
      <c r="U5664" s="15" t="n">
        <v>10</v>
      </c>
      <c r="V5664" s="15">
        <f>ROUNDUP((T5664+U5664+2*'Read Me'!$B$13)*(1+'Read Me'!$B$12),-1)</f>
        <v/>
      </c>
      <c r="W5664" s="15">
        <f>V5664*N5664*O5664</f>
        <v/>
      </c>
      <c r="X5664" s="12">
        <f>IF(LEFT(I5664,2)="MV",2*N5664*IF(L5664="1/C",O5664,1),0)</f>
        <v/>
      </c>
      <c r="Y5664" s="12">
        <f>IF(OR(LEFT(K5664,4)="LVAX",LEFT(K5664,6)="MV15AX",LEFT(K5664,4)="CTAX",LEFT(K5664,2)="W|"),2*N5664*O5664,0)</f>
        <v/>
      </c>
      <c r="Z5664" s="12" t="inlineStr">
        <is>
          <t>device-to-JB field wiring, one cable per device</t>
        </is>
      </c>
      <c r="AA5664" s="12">
        <f>N5664*O5664</f>
        <v/>
      </c>
    </row>
    <row r="5665">
      <c r="A5665" s="12" t="inlineStr">
        <is>
          <t>J-I-0016</t>
        </is>
      </c>
      <c r="B5665" s="12" t="inlineStr">
        <is>
          <t>J</t>
        </is>
      </c>
      <c r="C5665" s="12" t="inlineStr">
        <is>
          <t>GT inlet chilling</t>
        </is>
      </c>
      <c r="D5665" s="12" t="inlineStr">
        <is>
          <t>Home run JB-CW pumps (inlet ch-DI02 to the control / marshalling room</t>
        </is>
      </c>
      <c r="E5665" s="12" t="inlineStr"/>
      <c r="F5665" s="12" t="inlineStr">
        <is>
          <t>Inlet-chilling e-house / transformer</t>
        </is>
      </c>
      <c r="G5665" s="12" t="inlineStr">
        <is>
          <t>JB-CW pumps (inlet ch-DI02</t>
        </is>
      </c>
      <c r="H5665" s="12" t="inlineStr">
        <is>
          <t>CW pumps (inlet chilling)</t>
        </is>
      </c>
      <c r="I5665" s="12" t="inlineStr">
        <is>
          <t>Instrumentation</t>
        </is>
      </c>
      <c r="J5665" s="12" t="inlineStr">
        <is>
          <t>Instrumentation PLTC / TC-ER 300 V, #18 twisted shielded pairs, overall shield</t>
        </is>
      </c>
      <c r="K5665" s="12" t="inlineStr">
        <is>
          <t>PLTC|24 pr|18</t>
        </is>
      </c>
      <c r="L5665" s="12" t="inlineStr">
        <is>
          <t>24 pr</t>
        </is>
      </c>
      <c r="M5665" s="12" t="inlineStr">
        <is>
          <t>18</t>
        </is>
      </c>
      <c r="N5665" s="12" t="n">
        <v>1</v>
      </c>
      <c r="O5665" s="12" t="n">
        <v>1</v>
      </c>
      <c r="P5665" s="12" t="n"/>
      <c r="Q5665" s="12" t="n"/>
      <c r="R5665" s="12" t="n"/>
      <c r="S5665" s="12" t="inlineStr">
        <is>
          <t>Tray</t>
        </is>
      </c>
      <c r="T5665" s="15" t="n">
        <v>0</v>
      </c>
      <c r="U5665" s="15" t="n">
        <v>70</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J-I-0017</t>
        </is>
      </c>
      <c r="B5666" s="12" t="inlineStr">
        <is>
          <t>J</t>
        </is>
      </c>
      <c r="C5666" s="12" t="inlineStr">
        <is>
          <t>GT inlet chilling</t>
        </is>
      </c>
      <c r="D5666" s="12" t="inlineStr">
        <is>
          <t>Analog instrument to JB JB-Chillers x6 (water-AI01: 20 x 1 pr (field cables)</t>
        </is>
      </c>
      <c r="E5666" s="12" t="inlineStr"/>
      <c r="F5666" s="12" t="inlineStr">
        <is>
          <t>Chillers x6 (water-cooled)</t>
        </is>
      </c>
      <c r="G5666" s="12" t="inlineStr">
        <is>
          <t>JB-Chillers x6 (water-AI01</t>
        </is>
      </c>
      <c r="H5666" s="12" t="inlineStr">
        <is>
          <t>Chillers x6 (water-cooled)</t>
        </is>
      </c>
      <c r="I5666" s="12" t="inlineStr">
        <is>
          <t>Instrumentation</t>
        </is>
      </c>
      <c r="J5666" s="12" t="inlineStr">
        <is>
          <t>Instrumentation PLTC / TC-ER 300 V, #18 twisted shielded pairs, overall shield</t>
        </is>
      </c>
      <c r="K5666" s="12" t="inlineStr">
        <is>
          <t>PLTC|1 pr|16</t>
        </is>
      </c>
      <c r="L5666" s="12" t="inlineStr">
        <is>
          <t>1 pr</t>
        </is>
      </c>
      <c r="M5666" s="12" t="inlineStr">
        <is>
          <t>16</t>
        </is>
      </c>
      <c r="N5666" s="12" t="n">
        <v>20</v>
      </c>
      <c r="O5666" s="12" t="n">
        <v>1</v>
      </c>
      <c r="P5666" s="12" t="n"/>
      <c r="Q5666" s="12" t="n"/>
      <c r="R5666" s="12" t="n"/>
      <c r="S5666" s="12" t="inlineStr">
        <is>
          <t>Tray / conduit</t>
        </is>
      </c>
      <c r="T5666" s="15" t="n">
        <v>190</v>
      </c>
      <c r="U5666" s="15" t="n">
        <v>10</v>
      </c>
      <c r="V5666" s="15">
        <f>ROUNDUP((T5666+U5666+2*'Read Me'!$B$13)*(1+'Read Me'!$B$12),-1)</f>
        <v/>
      </c>
      <c r="W5666" s="15">
        <f>V5666*N5666*O5666</f>
        <v/>
      </c>
      <c r="X5666" s="12">
        <f>IF(LEFT(I5666,2)="MV",2*N5666*IF(L5666="1/C",O5666,1),0)</f>
        <v/>
      </c>
      <c r="Y5666" s="12">
        <f>IF(OR(LEFT(K5666,4)="LVAX",LEFT(K5666,6)="MV15AX",LEFT(K5666,4)="CTAX",LEFT(K5666,2)="W|"),2*N5666*O5666,0)</f>
        <v/>
      </c>
      <c r="Z5666" s="12" t="inlineStr">
        <is>
          <t>device-to-JB field wiring, one cable per device</t>
        </is>
      </c>
      <c r="AA5666" s="12">
        <f>N5666*O5666</f>
        <v/>
      </c>
    </row>
    <row r="5667">
      <c r="A5667" s="12" t="inlineStr">
        <is>
          <t>J-I-0018</t>
        </is>
      </c>
      <c r="B5667" s="12" t="inlineStr">
        <is>
          <t>J</t>
        </is>
      </c>
      <c r="C5667" s="12" t="inlineStr">
        <is>
          <t>GT inlet chilling</t>
        </is>
      </c>
      <c r="D5667" s="12" t="inlineStr">
        <is>
          <t>Home run JB-Chillers x6 (water-AI01 to the control / marshalling room</t>
        </is>
      </c>
      <c r="E5667" s="12" t="inlineStr"/>
      <c r="F5667" s="12" t="inlineStr">
        <is>
          <t>Inlet-chilling e-house / transformer</t>
        </is>
      </c>
      <c r="G5667" s="12" t="inlineStr">
        <is>
          <t>JB-Chillers x6 (water-AI01</t>
        </is>
      </c>
      <c r="H5667" s="12" t="inlineStr">
        <is>
          <t>Chillers x6 (water-cooled)</t>
        </is>
      </c>
      <c r="I5667" s="12" t="inlineStr">
        <is>
          <t>Instrumentation</t>
        </is>
      </c>
      <c r="J5667" s="12" t="inlineStr">
        <is>
          <t>Instrumentation PLTC / TC-ER 300 V, #18 twisted shielded pairs, overall shield</t>
        </is>
      </c>
      <c r="K5667" s="12" t="inlineStr">
        <is>
          <t>PLTC|24 pr|18</t>
        </is>
      </c>
      <c r="L5667" s="12" t="inlineStr">
        <is>
          <t>24 pr</t>
        </is>
      </c>
      <c r="M5667" s="12" t="inlineStr">
        <is>
          <t>18</t>
        </is>
      </c>
      <c r="N5667" s="12" t="n">
        <v>1</v>
      </c>
      <c r="O5667" s="12" t="n">
        <v>1</v>
      </c>
      <c r="P5667" s="12" t="n"/>
      <c r="Q5667" s="12" t="n"/>
      <c r="R5667" s="12" t="n"/>
      <c r="S5667" s="12" t="inlineStr">
        <is>
          <t>Duct bank</t>
        </is>
      </c>
      <c r="T5667" s="15" t="n">
        <v>10</v>
      </c>
      <c r="U5667" s="15" t="n">
        <v>32</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J-I-0019</t>
        </is>
      </c>
      <c r="B5668" s="12" t="inlineStr">
        <is>
          <t>J</t>
        </is>
      </c>
      <c r="C5668" s="12" t="inlineStr">
        <is>
          <t>GT inlet chilling</t>
        </is>
      </c>
      <c r="D5668" s="12" t="inlineStr">
        <is>
          <t>Analog instrument to JB JB-Chillers x6 (water-AI02: 20 x 1 pr (field cables)</t>
        </is>
      </c>
      <c r="E5668" s="12" t="inlineStr"/>
      <c r="F5668" s="12" t="inlineStr">
        <is>
          <t>Chillers x6 (water-cooled)</t>
        </is>
      </c>
      <c r="G5668" s="12" t="inlineStr">
        <is>
          <t>JB-Chillers x6 (water-AI02</t>
        </is>
      </c>
      <c r="H5668" s="12" t="inlineStr">
        <is>
          <t>Chillers x6 (water-cooled)</t>
        </is>
      </c>
      <c r="I5668" s="12" t="inlineStr">
        <is>
          <t>Instrumentation</t>
        </is>
      </c>
      <c r="J5668" s="12" t="inlineStr">
        <is>
          <t>Instrumentation PLTC / TC-ER 300 V, #18 twisted shielded pairs, overall shield</t>
        </is>
      </c>
      <c r="K5668" s="12" t="inlineStr">
        <is>
          <t>PLTC|1 pr|16</t>
        </is>
      </c>
      <c r="L5668" s="12" t="inlineStr">
        <is>
          <t>1 pr</t>
        </is>
      </c>
      <c r="M5668" s="12" t="inlineStr">
        <is>
          <t>16</t>
        </is>
      </c>
      <c r="N5668" s="12" t="n">
        <v>20</v>
      </c>
      <c r="O5668" s="12" t="n">
        <v>1</v>
      </c>
      <c r="P5668" s="12" t="n"/>
      <c r="Q5668" s="12" t="n"/>
      <c r="R5668" s="12" t="n"/>
      <c r="S5668" s="12" t="inlineStr">
        <is>
          <t>Tray / conduit</t>
        </is>
      </c>
      <c r="T5668" s="15" t="n">
        <v>190</v>
      </c>
      <c r="U5668" s="15" t="n">
        <v>10</v>
      </c>
      <c r="V5668" s="15">
        <f>ROUNDUP((T5668+U5668+2*'Read Me'!$B$13)*(1+'Read Me'!$B$12),-1)</f>
        <v/>
      </c>
      <c r="W5668" s="15">
        <f>V5668*N5668*O5668</f>
        <v/>
      </c>
      <c r="X5668" s="12">
        <f>IF(LEFT(I5668,2)="MV",2*N5668*IF(L5668="1/C",O5668,1),0)</f>
        <v/>
      </c>
      <c r="Y5668" s="12">
        <f>IF(OR(LEFT(K5668,4)="LVAX",LEFT(K5668,6)="MV15AX",LEFT(K5668,4)="CTAX",LEFT(K5668,2)="W|"),2*N5668*O5668,0)</f>
        <v/>
      </c>
      <c r="Z5668" s="12" t="inlineStr">
        <is>
          <t>device-to-JB field wiring, one cable per device</t>
        </is>
      </c>
      <c r="AA5668" s="12">
        <f>N5668*O5668</f>
        <v/>
      </c>
    </row>
    <row r="5669">
      <c r="A5669" s="12" t="inlineStr">
        <is>
          <t>J-I-0020</t>
        </is>
      </c>
      <c r="B5669" s="12" t="inlineStr">
        <is>
          <t>J</t>
        </is>
      </c>
      <c r="C5669" s="12" t="inlineStr">
        <is>
          <t>GT inlet chilling</t>
        </is>
      </c>
      <c r="D5669" s="12" t="inlineStr">
        <is>
          <t>Home run JB-Chillers x6 (water-AI02 to the control / marshalling room</t>
        </is>
      </c>
      <c r="E5669" s="12" t="inlineStr"/>
      <c r="F5669" s="12" t="inlineStr">
        <is>
          <t>Inlet-chilling e-house / transformer</t>
        </is>
      </c>
      <c r="G5669" s="12" t="inlineStr">
        <is>
          <t>JB-Chillers x6 (water-AI02</t>
        </is>
      </c>
      <c r="H5669" s="12" t="inlineStr">
        <is>
          <t>Chillers x6 (water-cooled)</t>
        </is>
      </c>
      <c r="I5669" s="12" t="inlineStr">
        <is>
          <t>Instrumentation</t>
        </is>
      </c>
      <c r="J5669" s="12" t="inlineStr">
        <is>
          <t>Instrumentation PLTC / TC-ER 300 V, #18 twisted shielded pairs, overall shield</t>
        </is>
      </c>
      <c r="K5669" s="12" t="inlineStr">
        <is>
          <t>PLTC|24 pr|18</t>
        </is>
      </c>
      <c r="L5669" s="12" t="inlineStr">
        <is>
          <t>24 pr</t>
        </is>
      </c>
      <c r="M5669" s="12" t="inlineStr">
        <is>
          <t>18</t>
        </is>
      </c>
      <c r="N5669" s="12" t="n">
        <v>1</v>
      </c>
      <c r="O5669" s="12" t="n">
        <v>1</v>
      </c>
      <c r="P5669" s="12" t="n"/>
      <c r="Q5669" s="12" t="n"/>
      <c r="R5669" s="12" t="n"/>
      <c r="S5669" s="12" t="inlineStr">
        <is>
          <t>Duct bank</t>
        </is>
      </c>
      <c r="T5669" s="15" t="n">
        <v>10</v>
      </c>
      <c r="U5669" s="15" t="n">
        <v>32</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J-I-0021</t>
        </is>
      </c>
      <c r="B5670" s="12" t="inlineStr">
        <is>
          <t>J</t>
        </is>
      </c>
      <c r="C5670" s="12" t="inlineStr">
        <is>
          <t>GT inlet chilling</t>
        </is>
      </c>
      <c r="D5670" s="12" t="inlineStr">
        <is>
          <t>Analog instrument to JB JB-Chillers x6 (water-AI03: 20 x 1 pr (field cables)</t>
        </is>
      </c>
      <c r="E5670" s="12" t="inlineStr"/>
      <c r="F5670" s="12" t="inlineStr">
        <is>
          <t>Chillers x6 (water-cooled)</t>
        </is>
      </c>
      <c r="G5670" s="12" t="inlineStr">
        <is>
          <t>JB-Chillers x6 (water-AI03</t>
        </is>
      </c>
      <c r="H5670" s="12" t="inlineStr">
        <is>
          <t>Chillers x6 (water-cooled)</t>
        </is>
      </c>
      <c r="I5670" s="12" t="inlineStr">
        <is>
          <t>Instrumentation</t>
        </is>
      </c>
      <c r="J5670" s="12" t="inlineStr">
        <is>
          <t>Instrumentation PLTC / TC-ER 300 V, #18 twisted shielded pairs, overall shield</t>
        </is>
      </c>
      <c r="K5670" s="12" t="inlineStr">
        <is>
          <t>PLTC|1 pr|16</t>
        </is>
      </c>
      <c r="L5670" s="12" t="inlineStr">
        <is>
          <t>1 pr</t>
        </is>
      </c>
      <c r="M5670" s="12" t="inlineStr">
        <is>
          <t>16</t>
        </is>
      </c>
      <c r="N5670" s="12" t="n">
        <v>20</v>
      </c>
      <c r="O5670" s="12" t="n">
        <v>1</v>
      </c>
      <c r="P5670" s="12" t="n"/>
      <c r="Q5670" s="12" t="n"/>
      <c r="R5670" s="12" t="n"/>
      <c r="S5670" s="12" t="inlineStr">
        <is>
          <t>Tray / conduit</t>
        </is>
      </c>
      <c r="T5670" s="15" t="n">
        <v>190</v>
      </c>
      <c r="U5670" s="15" t="n">
        <v>10</v>
      </c>
      <c r="V5670" s="15">
        <f>ROUNDUP((T5670+U5670+2*'Read Me'!$B$13)*(1+'Read Me'!$B$12),-1)</f>
        <v/>
      </c>
      <c r="W5670" s="15">
        <f>V5670*N5670*O5670</f>
        <v/>
      </c>
      <c r="X5670" s="12">
        <f>IF(LEFT(I5670,2)="MV",2*N5670*IF(L5670="1/C",O5670,1),0)</f>
        <v/>
      </c>
      <c r="Y5670" s="12">
        <f>IF(OR(LEFT(K5670,4)="LVAX",LEFT(K5670,6)="MV15AX",LEFT(K5670,4)="CTAX",LEFT(K5670,2)="W|"),2*N5670*O5670,0)</f>
        <v/>
      </c>
      <c r="Z5670" s="12" t="inlineStr">
        <is>
          <t>device-to-JB field wiring, one cable per device</t>
        </is>
      </c>
      <c r="AA5670" s="12">
        <f>N5670*O5670</f>
        <v/>
      </c>
    </row>
    <row r="5671">
      <c r="A5671" s="12" t="inlineStr">
        <is>
          <t>J-I-0022</t>
        </is>
      </c>
      <c r="B5671" s="12" t="inlineStr">
        <is>
          <t>J</t>
        </is>
      </c>
      <c r="C5671" s="12" t="inlineStr">
        <is>
          <t>GT inlet chilling</t>
        </is>
      </c>
      <c r="D5671" s="12" t="inlineStr">
        <is>
          <t>Home run JB-Chillers x6 (water-AI03 to the control / marshalling room</t>
        </is>
      </c>
      <c r="E5671" s="12" t="inlineStr"/>
      <c r="F5671" s="12" t="inlineStr">
        <is>
          <t>Inlet-chilling e-house / transformer</t>
        </is>
      </c>
      <c r="G5671" s="12" t="inlineStr">
        <is>
          <t>JB-Chillers x6 (water-AI03</t>
        </is>
      </c>
      <c r="H5671" s="12" t="inlineStr">
        <is>
          <t>Chillers x6 (water-cooled)</t>
        </is>
      </c>
      <c r="I5671" s="12" t="inlineStr">
        <is>
          <t>Instrumentation</t>
        </is>
      </c>
      <c r="J5671" s="12" t="inlineStr">
        <is>
          <t>Instrumentation PLTC / TC-ER 300 V, #18 twisted shielded pairs, overall shield</t>
        </is>
      </c>
      <c r="K5671" s="12" t="inlineStr">
        <is>
          <t>PLTC|24 pr|18</t>
        </is>
      </c>
      <c r="L5671" s="12" t="inlineStr">
        <is>
          <t>24 pr</t>
        </is>
      </c>
      <c r="M5671" s="12" t="inlineStr">
        <is>
          <t>18</t>
        </is>
      </c>
      <c r="N5671" s="12" t="n">
        <v>1</v>
      </c>
      <c r="O5671" s="12" t="n">
        <v>1</v>
      </c>
      <c r="P5671" s="12" t="n"/>
      <c r="Q5671" s="12" t="n"/>
      <c r="R5671" s="12" t="n"/>
      <c r="S5671" s="12" t="inlineStr">
        <is>
          <t>Duct bank</t>
        </is>
      </c>
      <c r="T5671" s="15" t="n">
        <v>10</v>
      </c>
      <c r="U5671" s="15" t="n">
        <v>32</v>
      </c>
      <c r="V5671" s="15">
        <f>ROUNDUP((T5671+U5671+2*'Read Me'!$B$13)*(1+'Read Me'!$B$12),-1)</f>
        <v/>
      </c>
      <c r="W5671" s="15">
        <f>V5671*N5671*O5671</f>
        <v/>
      </c>
      <c r="X5671" s="12">
        <f>IF(LEFT(I5671,2)="MV",2*N5671*IF(L5671="1/C",O5671,1),0)</f>
        <v/>
      </c>
      <c r="Y5671" s="12">
        <f>IF(OR(LEFT(K5671,4)="LVAX",LEFT(K5671,6)="MV15AX",LEFT(K5671,4)="CTAX",LEFT(K5671,2)="W|"),2*N5671*O5671,0)</f>
        <v/>
      </c>
      <c r="Z5671" s="12" t="inlineStr"/>
      <c r="AA5671" s="12">
        <f>N5671*O5671</f>
        <v/>
      </c>
    </row>
    <row r="5672">
      <c r="A5672" s="12" t="inlineStr">
        <is>
          <t>J-I-0023</t>
        </is>
      </c>
      <c r="B5672" s="12" t="inlineStr">
        <is>
          <t>J</t>
        </is>
      </c>
      <c r="C5672" s="12" t="inlineStr">
        <is>
          <t>GT inlet chilling</t>
        </is>
      </c>
      <c r="D5672" s="12" t="inlineStr">
        <is>
          <t>Analog instrument to JB JB-Chillers x6 (water-AI04: 20 x 1 pr (field cables)</t>
        </is>
      </c>
      <c r="E5672" s="12" t="inlineStr"/>
      <c r="F5672" s="12" t="inlineStr">
        <is>
          <t>Chillers x6 (water-cooled)</t>
        </is>
      </c>
      <c r="G5672" s="12" t="inlineStr">
        <is>
          <t>JB-Chillers x6 (water-AI04</t>
        </is>
      </c>
      <c r="H5672" s="12" t="inlineStr">
        <is>
          <t>Chillers x6 (water-cooled)</t>
        </is>
      </c>
      <c r="I5672" s="12" t="inlineStr">
        <is>
          <t>Instrumentation</t>
        </is>
      </c>
      <c r="J5672" s="12" t="inlineStr">
        <is>
          <t>Instrumentation PLTC / TC-ER 300 V, #18 twisted shielded pairs, overall shield</t>
        </is>
      </c>
      <c r="K5672" s="12" t="inlineStr">
        <is>
          <t>PLTC|1 pr|16</t>
        </is>
      </c>
      <c r="L5672" s="12" t="inlineStr">
        <is>
          <t>1 pr</t>
        </is>
      </c>
      <c r="M5672" s="12" t="inlineStr">
        <is>
          <t>16</t>
        </is>
      </c>
      <c r="N5672" s="12" t="n">
        <v>20</v>
      </c>
      <c r="O5672" s="12" t="n">
        <v>1</v>
      </c>
      <c r="P5672" s="12" t="n"/>
      <c r="Q5672" s="12" t="n"/>
      <c r="R5672" s="12" t="n"/>
      <c r="S5672" s="12" t="inlineStr">
        <is>
          <t>Tray / conduit</t>
        </is>
      </c>
      <c r="T5672" s="15" t="n">
        <v>190</v>
      </c>
      <c r="U5672" s="15" t="n">
        <v>10</v>
      </c>
      <c r="V5672" s="15">
        <f>ROUNDUP((T5672+U5672+2*'Read Me'!$B$13)*(1+'Read Me'!$B$12),-1)</f>
        <v/>
      </c>
      <c r="W5672" s="15">
        <f>V5672*N5672*O5672</f>
        <v/>
      </c>
      <c r="X5672" s="12">
        <f>IF(LEFT(I5672,2)="MV",2*N5672*IF(L5672="1/C",O5672,1),0)</f>
        <v/>
      </c>
      <c r="Y5672" s="12">
        <f>IF(OR(LEFT(K5672,4)="LVAX",LEFT(K5672,6)="MV15AX",LEFT(K5672,4)="CTAX",LEFT(K5672,2)="W|"),2*N5672*O5672,0)</f>
        <v/>
      </c>
      <c r="Z5672" s="12" t="inlineStr">
        <is>
          <t>device-to-JB field wiring, one cable per device</t>
        </is>
      </c>
      <c r="AA5672" s="12">
        <f>N5672*O5672</f>
        <v/>
      </c>
    </row>
    <row r="5673">
      <c r="A5673" s="12" t="inlineStr">
        <is>
          <t>J-I-0024</t>
        </is>
      </c>
      <c r="B5673" s="12" t="inlineStr">
        <is>
          <t>J</t>
        </is>
      </c>
      <c r="C5673" s="12" t="inlineStr">
        <is>
          <t>GT inlet chilling</t>
        </is>
      </c>
      <c r="D5673" s="12" t="inlineStr">
        <is>
          <t>Home run JB-Chillers x6 (water-AI04 to the control / marshalling room</t>
        </is>
      </c>
      <c r="E5673" s="12" t="inlineStr"/>
      <c r="F5673" s="12" t="inlineStr">
        <is>
          <t>Inlet-chilling e-house / transformer</t>
        </is>
      </c>
      <c r="G5673" s="12" t="inlineStr">
        <is>
          <t>JB-Chillers x6 (water-AI04</t>
        </is>
      </c>
      <c r="H5673" s="12" t="inlineStr">
        <is>
          <t>Chillers x6 (water-cooled)</t>
        </is>
      </c>
      <c r="I5673" s="12" t="inlineStr">
        <is>
          <t>Instrumentation</t>
        </is>
      </c>
      <c r="J5673" s="12" t="inlineStr">
        <is>
          <t>Instrumentation PLTC / TC-ER 300 V, #18 twisted shielded pairs, overall shield</t>
        </is>
      </c>
      <c r="K5673" s="12" t="inlineStr">
        <is>
          <t>PLTC|24 pr|18</t>
        </is>
      </c>
      <c r="L5673" s="12" t="inlineStr">
        <is>
          <t>24 pr</t>
        </is>
      </c>
      <c r="M5673" s="12" t="inlineStr">
        <is>
          <t>18</t>
        </is>
      </c>
      <c r="N5673" s="12" t="n">
        <v>1</v>
      </c>
      <c r="O5673" s="12" t="n">
        <v>1</v>
      </c>
      <c r="P5673" s="12" t="n"/>
      <c r="Q5673" s="12" t="n"/>
      <c r="R5673" s="12" t="n"/>
      <c r="S5673" s="12" t="inlineStr">
        <is>
          <t>Duct bank</t>
        </is>
      </c>
      <c r="T5673" s="15" t="n">
        <v>10</v>
      </c>
      <c r="U5673" s="15" t="n">
        <v>32</v>
      </c>
      <c r="V5673" s="15">
        <f>ROUNDUP((T5673+U5673+2*'Read Me'!$B$13)*(1+'Read Me'!$B$12),-1)</f>
        <v/>
      </c>
      <c r="W5673" s="15">
        <f>V5673*N5673*O5673</f>
        <v/>
      </c>
      <c r="X5673" s="12">
        <f>IF(LEFT(I5673,2)="MV",2*N5673*IF(L5673="1/C",O5673,1),0)</f>
        <v/>
      </c>
      <c r="Y5673" s="12">
        <f>IF(OR(LEFT(K5673,4)="LVAX",LEFT(K5673,6)="MV15AX",LEFT(K5673,4)="CTAX",LEFT(K5673,2)="W|"),2*N5673*O5673,0)</f>
        <v/>
      </c>
      <c r="Z5673" s="12" t="inlineStr"/>
      <c r="AA5673" s="12">
        <f>N5673*O5673</f>
        <v/>
      </c>
    </row>
    <row r="5674">
      <c r="A5674" s="12" t="inlineStr">
        <is>
          <t>J-I-0025</t>
        </is>
      </c>
      <c r="B5674" s="12" t="inlineStr">
        <is>
          <t>J</t>
        </is>
      </c>
      <c r="C5674" s="12" t="inlineStr">
        <is>
          <t>GT inlet chilling</t>
        </is>
      </c>
      <c r="D5674" s="12" t="inlineStr">
        <is>
          <t>Analog instrument to JB JB-Chillers x6 (water-AI05: 20 x 1 pr (field cables)</t>
        </is>
      </c>
      <c r="E5674" s="12" t="inlineStr"/>
      <c r="F5674" s="12" t="inlineStr">
        <is>
          <t>Chillers x6 (water-cooled)</t>
        </is>
      </c>
      <c r="G5674" s="12" t="inlineStr">
        <is>
          <t>JB-Chillers x6 (water-AI05</t>
        </is>
      </c>
      <c r="H5674" s="12" t="inlineStr">
        <is>
          <t>Chillers x6 (water-cooled)</t>
        </is>
      </c>
      <c r="I5674" s="12" t="inlineStr">
        <is>
          <t>Instrumentation</t>
        </is>
      </c>
      <c r="J5674" s="12" t="inlineStr">
        <is>
          <t>Instrumentation PLTC / TC-ER 300 V, #18 twisted shielded pairs, overall shield</t>
        </is>
      </c>
      <c r="K5674" s="12" t="inlineStr">
        <is>
          <t>PLTC|1 pr|16</t>
        </is>
      </c>
      <c r="L5674" s="12" t="inlineStr">
        <is>
          <t>1 pr</t>
        </is>
      </c>
      <c r="M5674" s="12" t="inlineStr">
        <is>
          <t>16</t>
        </is>
      </c>
      <c r="N5674" s="12" t="n">
        <v>20</v>
      </c>
      <c r="O5674" s="12" t="n">
        <v>1</v>
      </c>
      <c r="P5674" s="12" t="n"/>
      <c r="Q5674" s="12" t="n"/>
      <c r="R5674" s="12" t="n"/>
      <c r="S5674" s="12" t="inlineStr">
        <is>
          <t>Tray / conduit</t>
        </is>
      </c>
      <c r="T5674" s="15" t="n">
        <v>190</v>
      </c>
      <c r="U5674" s="15" t="n">
        <v>10</v>
      </c>
      <c r="V5674" s="15">
        <f>ROUNDUP((T5674+U5674+2*'Read Me'!$B$13)*(1+'Read Me'!$B$12),-1)</f>
        <v/>
      </c>
      <c r="W5674" s="15">
        <f>V5674*N5674*O5674</f>
        <v/>
      </c>
      <c r="X5674" s="12">
        <f>IF(LEFT(I5674,2)="MV",2*N5674*IF(L5674="1/C",O5674,1),0)</f>
        <v/>
      </c>
      <c r="Y5674" s="12">
        <f>IF(OR(LEFT(K5674,4)="LVAX",LEFT(K5674,6)="MV15AX",LEFT(K5674,4)="CTAX",LEFT(K5674,2)="W|"),2*N5674*O5674,0)</f>
        <v/>
      </c>
      <c r="Z5674" s="12" t="inlineStr">
        <is>
          <t>device-to-JB field wiring, one cable per device</t>
        </is>
      </c>
      <c r="AA5674" s="12">
        <f>N5674*O5674</f>
        <v/>
      </c>
    </row>
    <row r="5675">
      <c r="A5675" s="12" t="inlineStr">
        <is>
          <t>J-I-0026</t>
        </is>
      </c>
      <c r="B5675" s="12" t="inlineStr">
        <is>
          <t>J</t>
        </is>
      </c>
      <c r="C5675" s="12" t="inlineStr">
        <is>
          <t>GT inlet chilling</t>
        </is>
      </c>
      <c r="D5675" s="12" t="inlineStr">
        <is>
          <t>Home run JB-Chillers x6 (water-AI05 to the control / marshalling room</t>
        </is>
      </c>
      <c r="E5675" s="12" t="inlineStr"/>
      <c r="F5675" s="12" t="inlineStr">
        <is>
          <t>Inlet-chilling e-house / transformer</t>
        </is>
      </c>
      <c r="G5675" s="12" t="inlineStr">
        <is>
          <t>JB-Chillers x6 (water-AI05</t>
        </is>
      </c>
      <c r="H5675" s="12" t="inlineStr">
        <is>
          <t>Chillers x6 (water-cooled)</t>
        </is>
      </c>
      <c r="I5675" s="12" t="inlineStr">
        <is>
          <t>Instrumentation</t>
        </is>
      </c>
      <c r="J5675" s="12" t="inlineStr">
        <is>
          <t>Instrumentation PLTC / TC-ER 300 V, #18 twisted shielded pairs, overall shield</t>
        </is>
      </c>
      <c r="K5675" s="12" t="inlineStr">
        <is>
          <t>PLTC|24 pr|18</t>
        </is>
      </c>
      <c r="L5675" s="12" t="inlineStr">
        <is>
          <t>24 pr</t>
        </is>
      </c>
      <c r="M5675" s="12" t="inlineStr">
        <is>
          <t>18</t>
        </is>
      </c>
      <c r="N5675" s="12" t="n">
        <v>1</v>
      </c>
      <c r="O5675" s="12" t="n">
        <v>1</v>
      </c>
      <c r="P5675" s="12" t="n"/>
      <c r="Q5675" s="12" t="n"/>
      <c r="R5675" s="12" t="n"/>
      <c r="S5675" s="12" t="inlineStr">
        <is>
          <t>Duct bank</t>
        </is>
      </c>
      <c r="T5675" s="15" t="n">
        <v>10</v>
      </c>
      <c r="U5675" s="15" t="n">
        <v>32</v>
      </c>
      <c r="V5675" s="15">
        <f>ROUNDUP((T5675+U5675+2*'Read Me'!$B$13)*(1+'Read Me'!$B$12),-1)</f>
        <v/>
      </c>
      <c r="W5675" s="15">
        <f>V5675*N5675*O5675</f>
        <v/>
      </c>
      <c r="X5675" s="12">
        <f>IF(LEFT(I5675,2)="MV",2*N5675*IF(L5675="1/C",O5675,1),0)</f>
        <v/>
      </c>
      <c r="Y5675" s="12">
        <f>IF(OR(LEFT(K5675,4)="LVAX",LEFT(K5675,6)="MV15AX",LEFT(K5675,4)="CTAX",LEFT(K5675,2)="W|"),2*N5675*O5675,0)</f>
        <v/>
      </c>
      <c r="Z5675" s="12" t="inlineStr"/>
      <c r="AA5675" s="12">
        <f>N5675*O5675</f>
        <v/>
      </c>
    </row>
    <row r="5676">
      <c r="A5676" s="12" t="inlineStr">
        <is>
          <t>J-I-0027</t>
        </is>
      </c>
      <c r="B5676" s="12" t="inlineStr">
        <is>
          <t>J</t>
        </is>
      </c>
      <c r="C5676" s="12" t="inlineStr">
        <is>
          <t>GT inlet chilling</t>
        </is>
      </c>
      <c r="D5676" s="12" t="inlineStr">
        <is>
          <t>Analog instrument to JB JB-Chillers x6 (water-AI06: 20 x 1 pr (field cables)</t>
        </is>
      </c>
      <c r="E5676" s="12" t="inlineStr"/>
      <c r="F5676" s="12" t="inlineStr">
        <is>
          <t>Chillers x6 (water-cooled)</t>
        </is>
      </c>
      <c r="G5676" s="12" t="inlineStr">
        <is>
          <t>JB-Chillers x6 (water-AI06</t>
        </is>
      </c>
      <c r="H5676" s="12" t="inlineStr">
        <is>
          <t>Chillers x6 (water-cooled)</t>
        </is>
      </c>
      <c r="I5676" s="12" t="inlineStr">
        <is>
          <t>Instrumentation</t>
        </is>
      </c>
      <c r="J5676" s="12" t="inlineStr">
        <is>
          <t>Instrumentation PLTC / TC-ER 300 V, #18 twisted shielded pairs, overall shield</t>
        </is>
      </c>
      <c r="K5676" s="12" t="inlineStr">
        <is>
          <t>PLTC|1 pr|16</t>
        </is>
      </c>
      <c r="L5676" s="12" t="inlineStr">
        <is>
          <t>1 pr</t>
        </is>
      </c>
      <c r="M5676" s="12" t="inlineStr">
        <is>
          <t>16</t>
        </is>
      </c>
      <c r="N5676" s="12" t="n">
        <v>20</v>
      </c>
      <c r="O5676" s="12" t="n">
        <v>1</v>
      </c>
      <c r="P5676" s="12" t="n"/>
      <c r="Q5676" s="12" t="n"/>
      <c r="R5676" s="12" t="n"/>
      <c r="S5676" s="12" t="inlineStr">
        <is>
          <t>Tray / conduit</t>
        </is>
      </c>
      <c r="T5676" s="15" t="n">
        <v>190</v>
      </c>
      <c r="U5676" s="15" t="n">
        <v>10</v>
      </c>
      <c r="V5676" s="15">
        <f>ROUNDUP((T5676+U5676+2*'Read Me'!$B$13)*(1+'Read Me'!$B$12),-1)</f>
        <v/>
      </c>
      <c r="W5676" s="15">
        <f>V5676*N5676*O5676</f>
        <v/>
      </c>
      <c r="X5676" s="12">
        <f>IF(LEFT(I5676,2)="MV",2*N5676*IF(L5676="1/C",O5676,1),0)</f>
        <v/>
      </c>
      <c r="Y5676" s="12">
        <f>IF(OR(LEFT(K5676,4)="LVAX",LEFT(K5676,6)="MV15AX",LEFT(K5676,4)="CTAX",LEFT(K5676,2)="W|"),2*N5676*O5676,0)</f>
        <v/>
      </c>
      <c r="Z5676" s="12" t="inlineStr">
        <is>
          <t>device-to-JB field wiring, one cable per device</t>
        </is>
      </c>
      <c r="AA5676" s="12">
        <f>N5676*O5676</f>
        <v/>
      </c>
    </row>
    <row r="5677">
      <c r="A5677" s="12" t="inlineStr">
        <is>
          <t>J-I-0028</t>
        </is>
      </c>
      <c r="B5677" s="12" t="inlineStr">
        <is>
          <t>J</t>
        </is>
      </c>
      <c r="C5677" s="12" t="inlineStr">
        <is>
          <t>GT inlet chilling</t>
        </is>
      </c>
      <c r="D5677" s="12" t="inlineStr">
        <is>
          <t>Home run JB-Chillers x6 (water-AI06 to the control / marshalling room</t>
        </is>
      </c>
      <c r="E5677" s="12" t="inlineStr"/>
      <c r="F5677" s="12" t="inlineStr">
        <is>
          <t>Inlet-chilling e-house / transformer</t>
        </is>
      </c>
      <c r="G5677" s="12" t="inlineStr">
        <is>
          <t>JB-Chillers x6 (water-AI06</t>
        </is>
      </c>
      <c r="H5677" s="12" t="inlineStr">
        <is>
          <t>Chillers x6 (water-cooled)</t>
        </is>
      </c>
      <c r="I5677" s="12" t="inlineStr">
        <is>
          <t>Instrumentation</t>
        </is>
      </c>
      <c r="J5677" s="12" t="inlineStr">
        <is>
          <t>Instrumentation PLTC / TC-ER 300 V, #18 twisted shielded pairs, overall shield</t>
        </is>
      </c>
      <c r="K5677" s="12" t="inlineStr">
        <is>
          <t>PLTC|24 pr|18</t>
        </is>
      </c>
      <c r="L5677" s="12" t="inlineStr">
        <is>
          <t>24 pr</t>
        </is>
      </c>
      <c r="M5677" s="12" t="inlineStr">
        <is>
          <t>18</t>
        </is>
      </c>
      <c r="N5677" s="12" t="n">
        <v>1</v>
      </c>
      <c r="O5677" s="12" t="n">
        <v>1</v>
      </c>
      <c r="P5677" s="12" t="n"/>
      <c r="Q5677" s="12" t="n"/>
      <c r="R5677" s="12" t="n"/>
      <c r="S5677" s="12" t="inlineStr">
        <is>
          <t>Duct bank</t>
        </is>
      </c>
      <c r="T5677" s="15" t="n">
        <v>10</v>
      </c>
      <c r="U5677" s="15" t="n">
        <v>32</v>
      </c>
      <c r="V5677" s="15">
        <f>ROUNDUP((T5677+U5677+2*'Read Me'!$B$13)*(1+'Read Me'!$B$12),-1)</f>
        <v/>
      </c>
      <c r="W5677" s="15">
        <f>V5677*N5677*O5677</f>
        <v/>
      </c>
      <c r="X5677" s="12">
        <f>IF(LEFT(I5677,2)="MV",2*N5677*IF(L5677="1/C",O5677,1),0)</f>
        <v/>
      </c>
      <c r="Y5677" s="12">
        <f>IF(OR(LEFT(K5677,4)="LVAX",LEFT(K5677,6)="MV15AX",LEFT(K5677,4)="CTAX",LEFT(K5677,2)="W|"),2*N5677*O5677,0)</f>
        <v/>
      </c>
      <c r="Z5677" s="12" t="inlineStr"/>
      <c r="AA5677" s="12">
        <f>N5677*O5677</f>
        <v/>
      </c>
    </row>
    <row r="5678">
      <c r="A5678" s="12" t="inlineStr">
        <is>
          <t>J-I-0029</t>
        </is>
      </c>
      <c r="B5678" s="12" t="inlineStr">
        <is>
          <t>J</t>
        </is>
      </c>
      <c r="C5678" s="12" t="inlineStr">
        <is>
          <t>GT inlet chilling</t>
        </is>
      </c>
      <c r="D5678" s="12" t="inlineStr">
        <is>
          <t>Discrete device to JB JB-Chillers x6 (water-DI01: 20 x 1 pr (field cables)</t>
        </is>
      </c>
      <c r="E5678" s="12" t="inlineStr"/>
      <c r="F5678" s="12" t="inlineStr">
        <is>
          <t>Chillers x6 (water-cooled)</t>
        </is>
      </c>
      <c r="G5678" s="12" t="inlineStr">
        <is>
          <t>JB-Chillers x6 (water-DI01</t>
        </is>
      </c>
      <c r="H5678" s="12" t="inlineStr">
        <is>
          <t>Chillers x6 (water-cooled)</t>
        </is>
      </c>
      <c r="I5678" s="12" t="inlineStr">
        <is>
          <t>Instrumentation</t>
        </is>
      </c>
      <c r="J5678" s="12" t="inlineStr">
        <is>
          <t>Instrumentation PLTC / TC-ER 300 V, #18 twisted shielded pairs, overall shield</t>
        </is>
      </c>
      <c r="K5678" s="12" t="inlineStr">
        <is>
          <t>PLTC|1 pr|16</t>
        </is>
      </c>
      <c r="L5678" s="12" t="inlineStr">
        <is>
          <t>1 pr</t>
        </is>
      </c>
      <c r="M5678" s="12" t="inlineStr">
        <is>
          <t>16</t>
        </is>
      </c>
      <c r="N5678" s="12" t="n">
        <v>20</v>
      </c>
      <c r="O5678" s="12" t="n">
        <v>1</v>
      </c>
      <c r="P5678" s="12" t="n"/>
      <c r="Q5678" s="12" t="n"/>
      <c r="R5678" s="12" t="n"/>
      <c r="S5678" s="12" t="inlineStr">
        <is>
          <t>Tray / conduit</t>
        </is>
      </c>
      <c r="T5678" s="15" t="n">
        <v>190</v>
      </c>
      <c r="U5678" s="15" t="n">
        <v>10</v>
      </c>
      <c r="V5678" s="15">
        <f>ROUNDUP((T5678+U5678+2*'Read Me'!$B$13)*(1+'Read Me'!$B$12),-1)</f>
        <v/>
      </c>
      <c r="W5678" s="15">
        <f>V5678*N5678*O5678</f>
        <v/>
      </c>
      <c r="X5678" s="12">
        <f>IF(LEFT(I5678,2)="MV",2*N5678*IF(L5678="1/C",O5678,1),0)</f>
        <v/>
      </c>
      <c r="Y5678" s="12">
        <f>IF(OR(LEFT(K5678,4)="LVAX",LEFT(K5678,6)="MV15AX",LEFT(K5678,4)="CTAX",LEFT(K5678,2)="W|"),2*N5678*O5678,0)</f>
        <v/>
      </c>
      <c r="Z5678" s="12" t="inlineStr">
        <is>
          <t>device-to-JB field wiring, one cable per device</t>
        </is>
      </c>
      <c r="AA5678" s="12">
        <f>N5678*O5678</f>
        <v/>
      </c>
    </row>
    <row r="5679">
      <c r="A5679" s="12" t="inlineStr">
        <is>
          <t>J-I-0030</t>
        </is>
      </c>
      <c r="B5679" s="12" t="inlineStr">
        <is>
          <t>J</t>
        </is>
      </c>
      <c r="C5679" s="12" t="inlineStr">
        <is>
          <t>GT inlet chilling</t>
        </is>
      </c>
      <c r="D5679" s="12" t="inlineStr">
        <is>
          <t>Home run JB-Chillers x6 (water-DI01 to the control / marshalling room</t>
        </is>
      </c>
      <c r="E5679" s="12" t="inlineStr"/>
      <c r="F5679" s="12" t="inlineStr">
        <is>
          <t>Inlet-chilling e-house / transformer</t>
        </is>
      </c>
      <c r="G5679" s="12" t="inlineStr">
        <is>
          <t>JB-Chillers x6 (water-DI01</t>
        </is>
      </c>
      <c r="H5679" s="12" t="inlineStr">
        <is>
          <t>Chillers x6 (water-cooled)</t>
        </is>
      </c>
      <c r="I5679" s="12" t="inlineStr">
        <is>
          <t>Instrumentation</t>
        </is>
      </c>
      <c r="J5679" s="12" t="inlineStr">
        <is>
          <t>Instrumentation PLTC / TC-ER 300 V, #18 twisted shielded pairs, overall shield</t>
        </is>
      </c>
      <c r="K5679" s="12" t="inlineStr">
        <is>
          <t>PLTC|24 pr|18</t>
        </is>
      </c>
      <c r="L5679" s="12" t="inlineStr">
        <is>
          <t>24 pr</t>
        </is>
      </c>
      <c r="M5679" s="12" t="inlineStr">
        <is>
          <t>18</t>
        </is>
      </c>
      <c r="N5679" s="12" t="n">
        <v>1</v>
      </c>
      <c r="O5679" s="12" t="n">
        <v>1</v>
      </c>
      <c r="P5679" s="12" t="n"/>
      <c r="Q5679" s="12" t="n"/>
      <c r="R5679" s="12" t="n"/>
      <c r="S5679" s="12" t="inlineStr">
        <is>
          <t>Duct bank</t>
        </is>
      </c>
      <c r="T5679" s="15" t="n">
        <v>10</v>
      </c>
      <c r="U5679" s="15" t="n">
        <v>32</v>
      </c>
      <c r="V5679" s="15">
        <f>ROUNDUP((T5679+U5679+2*'Read Me'!$B$13)*(1+'Read Me'!$B$12),-1)</f>
        <v/>
      </c>
      <c r="W5679" s="15">
        <f>V5679*N5679*O5679</f>
        <v/>
      </c>
      <c r="X5679" s="12">
        <f>IF(LEFT(I5679,2)="MV",2*N5679*IF(L5679="1/C",O5679,1),0)</f>
        <v/>
      </c>
      <c r="Y5679" s="12">
        <f>IF(OR(LEFT(K5679,4)="LVAX",LEFT(K5679,6)="MV15AX",LEFT(K5679,4)="CTAX",LEFT(K5679,2)="W|"),2*N5679*O5679,0)</f>
        <v/>
      </c>
      <c r="Z5679" s="12" t="inlineStr"/>
      <c r="AA5679" s="12">
        <f>N5679*O5679</f>
        <v/>
      </c>
    </row>
    <row r="5680">
      <c r="A5680" s="12" t="inlineStr">
        <is>
          <t>J-I-0031</t>
        </is>
      </c>
      <c r="B5680" s="12" t="inlineStr">
        <is>
          <t>J</t>
        </is>
      </c>
      <c r="C5680" s="12" t="inlineStr">
        <is>
          <t>GT inlet chilling</t>
        </is>
      </c>
      <c r="D5680" s="12" t="inlineStr">
        <is>
          <t>Discrete device to JB JB-Chillers x6 (water-DI02: 20 x 1 pr (field cables)</t>
        </is>
      </c>
      <c r="E5680" s="12" t="inlineStr"/>
      <c r="F5680" s="12" t="inlineStr">
        <is>
          <t>Chillers x6 (water-cooled)</t>
        </is>
      </c>
      <c r="G5680" s="12" t="inlineStr">
        <is>
          <t>JB-Chillers x6 (water-DI02</t>
        </is>
      </c>
      <c r="H5680" s="12" t="inlineStr">
        <is>
          <t>Chillers x6 (water-cooled)</t>
        </is>
      </c>
      <c r="I5680" s="12" t="inlineStr">
        <is>
          <t>Instrumentation</t>
        </is>
      </c>
      <c r="J5680" s="12" t="inlineStr">
        <is>
          <t>Instrumentation PLTC / TC-ER 300 V, #18 twisted shielded pairs, overall shield</t>
        </is>
      </c>
      <c r="K5680" s="12" t="inlineStr">
        <is>
          <t>PLTC|1 pr|16</t>
        </is>
      </c>
      <c r="L5680" s="12" t="inlineStr">
        <is>
          <t>1 pr</t>
        </is>
      </c>
      <c r="M5680" s="12" t="inlineStr">
        <is>
          <t>16</t>
        </is>
      </c>
      <c r="N5680" s="12" t="n">
        <v>20</v>
      </c>
      <c r="O5680" s="12" t="n">
        <v>1</v>
      </c>
      <c r="P5680" s="12" t="n"/>
      <c r="Q5680" s="12" t="n"/>
      <c r="R5680" s="12" t="n"/>
      <c r="S5680" s="12" t="inlineStr">
        <is>
          <t>Tray / conduit</t>
        </is>
      </c>
      <c r="T5680" s="15" t="n">
        <v>190</v>
      </c>
      <c r="U5680" s="15" t="n">
        <v>10</v>
      </c>
      <c r="V5680" s="15">
        <f>ROUNDUP((T5680+U5680+2*'Read Me'!$B$13)*(1+'Read Me'!$B$12),-1)</f>
        <v/>
      </c>
      <c r="W5680" s="15">
        <f>V5680*N5680*O5680</f>
        <v/>
      </c>
      <c r="X5680" s="12">
        <f>IF(LEFT(I5680,2)="MV",2*N5680*IF(L5680="1/C",O5680,1),0)</f>
        <v/>
      </c>
      <c r="Y5680" s="12">
        <f>IF(OR(LEFT(K5680,4)="LVAX",LEFT(K5680,6)="MV15AX",LEFT(K5680,4)="CTAX",LEFT(K5680,2)="W|"),2*N5680*O5680,0)</f>
        <v/>
      </c>
      <c r="Z5680" s="12" t="inlineStr">
        <is>
          <t>device-to-JB field wiring, one cable per device</t>
        </is>
      </c>
      <c r="AA5680" s="12">
        <f>N5680*O5680</f>
        <v/>
      </c>
    </row>
    <row r="5681">
      <c r="A5681" s="12" t="inlineStr">
        <is>
          <t>J-I-0032</t>
        </is>
      </c>
      <c r="B5681" s="12" t="inlineStr">
        <is>
          <t>J</t>
        </is>
      </c>
      <c r="C5681" s="12" t="inlineStr">
        <is>
          <t>GT inlet chilling</t>
        </is>
      </c>
      <c r="D5681" s="12" t="inlineStr">
        <is>
          <t>Home run JB-Chillers x6 (water-DI02 to the control / marshalling room</t>
        </is>
      </c>
      <c r="E5681" s="12" t="inlineStr"/>
      <c r="F5681" s="12" t="inlineStr">
        <is>
          <t>Inlet-chilling e-house / transformer</t>
        </is>
      </c>
      <c r="G5681" s="12" t="inlineStr">
        <is>
          <t>JB-Chillers x6 (water-DI02</t>
        </is>
      </c>
      <c r="H5681" s="12" t="inlineStr">
        <is>
          <t>Chillers x6 (water-cooled)</t>
        </is>
      </c>
      <c r="I5681" s="12" t="inlineStr">
        <is>
          <t>Instrumentation</t>
        </is>
      </c>
      <c r="J5681" s="12" t="inlineStr">
        <is>
          <t>Instrumentation PLTC / TC-ER 300 V, #18 twisted shielded pairs, overall shield</t>
        </is>
      </c>
      <c r="K5681" s="12" t="inlineStr">
        <is>
          <t>PLTC|24 pr|18</t>
        </is>
      </c>
      <c r="L5681" s="12" t="inlineStr">
        <is>
          <t>24 pr</t>
        </is>
      </c>
      <c r="M5681" s="12" t="inlineStr">
        <is>
          <t>18</t>
        </is>
      </c>
      <c r="N5681" s="12" t="n">
        <v>1</v>
      </c>
      <c r="O5681" s="12" t="n">
        <v>1</v>
      </c>
      <c r="P5681" s="12" t="n"/>
      <c r="Q5681" s="12" t="n"/>
      <c r="R5681" s="12" t="n"/>
      <c r="S5681" s="12" t="inlineStr">
        <is>
          <t>Duct bank</t>
        </is>
      </c>
      <c r="T5681" s="15" t="n">
        <v>10</v>
      </c>
      <c r="U5681" s="15" t="n">
        <v>32</v>
      </c>
      <c r="V5681" s="15">
        <f>ROUNDUP((T5681+U5681+2*'Read Me'!$B$13)*(1+'Read Me'!$B$12),-1)</f>
        <v/>
      </c>
      <c r="W5681" s="15">
        <f>V5681*N5681*O5681</f>
        <v/>
      </c>
      <c r="X5681" s="12">
        <f>IF(LEFT(I5681,2)="MV",2*N5681*IF(L5681="1/C",O5681,1),0)</f>
        <v/>
      </c>
      <c r="Y5681" s="12">
        <f>IF(OR(LEFT(K5681,4)="LVAX",LEFT(K5681,6)="MV15AX",LEFT(K5681,4)="CTAX",LEFT(K5681,2)="W|"),2*N5681*O5681,0)</f>
        <v/>
      </c>
      <c r="Z5681" s="12" t="inlineStr"/>
      <c r="AA5681" s="12">
        <f>N5681*O5681</f>
        <v/>
      </c>
    </row>
    <row r="5682">
      <c r="A5682" s="12" t="inlineStr">
        <is>
          <t>J-I-0033</t>
        </is>
      </c>
      <c r="B5682" s="12" t="inlineStr">
        <is>
          <t>J</t>
        </is>
      </c>
      <c r="C5682" s="12" t="inlineStr">
        <is>
          <t>GT inlet chilling</t>
        </is>
      </c>
      <c r="D5682" s="12" t="inlineStr">
        <is>
          <t>Discrete device to JB JB-Chillers x6 (water-DI03: 20 x 1 pr (field cables)</t>
        </is>
      </c>
      <c r="E5682" s="12" t="inlineStr"/>
      <c r="F5682" s="12" t="inlineStr">
        <is>
          <t>Chillers x6 (water-cooled)</t>
        </is>
      </c>
      <c r="G5682" s="12" t="inlineStr">
        <is>
          <t>JB-Chillers x6 (water-DI03</t>
        </is>
      </c>
      <c r="H5682" s="12" t="inlineStr">
        <is>
          <t>Chillers x6 (water-cooled)</t>
        </is>
      </c>
      <c r="I5682" s="12" t="inlineStr">
        <is>
          <t>Instrumentation</t>
        </is>
      </c>
      <c r="J5682" s="12" t="inlineStr">
        <is>
          <t>Instrumentation PLTC / TC-ER 300 V, #18 twisted shielded pairs, overall shield</t>
        </is>
      </c>
      <c r="K5682" s="12" t="inlineStr">
        <is>
          <t>PLTC|1 pr|16</t>
        </is>
      </c>
      <c r="L5682" s="12" t="inlineStr">
        <is>
          <t>1 pr</t>
        </is>
      </c>
      <c r="M5682" s="12" t="inlineStr">
        <is>
          <t>16</t>
        </is>
      </c>
      <c r="N5682" s="12" t="n">
        <v>20</v>
      </c>
      <c r="O5682" s="12" t="n">
        <v>1</v>
      </c>
      <c r="P5682" s="12" t="n"/>
      <c r="Q5682" s="12" t="n"/>
      <c r="R5682" s="12" t="n"/>
      <c r="S5682" s="12" t="inlineStr">
        <is>
          <t>Tray / conduit</t>
        </is>
      </c>
      <c r="T5682" s="15" t="n">
        <v>190</v>
      </c>
      <c r="U5682" s="15" t="n">
        <v>10</v>
      </c>
      <c r="V5682" s="15">
        <f>ROUNDUP((T5682+U5682+2*'Read Me'!$B$13)*(1+'Read Me'!$B$12),-1)</f>
        <v/>
      </c>
      <c r="W5682" s="15">
        <f>V5682*N5682*O5682</f>
        <v/>
      </c>
      <c r="X5682" s="12">
        <f>IF(LEFT(I5682,2)="MV",2*N5682*IF(L5682="1/C",O5682,1),0)</f>
        <v/>
      </c>
      <c r="Y5682" s="12">
        <f>IF(OR(LEFT(K5682,4)="LVAX",LEFT(K5682,6)="MV15AX",LEFT(K5682,4)="CTAX",LEFT(K5682,2)="W|"),2*N5682*O5682,0)</f>
        <v/>
      </c>
      <c r="Z5682" s="12" t="inlineStr">
        <is>
          <t>device-to-JB field wiring, one cable per device</t>
        </is>
      </c>
      <c r="AA5682" s="12">
        <f>N5682*O5682</f>
        <v/>
      </c>
    </row>
    <row r="5683">
      <c r="A5683" s="12" t="inlineStr">
        <is>
          <t>J-I-0034</t>
        </is>
      </c>
      <c r="B5683" s="12" t="inlineStr">
        <is>
          <t>J</t>
        </is>
      </c>
      <c r="C5683" s="12" t="inlineStr">
        <is>
          <t>GT inlet chilling</t>
        </is>
      </c>
      <c r="D5683" s="12" t="inlineStr">
        <is>
          <t>Home run JB-Chillers x6 (water-DI03 to the control / marshalling room</t>
        </is>
      </c>
      <c r="E5683" s="12" t="inlineStr"/>
      <c r="F5683" s="12" t="inlineStr">
        <is>
          <t>Inlet-chilling e-house / transformer</t>
        </is>
      </c>
      <c r="G5683" s="12" t="inlineStr">
        <is>
          <t>JB-Chillers x6 (water-DI03</t>
        </is>
      </c>
      <c r="H5683" s="12" t="inlineStr">
        <is>
          <t>Chillers x6 (water-cooled)</t>
        </is>
      </c>
      <c r="I5683" s="12" t="inlineStr">
        <is>
          <t>Instrumentation</t>
        </is>
      </c>
      <c r="J5683" s="12" t="inlineStr">
        <is>
          <t>Instrumentation PLTC / TC-ER 300 V, #18 twisted shielded pairs, overall shield</t>
        </is>
      </c>
      <c r="K5683" s="12" t="inlineStr">
        <is>
          <t>PLTC|24 pr|18</t>
        </is>
      </c>
      <c r="L5683" s="12" t="inlineStr">
        <is>
          <t>24 pr</t>
        </is>
      </c>
      <c r="M5683" s="12" t="inlineStr">
        <is>
          <t>18</t>
        </is>
      </c>
      <c r="N5683" s="12" t="n">
        <v>1</v>
      </c>
      <c r="O5683" s="12" t="n">
        <v>1</v>
      </c>
      <c r="P5683" s="12" t="n"/>
      <c r="Q5683" s="12" t="n"/>
      <c r="R5683" s="12" t="n"/>
      <c r="S5683" s="12" t="inlineStr">
        <is>
          <t>Duct bank</t>
        </is>
      </c>
      <c r="T5683" s="15" t="n">
        <v>10</v>
      </c>
      <c r="U5683" s="15" t="n">
        <v>32</v>
      </c>
      <c r="V5683" s="15">
        <f>ROUNDUP((T5683+U5683+2*'Read Me'!$B$13)*(1+'Read Me'!$B$12),-1)</f>
        <v/>
      </c>
      <c r="W5683" s="15">
        <f>V5683*N5683*O5683</f>
        <v/>
      </c>
      <c r="X5683" s="12">
        <f>IF(LEFT(I5683,2)="MV",2*N5683*IF(L5683="1/C",O5683,1),0)</f>
        <v/>
      </c>
      <c r="Y5683" s="12">
        <f>IF(OR(LEFT(K5683,4)="LVAX",LEFT(K5683,6)="MV15AX",LEFT(K5683,4)="CTAX",LEFT(K5683,2)="W|"),2*N5683*O5683,0)</f>
        <v/>
      </c>
      <c r="Z5683" s="12" t="inlineStr"/>
      <c r="AA5683" s="12">
        <f>N5683*O5683</f>
        <v/>
      </c>
    </row>
    <row r="5684">
      <c r="A5684" s="12" t="inlineStr">
        <is>
          <t>J-I-0035</t>
        </is>
      </c>
      <c r="B5684" s="12" t="inlineStr">
        <is>
          <t>J</t>
        </is>
      </c>
      <c r="C5684" s="12" t="inlineStr">
        <is>
          <t>GT inlet chilling</t>
        </is>
      </c>
      <c r="D5684" s="12" t="inlineStr">
        <is>
          <t>Discrete device to JB JB-Chillers x6 (water-DI04: 20 x 1 pr (field cables)</t>
        </is>
      </c>
      <c r="E5684" s="12" t="inlineStr"/>
      <c r="F5684" s="12" t="inlineStr">
        <is>
          <t>Chillers x6 (water-cooled)</t>
        </is>
      </c>
      <c r="G5684" s="12" t="inlineStr">
        <is>
          <t>JB-Chillers x6 (water-DI04</t>
        </is>
      </c>
      <c r="H5684" s="12" t="inlineStr">
        <is>
          <t>Chillers x6 (water-cooled)</t>
        </is>
      </c>
      <c r="I5684" s="12" t="inlineStr">
        <is>
          <t>Instrumentation</t>
        </is>
      </c>
      <c r="J5684" s="12" t="inlineStr">
        <is>
          <t>Instrumentation PLTC / TC-ER 300 V, #18 twisted shielded pairs, overall shield</t>
        </is>
      </c>
      <c r="K5684" s="12" t="inlineStr">
        <is>
          <t>PLTC|1 pr|16</t>
        </is>
      </c>
      <c r="L5684" s="12" t="inlineStr">
        <is>
          <t>1 pr</t>
        </is>
      </c>
      <c r="M5684" s="12" t="inlineStr">
        <is>
          <t>16</t>
        </is>
      </c>
      <c r="N5684" s="12" t="n">
        <v>20</v>
      </c>
      <c r="O5684" s="12" t="n">
        <v>1</v>
      </c>
      <c r="P5684" s="12" t="n"/>
      <c r="Q5684" s="12" t="n"/>
      <c r="R5684" s="12" t="n"/>
      <c r="S5684" s="12" t="inlineStr">
        <is>
          <t>Tray / conduit</t>
        </is>
      </c>
      <c r="T5684" s="15" t="n">
        <v>190</v>
      </c>
      <c r="U5684" s="15" t="n">
        <v>10</v>
      </c>
      <c r="V5684" s="15">
        <f>ROUNDUP((T5684+U5684+2*'Read Me'!$B$13)*(1+'Read Me'!$B$12),-1)</f>
        <v/>
      </c>
      <c r="W5684" s="15">
        <f>V5684*N5684*O5684</f>
        <v/>
      </c>
      <c r="X5684" s="12">
        <f>IF(LEFT(I5684,2)="MV",2*N5684*IF(L5684="1/C",O5684,1),0)</f>
        <v/>
      </c>
      <c r="Y5684" s="12">
        <f>IF(OR(LEFT(K5684,4)="LVAX",LEFT(K5684,6)="MV15AX",LEFT(K5684,4)="CTAX",LEFT(K5684,2)="W|"),2*N5684*O5684,0)</f>
        <v/>
      </c>
      <c r="Z5684" s="12" t="inlineStr">
        <is>
          <t>device-to-JB field wiring, one cable per device</t>
        </is>
      </c>
      <c r="AA5684" s="12">
        <f>N5684*O5684</f>
        <v/>
      </c>
    </row>
    <row r="5685">
      <c r="A5685" s="12" t="inlineStr">
        <is>
          <t>J-I-0036</t>
        </is>
      </c>
      <c r="B5685" s="12" t="inlineStr">
        <is>
          <t>J</t>
        </is>
      </c>
      <c r="C5685" s="12" t="inlineStr">
        <is>
          <t>GT inlet chilling</t>
        </is>
      </c>
      <c r="D5685" s="12" t="inlineStr">
        <is>
          <t>Home run JB-Chillers x6 (water-DI04 to the control / marshalling room</t>
        </is>
      </c>
      <c r="E5685" s="12" t="inlineStr"/>
      <c r="F5685" s="12" t="inlineStr">
        <is>
          <t>Inlet-chilling e-house / transformer</t>
        </is>
      </c>
      <c r="G5685" s="12" t="inlineStr">
        <is>
          <t>JB-Chillers x6 (water-DI04</t>
        </is>
      </c>
      <c r="H5685" s="12" t="inlineStr">
        <is>
          <t>Chillers x6 (water-cooled)</t>
        </is>
      </c>
      <c r="I5685" s="12" t="inlineStr">
        <is>
          <t>Instrumentation</t>
        </is>
      </c>
      <c r="J5685" s="12" t="inlineStr">
        <is>
          <t>Instrumentation PLTC / TC-ER 300 V, #18 twisted shielded pairs, overall shield</t>
        </is>
      </c>
      <c r="K5685" s="12" t="inlineStr">
        <is>
          <t>PLTC|24 pr|18</t>
        </is>
      </c>
      <c r="L5685" s="12" t="inlineStr">
        <is>
          <t>24 pr</t>
        </is>
      </c>
      <c r="M5685" s="12" t="inlineStr">
        <is>
          <t>18</t>
        </is>
      </c>
      <c r="N5685" s="12" t="n">
        <v>1</v>
      </c>
      <c r="O5685" s="12" t="n">
        <v>1</v>
      </c>
      <c r="P5685" s="12" t="n"/>
      <c r="Q5685" s="12" t="n"/>
      <c r="R5685" s="12" t="n"/>
      <c r="S5685" s="12" t="inlineStr">
        <is>
          <t>Duct bank</t>
        </is>
      </c>
      <c r="T5685" s="15" t="n">
        <v>10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J-I-0037</t>
        </is>
      </c>
      <c r="B5686" s="12" t="inlineStr">
        <is>
          <t>J</t>
        </is>
      </c>
      <c r="C5686" s="12" t="inlineStr">
        <is>
          <t>GT inlet chilling</t>
        </is>
      </c>
      <c r="D5686" s="12" t="inlineStr">
        <is>
          <t>Discrete device to JB JB-Chillers x6 (water-DI05: 20 x 1 pr (field cables)</t>
        </is>
      </c>
      <c r="E5686" s="12" t="inlineStr"/>
      <c r="F5686" s="12" t="inlineStr">
        <is>
          <t>Chillers x6 (water-cooled)</t>
        </is>
      </c>
      <c r="G5686" s="12" t="inlineStr">
        <is>
          <t>JB-Chillers x6 (water-DI05</t>
        </is>
      </c>
      <c r="H5686" s="12" t="inlineStr">
        <is>
          <t>Chillers x6 (water-cooled)</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20</v>
      </c>
      <c r="O5686" s="12" t="n">
        <v>1</v>
      </c>
      <c r="P5686" s="12" t="n"/>
      <c r="Q5686" s="12" t="n"/>
      <c r="R5686" s="12" t="n"/>
      <c r="S5686" s="12" t="inlineStr">
        <is>
          <t>Tray / conduit</t>
        </is>
      </c>
      <c r="T5686" s="15" t="n">
        <v>190</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J-I-0038</t>
        </is>
      </c>
      <c r="B5687" s="12" t="inlineStr">
        <is>
          <t>J</t>
        </is>
      </c>
      <c r="C5687" s="12" t="inlineStr">
        <is>
          <t>GT inlet chilling</t>
        </is>
      </c>
      <c r="D5687" s="12" t="inlineStr">
        <is>
          <t>Home run JB-Chillers x6 (water-DI05 to the control / marshalling room</t>
        </is>
      </c>
      <c r="E5687" s="12" t="inlineStr"/>
      <c r="F5687" s="12" t="inlineStr">
        <is>
          <t>Inlet-chilling e-house / transformer</t>
        </is>
      </c>
      <c r="G5687" s="12" t="inlineStr">
        <is>
          <t>JB-Chillers x6 (water-DI05</t>
        </is>
      </c>
      <c r="H5687" s="12" t="inlineStr">
        <is>
          <t>Chillers x6 (water-cooled)</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10</v>
      </c>
      <c r="U5687" s="15" t="n">
        <v>32</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J-I-0039</t>
        </is>
      </c>
      <c r="B5688" s="12" t="inlineStr">
        <is>
          <t>J</t>
        </is>
      </c>
      <c r="C5688" s="12" t="inlineStr">
        <is>
          <t>GT inlet chilling</t>
        </is>
      </c>
      <c r="D5688" s="12" t="inlineStr">
        <is>
          <t>Discrete device to JB JB-Chillers x6 (water-DI06: 20 x 1 pr (field cables)</t>
        </is>
      </c>
      <c r="E5688" s="12" t="inlineStr"/>
      <c r="F5688" s="12" t="inlineStr">
        <is>
          <t>Chillers x6 (water-cooled)</t>
        </is>
      </c>
      <c r="G5688" s="12" t="inlineStr">
        <is>
          <t>JB-Chillers x6 (water-DI06</t>
        </is>
      </c>
      <c r="H5688" s="12" t="inlineStr">
        <is>
          <t>Chillers x6 (water-cooled)</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190</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J-I-0040</t>
        </is>
      </c>
      <c r="B5689" s="12" t="inlineStr">
        <is>
          <t>J</t>
        </is>
      </c>
      <c r="C5689" s="12" t="inlineStr">
        <is>
          <t>GT inlet chilling</t>
        </is>
      </c>
      <c r="D5689" s="12" t="inlineStr">
        <is>
          <t>Home run JB-Chillers x6 (water-DI06 to the control / marshalling room</t>
        </is>
      </c>
      <c r="E5689" s="12" t="inlineStr"/>
      <c r="F5689" s="12" t="inlineStr">
        <is>
          <t>Inlet-chilling e-house / transformer</t>
        </is>
      </c>
      <c r="G5689" s="12" t="inlineStr">
        <is>
          <t>JB-Chillers x6 (water-DI06</t>
        </is>
      </c>
      <c r="H5689" s="12" t="inlineStr">
        <is>
          <t>Chillers x6 (water-cooled)</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10</v>
      </c>
      <c r="U5689" s="15" t="n">
        <v>32</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J-I-0041</t>
        </is>
      </c>
      <c r="B5690" s="12" t="inlineStr">
        <is>
          <t>J</t>
        </is>
      </c>
      <c r="C5690" s="12" t="inlineStr">
        <is>
          <t>GT inlet chilling</t>
        </is>
      </c>
      <c r="D5690" s="12" t="inlineStr">
        <is>
          <t>Instrumentation</t>
        </is>
      </c>
      <c r="E5690" s="12" t="inlineStr"/>
      <c r="F5690" s="12" t="inlineStr">
        <is>
          <t>Inlet-chilling e-house / transformer</t>
        </is>
      </c>
      <c r="G5690" s="12" t="inlineStr"/>
      <c r="H5690" s="12" t="inlineStr">
        <is>
          <t>Inlet-chilling e-house / transformer</t>
        </is>
      </c>
      <c r="I5690" s="12" t="inlineStr">
        <is>
          <t>Instrumentation</t>
        </is>
      </c>
      <c r="J5690" s="12" t="inlineStr">
        <is>
          <t>Instrumentation PLTC / TC-ER 300 V, #18 twisted shielded pairs, overall shield</t>
        </is>
      </c>
      <c r="K5690" s="12" t="inlineStr">
        <is>
          <t>PLTC|4 pr|18</t>
        </is>
      </c>
      <c r="L5690" s="12" t="inlineStr">
        <is>
          <t>4 pr</t>
        </is>
      </c>
      <c r="M5690" s="12" t="inlineStr">
        <is>
          <t>18</t>
        </is>
      </c>
      <c r="N5690" s="12" t="n">
        <v>1</v>
      </c>
      <c r="O5690" s="12" t="n">
        <v>1</v>
      </c>
      <c r="P5690" s="12" t="n"/>
      <c r="Q5690" s="12" t="n"/>
      <c r="R5690" s="12" t="n"/>
      <c r="S5690" s="12" t="inlineStr">
        <is>
          <t>Tray</t>
        </is>
      </c>
      <c r="T5690" s="15" t="n">
        <v>0</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J-I-0042</t>
        </is>
      </c>
      <c r="B5691" s="12" t="inlineStr">
        <is>
          <t>J</t>
        </is>
      </c>
      <c r="C5691" s="12" t="inlineStr">
        <is>
          <t>GT inlet chilling</t>
        </is>
      </c>
      <c r="D5691" s="12" t="inlineStr">
        <is>
          <t>Analog instrument to JB JB-Inlet-chilling tow-AI01: 12 x 1 pr (field cables)</t>
        </is>
      </c>
      <c r="E5691" s="12" t="inlineStr"/>
      <c r="F5691" s="12" t="inlineStr">
        <is>
          <t>Inlet-chilling tower (12 cells): chiller heat rejection</t>
        </is>
      </c>
      <c r="G5691" s="12" t="inlineStr">
        <is>
          <t>JB-Inlet-chilling tow-AI01</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12</v>
      </c>
      <c r="O5691" s="12" t="n">
        <v>1</v>
      </c>
      <c r="P5691" s="12" t="n"/>
      <c r="Q5691" s="12" t="n"/>
      <c r="R5691" s="12" t="n"/>
      <c r="S5691" s="12" t="inlineStr">
        <is>
          <t>Tray / conduit</t>
        </is>
      </c>
      <c r="T5691" s="15" t="n">
        <v>205</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J-I-0043</t>
        </is>
      </c>
      <c r="B5692" s="12" t="inlineStr">
        <is>
          <t>J</t>
        </is>
      </c>
      <c r="C5692" s="12" t="inlineStr">
        <is>
          <t>GT inlet chilling</t>
        </is>
      </c>
      <c r="D5692" s="12" t="inlineStr">
        <is>
          <t>Home run JB-Inlet-chilling tow-AI01 to the control / marshalling room</t>
        </is>
      </c>
      <c r="E5692" s="12" t="inlineStr"/>
      <c r="F5692" s="12" t="inlineStr">
        <is>
          <t>Inlet-chilling e-house / transformer</t>
        </is>
      </c>
      <c r="G5692" s="12" t="inlineStr">
        <is>
          <t>JB-Inlet-chilling tow-AI01</t>
        </is>
      </c>
      <c r="H5692" s="12" t="inlineStr">
        <is>
          <t>Inlet-chilling tower (12 cells): chiller heat rejection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5" t="n">
        <v>478</v>
      </c>
      <c r="U5692" s="15" t="n">
        <v>38</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J-I-0044</t>
        </is>
      </c>
      <c r="B5693" s="12" t="inlineStr">
        <is>
          <t>J</t>
        </is>
      </c>
      <c r="C5693" s="12" t="inlineStr">
        <is>
          <t>GT inlet chilling</t>
        </is>
      </c>
      <c r="D5693" s="12" t="inlineStr">
        <is>
          <t>Discrete device to JB JB-Inlet-chilling tow-DI01: 20 x 1 pr (field cables)</t>
        </is>
      </c>
      <c r="E5693" s="12" t="inlineStr"/>
      <c r="F5693" s="12" t="inlineStr">
        <is>
          <t>Inlet-chilling tower (12 cells): chiller heat rejection</t>
        </is>
      </c>
      <c r="G5693" s="12" t="inlineStr">
        <is>
          <t>JB-Inlet-chilling tow-DI01</t>
        </is>
      </c>
      <c r="H5693" s="12" t="inlineStr">
        <is>
          <t>Inlet-chilling tower (12 cells): chiller heat rejection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5" t="n">
        <v>205</v>
      </c>
      <c r="U5693" s="15" t="n">
        <v>10</v>
      </c>
      <c r="V5693" s="15">
        <f>ROUNDUP((T5693+U5693+2*'Read Me'!$B$13)*(1+'Read Me'!$B$12),-1)</f>
        <v/>
      </c>
      <c r="W5693" s="15">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J-I-0045</t>
        </is>
      </c>
      <c r="B5694" s="12" t="inlineStr">
        <is>
          <t>J</t>
        </is>
      </c>
      <c r="C5694" s="12" t="inlineStr">
        <is>
          <t>GT inlet chilling</t>
        </is>
      </c>
      <c r="D5694" s="12" t="inlineStr">
        <is>
          <t>Home run JB-Inlet-chilling tow-DI01 to the control / marshalling room</t>
        </is>
      </c>
      <c r="E5694" s="12" t="inlineStr"/>
      <c r="F5694" s="12" t="inlineStr">
        <is>
          <t>Inlet-chilling e-house / transformer</t>
        </is>
      </c>
      <c r="G5694" s="12" t="inlineStr">
        <is>
          <t>JB-Inlet-chilling tow-DI01</t>
        </is>
      </c>
      <c r="H5694" s="12" t="inlineStr">
        <is>
          <t>Inlet-chilling tower (12 cells): chiller heat rejection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5" t="n">
        <v>478</v>
      </c>
      <c r="U5694" s="15" t="n">
        <v>38</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J-I-0046</t>
        </is>
      </c>
      <c r="B5695" s="12" t="inlineStr">
        <is>
          <t>J</t>
        </is>
      </c>
      <c r="C5695" s="12" t="inlineStr">
        <is>
          <t>GT inlet chilling</t>
        </is>
      </c>
      <c r="D5695" s="12" t="inlineStr">
        <is>
          <t>Discrete device to JB JB-Inlet-chilling tow-DI02: 4 x 1 pr (field cables)</t>
        </is>
      </c>
      <c r="E5695" s="12" t="inlineStr"/>
      <c r="F5695" s="12" t="inlineStr">
        <is>
          <t>Inlet-chilling tower (12 cells): chiller heat rejection</t>
        </is>
      </c>
      <c r="G5695" s="12" t="inlineStr">
        <is>
          <t>JB-Inlet-chilling tow-DI02</t>
        </is>
      </c>
      <c r="H5695" s="12" t="inlineStr">
        <is>
          <t>Inlet-chilling tower (12 cells): chiller heat rejection</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4</v>
      </c>
      <c r="O5695" s="12" t="n">
        <v>1</v>
      </c>
      <c r="P5695" s="12" t="n"/>
      <c r="Q5695" s="12" t="n"/>
      <c r="R5695" s="12" t="n"/>
      <c r="S5695" s="12" t="inlineStr">
        <is>
          <t>Tray / conduit</t>
        </is>
      </c>
      <c r="T5695" s="15" t="n">
        <v>205</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J-I-0047</t>
        </is>
      </c>
      <c r="B5696" s="12" t="inlineStr">
        <is>
          <t>J</t>
        </is>
      </c>
      <c r="C5696" s="12" t="inlineStr">
        <is>
          <t>GT inlet chilling</t>
        </is>
      </c>
      <c r="D5696" s="12" t="inlineStr">
        <is>
          <t>Home run JB-Inlet-chilling tow-DI02 to the control / marshalling room</t>
        </is>
      </c>
      <c r="E5696" s="12" t="inlineStr"/>
      <c r="F5696" s="12" t="inlineStr">
        <is>
          <t>Inlet-chilling e-house / transformer</t>
        </is>
      </c>
      <c r="G5696" s="12" t="inlineStr">
        <is>
          <t>JB-Inlet-chilling tow-DI02</t>
        </is>
      </c>
      <c r="H5696" s="12" t="inlineStr">
        <is>
          <t>Inlet-chilling tower (12 cells): chiller heat rejection</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478</v>
      </c>
      <c r="U5696" s="15" t="n">
        <v>38</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J-P-0001</t>
        </is>
      </c>
      <c r="B5697" s="12" t="inlineStr">
        <is>
          <t>J</t>
        </is>
      </c>
      <c r="C5697" s="12" t="inlineStr">
        <is>
          <t>GT inlet chilling</t>
        </is>
      </c>
      <c r="D5697" s="12" t="inlineStr">
        <is>
          <t>Motor 1 of 4, 150 kW</t>
        </is>
      </c>
      <c r="E5697" s="12" t="inlineStr"/>
      <c r="F5697" s="12" t="inlineStr">
        <is>
          <t>Inlet-chilling e-house / transformer</t>
        </is>
      </c>
      <c r="G5697" s="12" t="inlineStr"/>
      <c r="H5697" s="12" t="inlineStr">
        <is>
          <t>CHW pumps</t>
        </is>
      </c>
      <c r="I5697" s="12" t="inlineStr">
        <is>
          <t>LV 600 V</t>
        </is>
      </c>
      <c r="J5697" s="12" t="inlineStr">
        <is>
          <t>Type TC-ER 600 V 3/C Cu XHHW-2 + ground, PVC jacket</t>
        </is>
      </c>
      <c r="K5697" s="12" t="inlineStr">
        <is>
          <t>LV|3/C+G|350</t>
        </is>
      </c>
      <c r="L5697" s="12" t="inlineStr">
        <is>
          <t>3/C+G</t>
        </is>
      </c>
      <c r="M5697" s="12" t="inlineStr">
        <is>
          <t>350 kcmil</t>
        </is>
      </c>
      <c r="N5697" s="12" t="n">
        <v>1</v>
      </c>
      <c r="O5697" s="12" t="n">
        <v>1</v>
      </c>
      <c r="P5697" s="12" t="n">
        <v>480</v>
      </c>
      <c r="Q5697" s="12" t="n">
        <v>150</v>
      </c>
      <c r="R5697" s="12" t="n">
        <v>212.3</v>
      </c>
      <c r="S5697" s="12" t="inlineStr">
        <is>
          <t>Duct bank</t>
        </is>
      </c>
      <c r="T5697" s="15" t="n">
        <v>579</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1.9 %</t>
        </is>
      </c>
      <c r="AA5697" s="12">
        <f>N5697*O5697</f>
        <v/>
      </c>
    </row>
    <row r="5698">
      <c r="A5698" s="12" t="inlineStr">
        <is>
          <t>J-P-0002</t>
        </is>
      </c>
      <c r="B5698" s="12" t="inlineStr">
        <is>
          <t>J</t>
        </is>
      </c>
      <c r="C5698" s="12" t="inlineStr">
        <is>
          <t>GT inlet chilling</t>
        </is>
      </c>
      <c r="D5698" s="12" t="inlineStr">
        <is>
          <t>Motor 2 of 4, 150 kW</t>
        </is>
      </c>
      <c r="E5698" s="12" t="inlineStr"/>
      <c r="F5698" s="12" t="inlineStr">
        <is>
          <t>Inlet-chilling e-house / transformer</t>
        </is>
      </c>
      <c r="G5698" s="12" t="inlineStr"/>
      <c r="H5698" s="12" t="inlineStr">
        <is>
          <t>CHW pumps</t>
        </is>
      </c>
      <c r="I5698" s="12" t="inlineStr">
        <is>
          <t>LV 600 V</t>
        </is>
      </c>
      <c r="J5698" s="12" t="inlineStr">
        <is>
          <t>Type TC-ER 600 V 3/C Cu XHHW-2 + ground, PVC jacket</t>
        </is>
      </c>
      <c r="K5698" s="12" t="inlineStr">
        <is>
          <t>LV|3/C+G|350</t>
        </is>
      </c>
      <c r="L5698" s="12" t="inlineStr">
        <is>
          <t>3/C+G</t>
        </is>
      </c>
      <c r="M5698" s="12" t="inlineStr">
        <is>
          <t>350 kcmil</t>
        </is>
      </c>
      <c r="N5698" s="12" t="n">
        <v>1</v>
      </c>
      <c r="O5698" s="12" t="n">
        <v>1</v>
      </c>
      <c r="P5698" s="12" t="n">
        <v>480</v>
      </c>
      <c r="Q5698" s="12" t="n">
        <v>150</v>
      </c>
      <c r="R5698" s="12" t="n">
        <v>212.3</v>
      </c>
      <c r="S5698" s="12" t="inlineStr">
        <is>
          <t>Duct bank</t>
        </is>
      </c>
      <c r="T5698" s="15" t="n">
        <v>579</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1.9 %</t>
        </is>
      </c>
      <c r="AA5698" s="12">
        <f>N5698*O5698</f>
        <v/>
      </c>
    </row>
    <row r="5699">
      <c r="A5699" s="12" t="inlineStr">
        <is>
          <t>J-P-0003</t>
        </is>
      </c>
      <c r="B5699" s="12" t="inlineStr">
        <is>
          <t>J</t>
        </is>
      </c>
      <c r="C5699" s="12" t="inlineStr">
        <is>
          <t>GT inlet chilling</t>
        </is>
      </c>
      <c r="D5699" s="12" t="inlineStr">
        <is>
          <t>Motor 3 of 4, 150 kW</t>
        </is>
      </c>
      <c r="E5699" s="12" t="inlineStr"/>
      <c r="F5699" s="12" t="inlineStr">
        <is>
          <t>Inlet-chilling e-house / transformer</t>
        </is>
      </c>
      <c r="G5699" s="12" t="inlineStr"/>
      <c r="H5699" s="12" t="inlineStr">
        <is>
          <t>CHW pumps</t>
        </is>
      </c>
      <c r="I5699" s="12" t="inlineStr">
        <is>
          <t>LV 600 V</t>
        </is>
      </c>
      <c r="J5699" s="12" t="inlineStr">
        <is>
          <t>Type TC-ER 600 V 3/C Cu XHHW-2 + ground, PVC jacket</t>
        </is>
      </c>
      <c r="K5699" s="12" t="inlineStr">
        <is>
          <t>LV|3/C+G|350</t>
        </is>
      </c>
      <c r="L5699" s="12" t="inlineStr">
        <is>
          <t>3/C+G</t>
        </is>
      </c>
      <c r="M5699" s="12" t="inlineStr">
        <is>
          <t>350 kcmil</t>
        </is>
      </c>
      <c r="N5699" s="12" t="n">
        <v>1</v>
      </c>
      <c r="O5699" s="12" t="n">
        <v>1</v>
      </c>
      <c r="P5699" s="12" t="n">
        <v>480</v>
      </c>
      <c r="Q5699" s="12" t="n">
        <v>150</v>
      </c>
      <c r="R5699" s="12" t="n">
        <v>212.3</v>
      </c>
      <c r="S5699" s="12" t="inlineStr">
        <is>
          <t>Duct bank</t>
        </is>
      </c>
      <c r="T5699" s="15" t="n">
        <v>579</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1.9 %</t>
        </is>
      </c>
      <c r="AA5699" s="12">
        <f>N5699*O5699</f>
        <v/>
      </c>
    </row>
    <row r="5700">
      <c r="A5700" s="12" t="inlineStr">
        <is>
          <t>J-P-0004</t>
        </is>
      </c>
      <c r="B5700" s="12" t="inlineStr">
        <is>
          <t>J</t>
        </is>
      </c>
      <c r="C5700" s="12" t="inlineStr">
        <is>
          <t>GT inlet chilling</t>
        </is>
      </c>
      <c r="D5700" s="12" t="inlineStr">
        <is>
          <t>Motor 4 of 4, 150 kW</t>
        </is>
      </c>
      <c r="E5700" s="12" t="inlineStr"/>
      <c r="F5700" s="12" t="inlineStr">
        <is>
          <t>Inlet-chilling e-house / transformer</t>
        </is>
      </c>
      <c r="G5700" s="12" t="inlineStr"/>
      <c r="H5700" s="12" t="inlineStr">
        <is>
          <t>CHW pumps</t>
        </is>
      </c>
      <c r="I5700" s="12" t="inlineStr">
        <is>
          <t>LV 600 V</t>
        </is>
      </c>
      <c r="J5700" s="12" t="inlineStr">
        <is>
          <t>Type TC-ER 600 V 3/C Cu XHHW-2 + ground, PVC jacket</t>
        </is>
      </c>
      <c r="K5700" s="12" t="inlineStr">
        <is>
          <t>LV|3/C+G|350</t>
        </is>
      </c>
      <c r="L5700" s="12" t="inlineStr">
        <is>
          <t>3/C+G</t>
        </is>
      </c>
      <c r="M5700" s="12" t="inlineStr">
        <is>
          <t>350 kcmil</t>
        </is>
      </c>
      <c r="N5700" s="12" t="n">
        <v>1</v>
      </c>
      <c r="O5700" s="12" t="n">
        <v>1</v>
      </c>
      <c r="P5700" s="12" t="n">
        <v>480</v>
      </c>
      <c r="Q5700" s="12" t="n">
        <v>150</v>
      </c>
      <c r="R5700" s="12" t="n">
        <v>212.3</v>
      </c>
      <c r="S5700" s="12" t="inlineStr">
        <is>
          <t>Duct bank</t>
        </is>
      </c>
      <c r="T5700" s="15" t="n">
        <v>579</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1.9 %</t>
        </is>
      </c>
      <c r="AA5700" s="12">
        <f>N5700*O5700</f>
        <v/>
      </c>
    </row>
    <row r="5701">
      <c r="A5701" s="12" t="inlineStr">
        <is>
          <t>J-P-0005</t>
        </is>
      </c>
      <c r="B5701" s="12" t="inlineStr">
        <is>
          <t>J</t>
        </is>
      </c>
      <c r="C5701" s="12" t="inlineStr">
        <is>
          <t>GT inlet chilling</t>
        </is>
      </c>
      <c r="D5701" s="12" t="inlineStr">
        <is>
          <t>LV power feeder</t>
        </is>
      </c>
      <c r="E5701" s="12" t="inlineStr"/>
      <c r="F5701" s="12" t="inlineStr">
        <is>
          <t>Inlet-chilling e-house / transformer</t>
        </is>
      </c>
      <c r="G5701" s="12" t="inlineStr"/>
      <c r="H5701" s="12" t="inlineStr">
        <is>
          <t>CONDITIONAL: TES chilled-water tank</t>
        </is>
      </c>
      <c r="I5701" s="12" t="inlineStr">
        <is>
          <t>LV 600 V</t>
        </is>
      </c>
      <c r="J5701" s="12" t="inlineStr">
        <is>
          <t>Type TC-ER 600 V 3/C Cu XHHW-2 + ground, PVC jacket</t>
        </is>
      </c>
      <c r="K5701" s="12" t="inlineStr">
        <is>
          <t>LV|3/C+G|8</t>
        </is>
      </c>
      <c r="L5701" s="12" t="inlineStr">
        <is>
          <t>3/C+G</t>
        </is>
      </c>
      <c r="M5701" s="12" t="inlineStr">
        <is>
          <t>8</t>
        </is>
      </c>
      <c r="N5701" s="12" t="n">
        <v>1</v>
      </c>
      <c r="O5701" s="12" t="n">
        <v>1</v>
      </c>
      <c r="P5701" s="12" t="n">
        <v>480</v>
      </c>
      <c r="Q5701" s="12" t="n">
        <v>10</v>
      </c>
      <c r="R5701" s="12" t="n">
        <v>14.2</v>
      </c>
      <c r="S5701" s="12" t="inlineStr">
        <is>
          <t>Duct bank</t>
        </is>
      </c>
      <c r="T5701" s="15" t="n">
        <v>271</v>
      </c>
      <c r="U5701" s="15" t="n">
        <v>217</v>
      </c>
      <c r="V5701" s="15">
        <f>ROUNDUP((T5701+U5701+2*'Read Me'!$B$13)*(1+'Read Me'!$B$12),-1)</f>
        <v/>
      </c>
      <c r="W5701" s="15">
        <f>V5701*N5701*O5701</f>
        <v/>
      </c>
      <c r="X5701" s="12">
        <f>IF(LEFT(I5701,2)="MV",2*N5701*IF(L5701="1/C",O5701,1),0)</f>
        <v/>
      </c>
      <c r="Y5701" s="12">
        <f>IF(OR(LEFT(K5701,4)="LVAX",LEFT(K5701,6)="MV15AX",LEFT(K5701,4)="CTAX",LEFT(K5701,2)="W|"),2*N5701*O5701,0)</f>
        <v/>
      </c>
      <c r="Z5701" s="12" t="inlineStr">
        <is>
          <t>VD 2.1 %</t>
        </is>
      </c>
      <c r="AA5701" s="12">
        <f>N5701*O5701</f>
        <v/>
      </c>
    </row>
    <row r="5702">
      <c r="A5702" s="12" t="inlineStr">
        <is>
          <t>J-P-0006</t>
        </is>
      </c>
      <c r="B5702" s="12" t="inlineStr">
        <is>
          <t>J</t>
        </is>
      </c>
      <c r="C5702" s="12" t="inlineStr">
        <is>
          <t>GT inlet chilling</t>
        </is>
      </c>
      <c r="D5702" s="12" t="inlineStr">
        <is>
          <t>Motor 1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J-P-0007</t>
        </is>
      </c>
      <c r="B5703" s="12" t="inlineStr">
        <is>
          <t>J</t>
        </is>
      </c>
      <c r="C5703" s="12" t="inlineStr">
        <is>
          <t>GT inlet chilling</t>
        </is>
      </c>
      <c r="D5703" s="12" t="inlineStr">
        <is>
          <t>Motor 2 of 6, 7 kW</t>
        </is>
      </c>
      <c r="E5703" s="12" t="inlineStr"/>
      <c r="F5703" s="12" t="inlineStr">
        <is>
          <t>Inlet-chilling e-house / transformer</t>
        </is>
      </c>
      <c r="G5703" s="12" t="inlineStr"/>
      <c r="H5703" s="12" t="inlineStr">
        <is>
          <t>Chillers x6 (water-cooled)</t>
        </is>
      </c>
      <c r="I5703" s="12" t="inlineStr">
        <is>
          <t>LV 600 V</t>
        </is>
      </c>
      <c r="J5703" s="12" t="inlineStr">
        <is>
          <t>Type TC-ER 600 V 3/C Cu XHHW-2 + ground, PVC jacket</t>
        </is>
      </c>
      <c r="K5703" s="12" t="inlineStr">
        <is>
          <t>LV|3/C+G|10</t>
        </is>
      </c>
      <c r="L5703" s="12" t="inlineStr">
        <is>
          <t>3/C+G</t>
        </is>
      </c>
      <c r="M5703" s="12" t="inlineStr">
        <is>
          <t>10</t>
        </is>
      </c>
      <c r="N5703" s="12" t="n">
        <v>1</v>
      </c>
      <c r="O5703" s="12" t="n">
        <v>1</v>
      </c>
      <c r="P5703" s="12" t="n">
        <v>480</v>
      </c>
      <c r="Q5703" s="12" t="n">
        <v>7</v>
      </c>
      <c r="R5703" s="12" t="n">
        <v>9.9</v>
      </c>
      <c r="S5703" s="12" t="inlineStr">
        <is>
          <t>Duct bank</t>
        </is>
      </c>
      <c r="T5703" s="15" t="n">
        <v>10</v>
      </c>
      <c r="U5703" s="15" t="n">
        <v>32</v>
      </c>
      <c r="V5703" s="15">
        <f>ROUNDUP((T5703+U5703+2*'Read Me'!$B$13)*(1+'Read Me'!$B$12),-1)</f>
        <v/>
      </c>
      <c r="W5703" s="15">
        <f>V5703*N5703*O5703</f>
        <v/>
      </c>
      <c r="X5703" s="12">
        <f>IF(LEFT(I5703,2)="MV",2*N5703*IF(L5703="1/C",O5703,1),0)</f>
        <v/>
      </c>
      <c r="Y5703" s="12">
        <f>IF(OR(LEFT(K5703,4)="LVAX",LEFT(K5703,6)="MV15AX",LEFT(K5703,4)="CTAX",LEFT(K5703,2)="W|"),2*N5703*O5703,0)</f>
        <v/>
      </c>
      <c r="Z5703" s="12" t="inlineStr">
        <is>
          <t>VD 0.2 %</t>
        </is>
      </c>
      <c r="AA5703" s="12">
        <f>N5703*O5703</f>
        <v/>
      </c>
    </row>
    <row r="5704">
      <c r="A5704" s="12" t="inlineStr">
        <is>
          <t>J-P-0008</t>
        </is>
      </c>
      <c r="B5704" s="12" t="inlineStr">
        <is>
          <t>J</t>
        </is>
      </c>
      <c r="C5704" s="12" t="inlineStr">
        <is>
          <t>GT inlet chilling</t>
        </is>
      </c>
      <c r="D5704" s="12" t="inlineStr">
        <is>
          <t>Motor 3 of 6, 7 kW</t>
        </is>
      </c>
      <c r="E5704" s="12" t="inlineStr"/>
      <c r="F5704" s="12" t="inlineStr">
        <is>
          <t>Inlet-chilling e-house / transformer</t>
        </is>
      </c>
      <c r="G5704" s="12" t="inlineStr"/>
      <c r="H5704" s="12" t="inlineStr">
        <is>
          <t>Chillers x6 (water-cooled)</t>
        </is>
      </c>
      <c r="I5704" s="12" t="inlineStr">
        <is>
          <t>LV 600 V</t>
        </is>
      </c>
      <c r="J5704" s="12" t="inlineStr">
        <is>
          <t>Type TC-ER 600 V 3/C Cu XHHW-2 + ground, PVC jacket</t>
        </is>
      </c>
      <c r="K5704" s="12" t="inlineStr">
        <is>
          <t>LV|3/C+G|10</t>
        </is>
      </c>
      <c r="L5704" s="12" t="inlineStr">
        <is>
          <t>3/C+G</t>
        </is>
      </c>
      <c r="M5704" s="12" t="inlineStr">
        <is>
          <t>10</t>
        </is>
      </c>
      <c r="N5704" s="12" t="n">
        <v>1</v>
      </c>
      <c r="O5704" s="12" t="n">
        <v>1</v>
      </c>
      <c r="P5704" s="12" t="n">
        <v>480</v>
      </c>
      <c r="Q5704" s="12" t="n">
        <v>7</v>
      </c>
      <c r="R5704" s="12" t="n">
        <v>9.9</v>
      </c>
      <c r="S5704" s="12" t="inlineStr">
        <is>
          <t>Duct bank</t>
        </is>
      </c>
      <c r="T5704" s="15" t="n">
        <v>10</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is>
          <t>VD 0.2 %</t>
        </is>
      </c>
      <c r="AA5704" s="12">
        <f>N5704*O5704</f>
        <v/>
      </c>
    </row>
    <row r="5705">
      <c r="A5705" s="12" t="inlineStr">
        <is>
          <t>J-P-0009</t>
        </is>
      </c>
      <c r="B5705" s="12" t="inlineStr">
        <is>
          <t>J</t>
        </is>
      </c>
      <c r="C5705" s="12" t="inlineStr">
        <is>
          <t>GT inlet chilling</t>
        </is>
      </c>
      <c r="D5705" s="12" t="inlineStr">
        <is>
          <t>Motor 4 of 6, 7 kW</t>
        </is>
      </c>
      <c r="E5705" s="12" t="inlineStr"/>
      <c r="F5705" s="12" t="inlineStr">
        <is>
          <t>Inlet-chilling e-house / transformer</t>
        </is>
      </c>
      <c r="G5705" s="12" t="inlineStr"/>
      <c r="H5705" s="12" t="inlineStr">
        <is>
          <t>Chillers x6 (water-cooled)</t>
        </is>
      </c>
      <c r="I5705" s="12" t="inlineStr">
        <is>
          <t>LV 600 V</t>
        </is>
      </c>
      <c r="J5705" s="12" t="inlineStr">
        <is>
          <t>Type TC-ER 600 V 3/C Cu XHHW-2 + ground, PVC jacket</t>
        </is>
      </c>
      <c r="K5705" s="12" t="inlineStr">
        <is>
          <t>LV|3/C+G|10</t>
        </is>
      </c>
      <c r="L5705" s="12" t="inlineStr">
        <is>
          <t>3/C+G</t>
        </is>
      </c>
      <c r="M5705" s="12" t="inlineStr">
        <is>
          <t>10</t>
        </is>
      </c>
      <c r="N5705" s="12" t="n">
        <v>1</v>
      </c>
      <c r="O5705" s="12" t="n">
        <v>1</v>
      </c>
      <c r="P5705" s="12" t="n">
        <v>480</v>
      </c>
      <c r="Q5705" s="12" t="n">
        <v>7</v>
      </c>
      <c r="R5705" s="12" t="n">
        <v>9.9</v>
      </c>
      <c r="S5705" s="12" t="inlineStr">
        <is>
          <t>Duct bank</t>
        </is>
      </c>
      <c r="T5705" s="15" t="n">
        <v>10</v>
      </c>
      <c r="U5705" s="15" t="n">
        <v>32</v>
      </c>
      <c r="V5705" s="15">
        <f>ROUNDUP((T5705+U5705+2*'Read Me'!$B$13)*(1+'Read Me'!$B$12),-1)</f>
        <v/>
      </c>
      <c r="W5705" s="15">
        <f>V5705*N5705*O5705</f>
        <v/>
      </c>
      <c r="X5705" s="12">
        <f>IF(LEFT(I5705,2)="MV",2*N5705*IF(L5705="1/C",O5705,1),0)</f>
        <v/>
      </c>
      <c r="Y5705" s="12">
        <f>IF(OR(LEFT(K5705,4)="LVAX",LEFT(K5705,6)="MV15AX",LEFT(K5705,4)="CTAX",LEFT(K5705,2)="W|"),2*N5705*O5705,0)</f>
        <v/>
      </c>
      <c r="Z5705" s="12" t="inlineStr">
        <is>
          <t>VD 0.2 %</t>
        </is>
      </c>
      <c r="AA5705" s="12">
        <f>N5705*O5705</f>
        <v/>
      </c>
    </row>
    <row r="5706">
      <c r="A5706" s="12" t="inlineStr">
        <is>
          <t>J-P-0010</t>
        </is>
      </c>
      <c r="B5706" s="12" t="inlineStr">
        <is>
          <t>J</t>
        </is>
      </c>
      <c r="C5706" s="12" t="inlineStr">
        <is>
          <t>GT inlet chilling</t>
        </is>
      </c>
      <c r="D5706" s="12" t="inlineStr">
        <is>
          <t>Motor 5 of 6, 7 kW</t>
        </is>
      </c>
      <c r="E5706" s="12" t="inlineStr"/>
      <c r="F5706" s="12" t="inlineStr">
        <is>
          <t>Inlet-chilling e-house / transformer</t>
        </is>
      </c>
      <c r="G5706" s="12" t="inlineStr"/>
      <c r="H5706" s="12" t="inlineStr">
        <is>
          <t>Chillers x6 (water-cooled)</t>
        </is>
      </c>
      <c r="I5706" s="12" t="inlineStr">
        <is>
          <t>LV 600 V</t>
        </is>
      </c>
      <c r="J5706" s="12" t="inlineStr">
        <is>
          <t>Type TC-ER 600 V 3/C Cu XHHW-2 + ground, PVC jacket</t>
        </is>
      </c>
      <c r="K5706" s="12" t="inlineStr">
        <is>
          <t>LV|3/C+G|10</t>
        </is>
      </c>
      <c r="L5706" s="12" t="inlineStr">
        <is>
          <t>3/C+G</t>
        </is>
      </c>
      <c r="M5706" s="12" t="inlineStr">
        <is>
          <t>10</t>
        </is>
      </c>
      <c r="N5706" s="12" t="n">
        <v>1</v>
      </c>
      <c r="O5706" s="12" t="n">
        <v>1</v>
      </c>
      <c r="P5706" s="12" t="n">
        <v>480</v>
      </c>
      <c r="Q5706" s="12" t="n">
        <v>7</v>
      </c>
      <c r="R5706" s="12" t="n">
        <v>9.9</v>
      </c>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is>
          <t>VD 0.2 %</t>
        </is>
      </c>
      <c r="AA5706" s="12">
        <f>N5706*O5706</f>
        <v/>
      </c>
    </row>
    <row r="5707">
      <c r="A5707" s="12" t="inlineStr">
        <is>
          <t>J-P-0011</t>
        </is>
      </c>
      <c r="B5707" s="12" t="inlineStr">
        <is>
          <t>J</t>
        </is>
      </c>
      <c r="C5707" s="12" t="inlineStr">
        <is>
          <t>GT inlet chilling</t>
        </is>
      </c>
      <c r="D5707" s="12" t="inlineStr">
        <is>
          <t>Motor 6 of 6, 7 kW</t>
        </is>
      </c>
      <c r="E5707" s="12" t="inlineStr"/>
      <c r="F5707" s="12" t="inlineStr">
        <is>
          <t>Inlet-chilling e-house / transformer</t>
        </is>
      </c>
      <c r="G5707" s="12" t="inlineStr"/>
      <c r="H5707" s="12" t="inlineStr">
        <is>
          <t>Chillers x6 (water-cooled)</t>
        </is>
      </c>
      <c r="I5707" s="12" t="inlineStr">
        <is>
          <t>LV 600 V</t>
        </is>
      </c>
      <c r="J5707" s="12" t="inlineStr">
        <is>
          <t>Type TC-ER 600 V 3/C Cu XHHW-2 + ground, PVC jacket</t>
        </is>
      </c>
      <c r="K5707" s="12" t="inlineStr">
        <is>
          <t>LV|3/C+G|10</t>
        </is>
      </c>
      <c r="L5707" s="12" t="inlineStr">
        <is>
          <t>3/C+G</t>
        </is>
      </c>
      <c r="M5707" s="12" t="inlineStr">
        <is>
          <t>10</t>
        </is>
      </c>
      <c r="N5707" s="12" t="n">
        <v>1</v>
      </c>
      <c r="O5707" s="12" t="n">
        <v>1</v>
      </c>
      <c r="P5707" s="12" t="n">
        <v>480</v>
      </c>
      <c r="Q5707" s="12" t="n">
        <v>7</v>
      </c>
      <c r="R5707" s="12" t="n">
        <v>9.9</v>
      </c>
      <c r="S5707" s="12" t="inlineStr">
        <is>
          <t>Duct bank</t>
        </is>
      </c>
      <c r="T5707" s="15" t="n">
        <v>10</v>
      </c>
      <c r="U5707" s="15" t="n">
        <v>32</v>
      </c>
      <c r="V5707" s="15">
        <f>ROUNDUP((T5707+U5707+2*'Read Me'!$B$13)*(1+'Read Me'!$B$12),-1)</f>
        <v/>
      </c>
      <c r="W5707" s="15">
        <f>V5707*N5707*O5707</f>
        <v/>
      </c>
      <c r="X5707" s="12">
        <f>IF(LEFT(I5707,2)="MV",2*N5707*IF(L5707="1/C",O5707,1),0)</f>
        <v/>
      </c>
      <c r="Y5707" s="12">
        <f>IF(OR(LEFT(K5707,4)="LVAX",LEFT(K5707,6)="MV15AX",LEFT(K5707,4)="CTAX",LEFT(K5707,2)="W|"),2*N5707*O5707,0)</f>
        <v/>
      </c>
      <c r="Z5707" s="12" t="inlineStr">
        <is>
          <t>VD 0.2 %</t>
        </is>
      </c>
      <c r="AA5707" s="12">
        <f>N5707*O5707</f>
        <v/>
      </c>
    </row>
    <row r="5708">
      <c r="A5708" s="12" t="inlineStr">
        <is>
          <t>J-P-0012</t>
        </is>
      </c>
      <c r="B5708" s="12" t="inlineStr">
        <is>
          <t>J</t>
        </is>
      </c>
      <c r="C5708" s="12" t="inlineStr">
        <is>
          <t>GT inlet chilling</t>
        </is>
      </c>
      <c r="D5708" s="12" t="inlineStr">
        <is>
          <t>Motor 1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J-P-0013</t>
        </is>
      </c>
      <c r="B5709" s="12" t="inlineStr">
        <is>
          <t>J</t>
        </is>
      </c>
      <c r="C5709" s="12" t="inlineStr">
        <is>
          <t>GT inlet chilling</t>
        </is>
      </c>
      <c r="D5709" s="12" t="inlineStr">
        <is>
          <t>Motor 2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J-P-0014</t>
        </is>
      </c>
      <c r="B5710" s="12" t="inlineStr">
        <is>
          <t>J</t>
        </is>
      </c>
      <c r="C5710" s="12" t="inlineStr">
        <is>
          <t>GT inlet chilling</t>
        </is>
      </c>
      <c r="D5710" s="12" t="inlineStr">
        <is>
          <t>Motor 3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J-P-0015</t>
        </is>
      </c>
      <c r="B5711" s="12" t="inlineStr">
        <is>
          <t>J</t>
        </is>
      </c>
      <c r="C5711" s="12" t="inlineStr">
        <is>
          <t>GT inlet chilling</t>
        </is>
      </c>
      <c r="D5711" s="12" t="inlineStr">
        <is>
          <t>Motor 4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J-P-0016</t>
        </is>
      </c>
      <c r="B5712" s="12" t="inlineStr">
        <is>
          <t>J</t>
        </is>
      </c>
      <c r="C5712" s="12" t="inlineStr">
        <is>
          <t>GT inlet chilling</t>
        </is>
      </c>
      <c r="D5712" s="12" t="inlineStr">
        <is>
          <t>Motor 5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J-P-0017</t>
        </is>
      </c>
      <c r="B5713" s="12" t="inlineStr">
        <is>
          <t>J</t>
        </is>
      </c>
      <c r="C5713" s="12" t="inlineStr">
        <is>
          <t>GT inlet chilling</t>
        </is>
      </c>
      <c r="D5713" s="12" t="inlineStr">
        <is>
          <t>Motor 6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J-P-0018</t>
        </is>
      </c>
      <c r="B5714" s="12" t="inlineStr">
        <is>
          <t>J</t>
        </is>
      </c>
      <c r="C5714" s="12" t="inlineStr">
        <is>
          <t>GT inlet chilling</t>
        </is>
      </c>
      <c r="D5714" s="12" t="inlineStr">
        <is>
          <t>Motor 7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J-P-0019</t>
        </is>
      </c>
      <c r="B5715" s="12" t="inlineStr">
        <is>
          <t>J</t>
        </is>
      </c>
      <c r="C5715" s="12" t="inlineStr">
        <is>
          <t>GT inlet chilling</t>
        </is>
      </c>
      <c r="D5715" s="12" t="inlineStr">
        <is>
          <t>Motor 8 of 12, 75 kW (VFD output)</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VFD cable 600 V 3/C Cu XHHW-2, 3 symmetrical grounds, overall Cu tape shield, TC-ER</t>
        </is>
      </c>
      <c r="K5715" s="12" t="inlineStr">
        <is>
          <t>VFD|3/C+3G|2/0</t>
        </is>
      </c>
      <c r="L5715" s="12" t="inlineStr">
        <is>
          <t>3/C+3G</t>
        </is>
      </c>
      <c r="M5715" s="12" t="inlineStr">
        <is>
          <t>2/0</t>
        </is>
      </c>
      <c r="N5715" s="12" t="n">
        <v>1</v>
      </c>
      <c r="O5715" s="12" t="n">
        <v>1</v>
      </c>
      <c r="P5715" s="12" t="n">
        <v>480</v>
      </c>
      <c r="Q5715" s="12" t="n">
        <v>75</v>
      </c>
      <c r="R5715" s="12" t="n">
        <v>106</v>
      </c>
      <c r="S5715" s="12" t="inlineStr">
        <is>
          <t>Duct bank</t>
        </is>
      </c>
      <c r="T5715" s="15" t="n">
        <v>683</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VD 2.9 %</t>
        </is>
      </c>
      <c r="AA5715" s="12">
        <f>N5715*O5715</f>
        <v/>
      </c>
    </row>
    <row r="5716">
      <c r="A5716" s="12" t="inlineStr">
        <is>
          <t>J-P-0020</t>
        </is>
      </c>
      <c r="B5716" s="12" t="inlineStr">
        <is>
          <t>J</t>
        </is>
      </c>
      <c r="C5716" s="12" t="inlineStr">
        <is>
          <t>GT inlet chilling</t>
        </is>
      </c>
      <c r="D5716" s="12" t="inlineStr">
        <is>
          <t>Motor 9 of 12, 75 kW (VFD output)</t>
        </is>
      </c>
      <c r="E5716" s="12" t="inlineStr"/>
      <c r="F5716" s="12" t="inlineStr">
        <is>
          <t>Inlet-chilling e-house / transformer</t>
        </is>
      </c>
      <c r="G5716" s="12" t="inlineStr"/>
      <c r="H5716" s="12" t="inlineStr">
        <is>
          <t>Inlet-chilling tower (12 cells): chiller heat rejection</t>
        </is>
      </c>
      <c r="I5716" s="12" t="inlineStr">
        <is>
          <t>LV 600 V</t>
        </is>
      </c>
      <c r="J5716" s="12" t="inlineStr">
        <is>
          <t>VFD cable 600 V 3/C Cu XHHW-2, 3 symmetrical grounds, overall Cu tape shield, TC-ER</t>
        </is>
      </c>
      <c r="K5716" s="12" t="inlineStr">
        <is>
          <t>VFD|3/C+3G|2/0</t>
        </is>
      </c>
      <c r="L5716" s="12" t="inlineStr">
        <is>
          <t>3/C+3G</t>
        </is>
      </c>
      <c r="M5716" s="12" t="inlineStr">
        <is>
          <t>2/0</t>
        </is>
      </c>
      <c r="N5716" s="12" t="n">
        <v>1</v>
      </c>
      <c r="O5716" s="12" t="n">
        <v>1</v>
      </c>
      <c r="P5716" s="12" t="n">
        <v>480</v>
      </c>
      <c r="Q5716" s="12" t="n">
        <v>75</v>
      </c>
      <c r="R5716" s="12" t="n">
        <v>106</v>
      </c>
      <c r="S5716" s="12" t="inlineStr">
        <is>
          <t>Duct bank</t>
        </is>
      </c>
      <c r="T5716" s="15" t="n">
        <v>683</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is>
          <t>VD 2.9 %</t>
        </is>
      </c>
      <c r="AA5716" s="12">
        <f>N5716*O5716</f>
        <v/>
      </c>
    </row>
    <row r="5717">
      <c r="A5717" s="12" t="inlineStr">
        <is>
          <t>J-P-0021</t>
        </is>
      </c>
      <c r="B5717" s="12" t="inlineStr">
        <is>
          <t>J</t>
        </is>
      </c>
      <c r="C5717" s="12" t="inlineStr">
        <is>
          <t>GT inlet chilling</t>
        </is>
      </c>
      <c r="D5717" s="12" t="inlineStr">
        <is>
          <t>Motor 10 of 12, 75 kW (VFD output)</t>
        </is>
      </c>
      <c r="E5717" s="12" t="inlineStr"/>
      <c r="F5717" s="12" t="inlineStr">
        <is>
          <t>Inlet-chilling e-house / transformer</t>
        </is>
      </c>
      <c r="G5717" s="12" t="inlineStr"/>
      <c r="H5717" s="12" t="inlineStr">
        <is>
          <t>Inlet-chilling tower (12 cells): chiller heat rejection</t>
        </is>
      </c>
      <c r="I5717" s="12" t="inlineStr">
        <is>
          <t>LV 600 V</t>
        </is>
      </c>
      <c r="J5717" s="12" t="inlineStr">
        <is>
          <t>VFD cable 600 V 3/C Cu XHHW-2, 3 symmetrical grounds, overall Cu tape shield, TC-ER</t>
        </is>
      </c>
      <c r="K5717" s="12" t="inlineStr">
        <is>
          <t>VFD|3/C+3G|2/0</t>
        </is>
      </c>
      <c r="L5717" s="12" t="inlineStr">
        <is>
          <t>3/C+3G</t>
        </is>
      </c>
      <c r="M5717" s="12" t="inlineStr">
        <is>
          <t>2/0</t>
        </is>
      </c>
      <c r="N5717" s="12" t="n">
        <v>1</v>
      </c>
      <c r="O5717" s="12" t="n">
        <v>1</v>
      </c>
      <c r="P5717" s="12" t="n">
        <v>480</v>
      </c>
      <c r="Q5717" s="12" t="n">
        <v>75</v>
      </c>
      <c r="R5717" s="12" t="n">
        <v>106</v>
      </c>
      <c r="S5717" s="12" t="inlineStr">
        <is>
          <t>Duct bank</t>
        </is>
      </c>
      <c r="T5717" s="15" t="n">
        <v>683</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is>
          <t>VD 2.9 %</t>
        </is>
      </c>
      <c r="AA5717" s="12">
        <f>N5717*O5717</f>
        <v/>
      </c>
    </row>
    <row r="5718">
      <c r="A5718" s="12" t="inlineStr">
        <is>
          <t>J-P-0022</t>
        </is>
      </c>
      <c r="B5718" s="12" t="inlineStr">
        <is>
          <t>J</t>
        </is>
      </c>
      <c r="C5718" s="12" t="inlineStr">
        <is>
          <t>GT inlet chilling</t>
        </is>
      </c>
      <c r="D5718" s="12" t="inlineStr">
        <is>
          <t>Motor 11 of 12, 75 kW (VFD output)</t>
        </is>
      </c>
      <c r="E5718" s="12" t="inlineStr"/>
      <c r="F5718" s="12" t="inlineStr">
        <is>
          <t>Inlet-chilling e-house / transformer</t>
        </is>
      </c>
      <c r="G5718" s="12" t="inlineStr"/>
      <c r="H5718" s="12" t="inlineStr">
        <is>
          <t>Inlet-chilling tower (12 cells): chiller heat rejection</t>
        </is>
      </c>
      <c r="I5718" s="12" t="inlineStr">
        <is>
          <t>LV 600 V</t>
        </is>
      </c>
      <c r="J5718" s="12" t="inlineStr">
        <is>
          <t>VFD cable 600 V 3/C Cu XHHW-2, 3 symmetrical grounds, overall Cu tape shield, TC-ER</t>
        </is>
      </c>
      <c r="K5718" s="12" t="inlineStr">
        <is>
          <t>VFD|3/C+3G|2/0</t>
        </is>
      </c>
      <c r="L5718" s="12" t="inlineStr">
        <is>
          <t>3/C+3G</t>
        </is>
      </c>
      <c r="M5718" s="12" t="inlineStr">
        <is>
          <t>2/0</t>
        </is>
      </c>
      <c r="N5718" s="12" t="n">
        <v>1</v>
      </c>
      <c r="O5718" s="12" t="n">
        <v>1</v>
      </c>
      <c r="P5718" s="12" t="n">
        <v>480</v>
      </c>
      <c r="Q5718" s="12" t="n">
        <v>75</v>
      </c>
      <c r="R5718" s="12" t="n">
        <v>106</v>
      </c>
      <c r="S5718" s="12" t="inlineStr">
        <is>
          <t>Duct bank</t>
        </is>
      </c>
      <c r="T5718" s="15" t="n">
        <v>683</v>
      </c>
      <c r="U5718" s="15" t="n">
        <v>38</v>
      </c>
      <c r="V5718" s="15">
        <f>ROUNDUP((T5718+U5718+2*'Read Me'!$B$13)*(1+'Read Me'!$B$12),-1)</f>
        <v/>
      </c>
      <c r="W5718" s="15">
        <f>V5718*N5718*O5718</f>
        <v/>
      </c>
      <c r="X5718" s="12">
        <f>IF(LEFT(I5718,2)="MV",2*N5718*IF(L5718="1/C",O5718,1),0)</f>
        <v/>
      </c>
      <c r="Y5718" s="12">
        <f>IF(OR(LEFT(K5718,4)="LVAX",LEFT(K5718,6)="MV15AX",LEFT(K5718,4)="CTAX",LEFT(K5718,2)="W|"),2*N5718*O5718,0)</f>
        <v/>
      </c>
      <c r="Z5718" s="12" t="inlineStr">
        <is>
          <t>VD 2.9 %</t>
        </is>
      </c>
      <c r="AA5718" s="12">
        <f>N5718*O5718</f>
        <v/>
      </c>
    </row>
    <row r="5719">
      <c r="A5719" s="12" t="inlineStr">
        <is>
          <t>J-P-0023</t>
        </is>
      </c>
      <c r="B5719" s="12" t="inlineStr">
        <is>
          <t>J</t>
        </is>
      </c>
      <c r="C5719" s="12" t="inlineStr">
        <is>
          <t>GT inlet chilling</t>
        </is>
      </c>
      <c r="D5719" s="12" t="inlineStr">
        <is>
          <t>Motor 12 of 12, 75 kW (VFD output)</t>
        </is>
      </c>
      <c r="E5719" s="12" t="inlineStr"/>
      <c r="F5719" s="12" t="inlineStr">
        <is>
          <t>Inlet-chilling e-house / transformer</t>
        </is>
      </c>
      <c r="G5719" s="12" t="inlineStr"/>
      <c r="H5719" s="12" t="inlineStr">
        <is>
          <t>Inlet-chilling tower (12 cells): chiller heat rejection</t>
        </is>
      </c>
      <c r="I5719" s="12" t="inlineStr">
        <is>
          <t>LV 600 V</t>
        </is>
      </c>
      <c r="J5719" s="12" t="inlineStr">
        <is>
          <t>VFD cable 600 V 3/C Cu XHHW-2, 3 symmetrical grounds, overall Cu tape shield, TC-ER</t>
        </is>
      </c>
      <c r="K5719" s="12" t="inlineStr">
        <is>
          <t>VFD|3/C+3G|2/0</t>
        </is>
      </c>
      <c r="L5719" s="12" t="inlineStr">
        <is>
          <t>3/C+3G</t>
        </is>
      </c>
      <c r="M5719" s="12" t="inlineStr">
        <is>
          <t>2/0</t>
        </is>
      </c>
      <c r="N5719" s="12" t="n">
        <v>1</v>
      </c>
      <c r="O5719" s="12" t="n">
        <v>1</v>
      </c>
      <c r="P5719" s="12" t="n">
        <v>480</v>
      </c>
      <c r="Q5719" s="12" t="n">
        <v>75</v>
      </c>
      <c r="R5719" s="12" t="n">
        <v>106</v>
      </c>
      <c r="S5719" s="12" t="inlineStr">
        <is>
          <t>Duct bank</t>
        </is>
      </c>
      <c r="T5719" s="15" t="n">
        <v>683</v>
      </c>
      <c r="U5719" s="15" t="n">
        <v>38</v>
      </c>
      <c r="V5719" s="15">
        <f>ROUNDUP((T5719+U5719+2*'Read Me'!$B$13)*(1+'Read Me'!$B$12),-1)</f>
        <v/>
      </c>
      <c r="W5719" s="15">
        <f>V5719*N5719*O5719</f>
        <v/>
      </c>
      <c r="X5719" s="12">
        <f>IF(LEFT(I5719,2)="MV",2*N5719*IF(L5719="1/C",O5719,1),0)</f>
        <v/>
      </c>
      <c r="Y5719" s="12">
        <f>IF(OR(LEFT(K5719,4)="LVAX",LEFT(K5719,6)="MV15AX",LEFT(K5719,4)="CTAX",LEFT(K5719,2)="W|"),2*N5719*O5719,0)</f>
        <v/>
      </c>
      <c r="Z5719" s="12" t="inlineStr">
        <is>
          <t>VD 2.9 %</t>
        </is>
      </c>
      <c r="AA5719" s="12">
        <f>N5719*O5719</f>
        <v/>
      </c>
    </row>
    <row r="5720">
      <c r="A5720" s="12" t="inlineStr">
        <is>
          <t>J-P-0024</t>
        </is>
      </c>
      <c r="B5720" s="12" t="inlineStr">
        <is>
          <t>J</t>
        </is>
      </c>
      <c r="C5720" s="12" t="inlineStr">
        <is>
          <t>GT inlet chilling</t>
        </is>
      </c>
      <c r="D5720" s="12" t="inlineStr">
        <is>
          <t>Area / platform lighting circuit 1 (12 fixtures)</t>
        </is>
      </c>
      <c r="E5720" s="12" t="inlineStr"/>
      <c r="F5720" s="12" t="inlineStr">
        <is>
          <t>Inlet-chilling e-house / transformer</t>
        </is>
      </c>
      <c r="G5720" s="12" t="inlineStr"/>
      <c r="H5720" s="12" t="inlineStr">
        <is>
          <t>Inlet-chilling tower (12 cells): chiller heat rejection</t>
        </is>
      </c>
      <c r="I5720" s="12" t="inlineStr">
        <is>
          <t>LV 600 V</t>
        </is>
      </c>
      <c r="J5720" s="12" t="inlineStr">
        <is>
          <t>Type TC-ER 600 V 3/C Cu XHHW-2 + ground, PVC jacket</t>
        </is>
      </c>
      <c r="K5720" s="12" t="inlineStr">
        <is>
          <t>LV|3/C+G|10</t>
        </is>
      </c>
      <c r="L5720" s="12" t="inlineStr">
        <is>
          <t>3/C+G</t>
        </is>
      </c>
      <c r="M5720" s="12" t="inlineStr">
        <is>
          <t>10</t>
        </is>
      </c>
      <c r="N5720" s="12" t="n">
        <v>1</v>
      </c>
      <c r="O5720" s="12" t="n">
        <v>1</v>
      </c>
      <c r="P5720" s="12" t="n">
        <v>480</v>
      </c>
      <c r="Q5720" s="12" t="n">
        <v>3</v>
      </c>
      <c r="R5720" s="12" t="n">
        <v>5</v>
      </c>
      <c r="S5720" s="12" t="inlineStr">
        <is>
          <t>Duct bank</t>
        </is>
      </c>
      <c r="T5720" s="15" t="n">
        <v>778</v>
      </c>
      <c r="U5720" s="15" t="n">
        <v>38</v>
      </c>
      <c r="V5720" s="15">
        <f>ROUNDUP((T5720+U5720+2*'Read Me'!$B$13)*(1+'Read Me'!$B$12),-1)</f>
        <v/>
      </c>
      <c r="W5720" s="15">
        <f>V5720*N5720*O5720</f>
        <v/>
      </c>
      <c r="X5720" s="12">
        <f>IF(LEFT(I5720,2)="MV",2*N5720*IF(L5720="1/C",O5720,1),0)</f>
        <v/>
      </c>
      <c r="Y5720" s="12">
        <f>IF(OR(LEFT(K5720,4)="LVAX",LEFT(K5720,6)="MV15AX",LEFT(K5720,4)="CTAX",LEFT(K5720,2)="W|"),2*N5720*O5720,0)</f>
        <v/>
      </c>
      <c r="Z5720" s="12" t="inlineStr">
        <is>
          <t>fixture-to-fixture run included</t>
        </is>
      </c>
      <c r="AA5720" s="12">
        <f>N5720*O5720</f>
        <v/>
      </c>
    </row>
    <row r="5721">
      <c r="A5721" s="12" t="inlineStr">
        <is>
          <t>J-MV-0001</t>
        </is>
      </c>
      <c r="B5721" s="12" t="inlineStr">
        <is>
          <t>J</t>
        </is>
      </c>
      <c r="C5721" s="12" t="inlineStr">
        <is>
          <t>GT inlet chilling</t>
        </is>
      </c>
      <c r="D5721" s="12" t="inlineStr">
        <is>
          <t>Inlet-chilling e-house / transformer</t>
        </is>
      </c>
      <c r="E5721" s="12" t="inlineStr">
        <is>
          <t>SWGR-13.8-1</t>
        </is>
      </c>
      <c r="F5721" s="12" t="inlineStr">
        <is>
          <t>R1 SWGR-13.8-1 (11 x 36 in cubicles, 15 kV metal-clad)</t>
        </is>
      </c>
      <c r="G5721" s="12" t="inlineStr"/>
      <c r="H5721" s="12" t="inlineStr">
        <is>
          <t>Inlet-chilling e-house / transformer</t>
        </is>
      </c>
      <c r="I5721" s="12" t="inlineStr">
        <is>
          <t>MV 15 kV</t>
        </is>
      </c>
      <c r="J5721" s="12" t="inlineStr">
        <is>
          <t>MV-105 15 kV 1/C Cu, EPR 133%, Cu tape shield, PVC jacket (triplexed)</t>
        </is>
      </c>
      <c r="K5721" s="12" t="inlineStr">
        <is>
          <t>MV15|1/C|1000</t>
        </is>
      </c>
      <c r="L5721" s="12" t="inlineStr">
        <is>
          <t>1/C</t>
        </is>
      </c>
      <c r="M5721" s="12" t="inlineStr">
        <is>
          <t>1000 kcmil</t>
        </is>
      </c>
      <c r="N5721" s="12" t="n">
        <v>1</v>
      </c>
      <c r="O5721" s="12" t="n">
        <v>3</v>
      </c>
      <c r="P5721" s="12" t="n">
        <v>13800</v>
      </c>
      <c r="Q5721" s="12" t="n">
        <v>12000</v>
      </c>
      <c r="R5721" s="12" t="n">
        <v>502</v>
      </c>
      <c r="S5721" s="12" t="inlineStr">
        <is>
          <t>Duct bank</t>
        </is>
      </c>
      <c r="T5721" s="15" t="n">
        <v>629</v>
      </c>
      <c r="U5721" s="15" t="n">
        <v>38</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J-MV-0002</t>
        </is>
      </c>
      <c r="B5722" s="12" t="inlineStr">
        <is>
          <t>J</t>
        </is>
      </c>
      <c r="C5722" s="12" t="inlineStr">
        <is>
          <t>GT inlet chilling</t>
        </is>
      </c>
      <c r="D5722" s="12" t="inlineStr">
        <is>
          <t>Inlet-chilling CW pump 1</t>
        </is>
      </c>
      <c r="E5722" s="12" t="inlineStr"/>
      <c r="F5722" s="12" t="inlineStr">
        <is>
          <t>Inlet-chilling e-house / transformer</t>
        </is>
      </c>
      <c r="G5722" s="12" t="inlineStr"/>
      <c r="H5722" s="12" t="inlineStr">
        <is>
          <t>CW pumps (inlet chilling)</t>
        </is>
      </c>
      <c r="I5722" s="12" t="inlineStr">
        <is>
          <t>MV 5 kV</t>
        </is>
      </c>
      <c r="J5722" s="12" t="inlineStr">
        <is>
          <t>MV-105 5 kV 3/C Cu, EPR 133%, tape shield, gnd, PVC jacket</t>
        </is>
      </c>
      <c r="K5722" s="12" t="inlineStr">
        <is>
          <t>MV5|3/C|2</t>
        </is>
      </c>
      <c r="L5722" s="12" t="inlineStr">
        <is>
          <t>3/C</t>
        </is>
      </c>
      <c r="M5722" s="12" t="inlineStr">
        <is>
          <t>2</t>
        </is>
      </c>
      <c r="N5722" s="12" t="n">
        <v>1</v>
      </c>
      <c r="O5722" s="12" t="n">
        <v>1</v>
      </c>
      <c r="P5722" s="12" t="n">
        <v>4160</v>
      </c>
      <c r="Q5722" s="12" t="n">
        <v>450</v>
      </c>
      <c r="R5722" s="12" t="n">
        <v>69</v>
      </c>
      <c r="S5722" s="12" t="inlineStr">
        <is>
          <t>Tray</t>
        </is>
      </c>
      <c r="T5722" s="15" t="n">
        <v>0</v>
      </c>
      <c r="U5722" s="15" t="n">
        <v>70</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J-MV-0003</t>
        </is>
      </c>
      <c r="B5723" s="12" t="inlineStr">
        <is>
          <t>J</t>
        </is>
      </c>
      <c r="C5723" s="12" t="inlineStr">
        <is>
          <t>GT inlet chilling</t>
        </is>
      </c>
      <c r="D5723" s="12" t="inlineStr">
        <is>
          <t>Inlet-chilling CW pump 2</t>
        </is>
      </c>
      <c r="E5723" s="12" t="inlineStr"/>
      <c r="F5723" s="12" t="inlineStr">
        <is>
          <t>Inlet-chilling e-house / transformer</t>
        </is>
      </c>
      <c r="G5723" s="12" t="inlineStr"/>
      <c r="H5723" s="12" t="inlineStr">
        <is>
          <t>CW pumps (inlet chilling)</t>
        </is>
      </c>
      <c r="I5723" s="12" t="inlineStr">
        <is>
          <t>MV 5 kV</t>
        </is>
      </c>
      <c r="J5723" s="12" t="inlineStr">
        <is>
          <t>MV-105 5 kV 3/C Cu, EPR 133%, tape shield, gnd, PVC jacket</t>
        </is>
      </c>
      <c r="K5723" s="12" t="inlineStr">
        <is>
          <t>MV5|3/C|2</t>
        </is>
      </c>
      <c r="L5723" s="12" t="inlineStr">
        <is>
          <t>3/C</t>
        </is>
      </c>
      <c r="M5723" s="12" t="inlineStr">
        <is>
          <t>2</t>
        </is>
      </c>
      <c r="N5723" s="12" t="n">
        <v>1</v>
      </c>
      <c r="O5723" s="12" t="n">
        <v>1</v>
      </c>
      <c r="P5723" s="12" t="n">
        <v>4160</v>
      </c>
      <c r="Q5723" s="12" t="n">
        <v>450</v>
      </c>
      <c r="R5723" s="12" t="n">
        <v>69</v>
      </c>
      <c r="S5723" s="12" t="inlineStr">
        <is>
          <t>Tray</t>
        </is>
      </c>
      <c r="T5723" s="15" t="n">
        <v>0</v>
      </c>
      <c r="U5723" s="15" t="n">
        <v>70</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J-MV-0004</t>
        </is>
      </c>
      <c r="B5724" s="12" t="inlineStr">
        <is>
          <t>J</t>
        </is>
      </c>
      <c r="C5724" s="12" t="inlineStr">
        <is>
          <t>GT inlet chilling</t>
        </is>
      </c>
      <c r="D5724" s="12" t="inlineStr">
        <is>
          <t>Inlet-chilling CW pump 3</t>
        </is>
      </c>
      <c r="E5724" s="12" t="inlineStr"/>
      <c r="F5724" s="12" t="inlineStr">
        <is>
          <t>Inlet-chilling e-house / transformer</t>
        </is>
      </c>
      <c r="G5724" s="12" t="inlineStr"/>
      <c r="H5724" s="12" t="inlineStr">
        <is>
          <t>CW pumps (inlet chilling)</t>
        </is>
      </c>
      <c r="I5724" s="12" t="inlineStr">
        <is>
          <t>MV 5 kV</t>
        </is>
      </c>
      <c r="J5724" s="12" t="inlineStr">
        <is>
          <t>MV-105 5 kV 3/C Cu, EPR 133%, tape shield, gnd, PVC jacket</t>
        </is>
      </c>
      <c r="K5724" s="12" t="inlineStr">
        <is>
          <t>MV5|3/C|2</t>
        </is>
      </c>
      <c r="L5724" s="12" t="inlineStr">
        <is>
          <t>3/C</t>
        </is>
      </c>
      <c r="M5724" s="12" t="inlineStr">
        <is>
          <t>2</t>
        </is>
      </c>
      <c r="N5724" s="12" t="n">
        <v>1</v>
      </c>
      <c r="O5724" s="12" t="n">
        <v>1</v>
      </c>
      <c r="P5724" s="12" t="n">
        <v>4160</v>
      </c>
      <c r="Q5724" s="12" t="n">
        <v>450</v>
      </c>
      <c r="R5724" s="12" t="n">
        <v>69</v>
      </c>
      <c r="S5724" s="12" t="inlineStr">
        <is>
          <t>Tray</t>
        </is>
      </c>
      <c r="T5724" s="15" t="n">
        <v>0</v>
      </c>
      <c r="U5724" s="15" t="n">
        <v>70</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J-MV-0005</t>
        </is>
      </c>
      <c r="B5725" s="12" t="inlineStr">
        <is>
          <t>J</t>
        </is>
      </c>
      <c r="C5725" s="12" t="inlineStr">
        <is>
          <t>GT inlet chilling</t>
        </is>
      </c>
      <c r="D5725" s="12" t="inlineStr">
        <is>
          <t>Inlet-chilling CW pump 4</t>
        </is>
      </c>
      <c r="E5725" s="12" t="inlineStr"/>
      <c r="F5725" s="12" t="inlineStr">
        <is>
          <t>Inlet-chilling e-house / transformer</t>
        </is>
      </c>
      <c r="G5725" s="12" t="inlineStr"/>
      <c r="H5725" s="12" t="inlineStr">
        <is>
          <t>CW pumps (inlet chilling)</t>
        </is>
      </c>
      <c r="I5725" s="12" t="inlineStr">
        <is>
          <t>MV 5 kV</t>
        </is>
      </c>
      <c r="J5725" s="12" t="inlineStr">
        <is>
          <t>MV-105 5 kV 3/C Cu, EPR 133%, tape shield, gnd, PVC jacket</t>
        </is>
      </c>
      <c r="K5725" s="12" t="inlineStr">
        <is>
          <t>MV5|3/C|2</t>
        </is>
      </c>
      <c r="L5725" s="12" t="inlineStr">
        <is>
          <t>3/C</t>
        </is>
      </c>
      <c r="M5725" s="12" t="inlineStr">
        <is>
          <t>2</t>
        </is>
      </c>
      <c r="N5725" s="12" t="n">
        <v>1</v>
      </c>
      <c r="O5725" s="12" t="n">
        <v>1</v>
      </c>
      <c r="P5725" s="12" t="n">
        <v>4160</v>
      </c>
      <c r="Q5725" s="12" t="n">
        <v>450</v>
      </c>
      <c r="R5725" s="12" t="n">
        <v>69</v>
      </c>
      <c r="S5725" s="12" t="inlineStr">
        <is>
          <t>Tray</t>
        </is>
      </c>
      <c r="T5725" s="15" t="n">
        <v>0</v>
      </c>
      <c r="U5725" s="15" t="n">
        <v>70</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J-MV-0006</t>
        </is>
      </c>
      <c r="B5726" s="12" t="inlineStr">
        <is>
          <t>J</t>
        </is>
      </c>
      <c r="C5726" s="12" t="inlineStr">
        <is>
          <t>GT inlet chilling</t>
        </is>
      </c>
      <c r="D5726" s="12" t="inlineStr">
        <is>
          <t>Water-cooled chiller CH-1</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J-MV-0007</t>
        </is>
      </c>
      <c r="B5727" s="12" t="inlineStr">
        <is>
          <t>J</t>
        </is>
      </c>
      <c r="C5727" s="12" t="inlineStr">
        <is>
          <t>GT inlet chilling</t>
        </is>
      </c>
      <c r="D5727" s="12" t="inlineStr">
        <is>
          <t>Water-cooled chiller CH-2</t>
        </is>
      </c>
      <c r="E5727" s="12" t="inlineStr"/>
      <c r="F5727" s="12" t="inlineStr">
        <is>
          <t>Inlet-chilling e-house / transformer</t>
        </is>
      </c>
      <c r="G5727" s="12" t="inlineStr"/>
      <c r="H5727" s="12" t="inlineStr">
        <is>
          <t>Chillers x6 (water-cooled)</t>
        </is>
      </c>
      <c r="I5727" s="12" t="inlineStr">
        <is>
          <t>MV 5 kV</t>
        </is>
      </c>
      <c r="J5727" s="12" t="inlineStr">
        <is>
          <t>MV-105 5 kV 3/C Cu, EPR 133%, tape shield, gnd, PVC jacket</t>
        </is>
      </c>
      <c r="K5727" s="12" t="inlineStr">
        <is>
          <t>MV5|3/C|250</t>
        </is>
      </c>
      <c r="L5727" s="12" t="inlineStr">
        <is>
          <t>3/C</t>
        </is>
      </c>
      <c r="M5727" s="12" t="inlineStr">
        <is>
          <t>250 kcmil</t>
        </is>
      </c>
      <c r="N5727" s="12" t="n">
        <v>1</v>
      </c>
      <c r="O5727" s="12" t="n">
        <v>1</v>
      </c>
      <c r="P5727" s="12" t="n">
        <v>4160</v>
      </c>
      <c r="Q5727" s="12" t="n">
        <v>1500</v>
      </c>
      <c r="R5727" s="12" t="n">
        <v>231</v>
      </c>
      <c r="S5727" s="12" t="inlineStr">
        <is>
          <t>Duct bank</t>
        </is>
      </c>
      <c r="T5727" s="15" t="n">
        <v>10</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c r="AA5727" s="12">
        <f>N5727*O5727</f>
        <v/>
      </c>
    </row>
    <row r="5728">
      <c r="A5728" s="12" t="inlineStr">
        <is>
          <t>J-MV-0008</t>
        </is>
      </c>
      <c r="B5728" s="12" t="inlineStr">
        <is>
          <t>J</t>
        </is>
      </c>
      <c r="C5728" s="12" t="inlineStr">
        <is>
          <t>GT inlet chilling</t>
        </is>
      </c>
      <c r="D5728" s="12" t="inlineStr">
        <is>
          <t>Water-cooled chiller CH-3</t>
        </is>
      </c>
      <c r="E5728" s="12" t="inlineStr"/>
      <c r="F5728" s="12" t="inlineStr">
        <is>
          <t>Inlet-chilling e-house / transformer</t>
        </is>
      </c>
      <c r="G5728" s="12" t="inlineStr"/>
      <c r="H5728" s="12" t="inlineStr">
        <is>
          <t>Chillers x6 (water-cooled)</t>
        </is>
      </c>
      <c r="I5728" s="12" t="inlineStr">
        <is>
          <t>MV 5 kV</t>
        </is>
      </c>
      <c r="J5728" s="12" t="inlineStr">
        <is>
          <t>MV-105 5 kV 3/C Cu, EPR 133%, tape shield, gnd, PVC jacket</t>
        </is>
      </c>
      <c r="K5728" s="12" t="inlineStr">
        <is>
          <t>MV5|3/C|250</t>
        </is>
      </c>
      <c r="L5728" s="12" t="inlineStr">
        <is>
          <t>3/C</t>
        </is>
      </c>
      <c r="M5728" s="12" t="inlineStr">
        <is>
          <t>250 kcmil</t>
        </is>
      </c>
      <c r="N5728" s="12" t="n">
        <v>1</v>
      </c>
      <c r="O5728" s="12" t="n">
        <v>1</v>
      </c>
      <c r="P5728" s="12" t="n">
        <v>4160</v>
      </c>
      <c r="Q5728" s="12" t="n">
        <v>1500</v>
      </c>
      <c r="R5728" s="12" t="n">
        <v>231</v>
      </c>
      <c r="S5728" s="12" t="inlineStr">
        <is>
          <t>Duct bank</t>
        </is>
      </c>
      <c r="T5728" s="15" t="n">
        <v>10</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c r="AA5728" s="12">
        <f>N5728*O5728</f>
        <v/>
      </c>
    </row>
    <row r="5729">
      <c r="A5729" s="12" t="inlineStr">
        <is>
          <t>J-MV-0009</t>
        </is>
      </c>
      <c r="B5729" s="12" t="inlineStr">
        <is>
          <t>J</t>
        </is>
      </c>
      <c r="C5729" s="12" t="inlineStr">
        <is>
          <t>GT inlet chilling</t>
        </is>
      </c>
      <c r="D5729" s="12" t="inlineStr">
        <is>
          <t>Water-cooled chiller CH-4</t>
        </is>
      </c>
      <c r="E5729" s="12" t="inlineStr"/>
      <c r="F5729" s="12" t="inlineStr">
        <is>
          <t>Inlet-chilling e-house / transformer</t>
        </is>
      </c>
      <c r="G5729" s="12" t="inlineStr"/>
      <c r="H5729" s="12" t="inlineStr">
        <is>
          <t>Chillers x6 (water-cooled)</t>
        </is>
      </c>
      <c r="I5729" s="12" t="inlineStr">
        <is>
          <t>MV 5 kV</t>
        </is>
      </c>
      <c r="J5729" s="12" t="inlineStr">
        <is>
          <t>MV-105 5 kV 3/C Cu, EPR 133%, tape shield, gnd, PVC jacket</t>
        </is>
      </c>
      <c r="K5729" s="12" t="inlineStr">
        <is>
          <t>MV5|3/C|250</t>
        </is>
      </c>
      <c r="L5729" s="12" t="inlineStr">
        <is>
          <t>3/C</t>
        </is>
      </c>
      <c r="M5729" s="12" t="inlineStr">
        <is>
          <t>250 kcmil</t>
        </is>
      </c>
      <c r="N5729" s="12" t="n">
        <v>1</v>
      </c>
      <c r="O5729" s="12" t="n">
        <v>1</v>
      </c>
      <c r="P5729" s="12" t="n">
        <v>4160</v>
      </c>
      <c r="Q5729" s="12" t="n">
        <v>1500</v>
      </c>
      <c r="R5729" s="12" t="n">
        <v>231</v>
      </c>
      <c r="S5729" s="12" t="inlineStr">
        <is>
          <t>Duct bank</t>
        </is>
      </c>
      <c r="T5729" s="15" t="n">
        <v>10</v>
      </c>
      <c r="U5729" s="15" t="n">
        <v>32</v>
      </c>
      <c r="V5729" s="15">
        <f>ROUNDUP((T5729+U5729+2*'Read Me'!$B$13)*(1+'Read Me'!$B$12),-1)</f>
        <v/>
      </c>
      <c r="W5729" s="15">
        <f>V5729*N5729*O5729</f>
        <v/>
      </c>
      <c r="X5729" s="12">
        <f>IF(LEFT(I5729,2)="MV",2*N5729*IF(L5729="1/C",O5729,1),0)</f>
        <v/>
      </c>
      <c r="Y5729" s="12">
        <f>IF(OR(LEFT(K5729,4)="LVAX",LEFT(K5729,6)="MV15AX",LEFT(K5729,4)="CTAX",LEFT(K5729,2)="W|"),2*N5729*O5729,0)</f>
        <v/>
      </c>
      <c r="Z5729" s="12" t="inlineStr"/>
      <c r="AA5729" s="12">
        <f>N5729*O5729</f>
        <v/>
      </c>
    </row>
    <row r="5730">
      <c r="A5730" s="12" t="inlineStr">
        <is>
          <t>J-MV-0010</t>
        </is>
      </c>
      <c r="B5730" s="12" t="inlineStr">
        <is>
          <t>J</t>
        </is>
      </c>
      <c r="C5730" s="12" t="inlineStr">
        <is>
          <t>GT inlet chilling</t>
        </is>
      </c>
      <c r="D5730" s="12" t="inlineStr">
        <is>
          <t>Water-cooled chiller CH-5</t>
        </is>
      </c>
      <c r="E5730" s="12" t="inlineStr"/>
      <c r="F5730" s="12" t="inlineStr">
        <is>
          <t>Inlet-chilling e-house / transformer</t>
        </is>
      </c>
      <c r="G5730" s="12" t="inlineStr"/>
      <c r="H5730" s="12" t="inlineStr">
        <is>
          <t>Chillers x6 (water-cooled)</t>
        </is>
      </c>
      <c r="I5730" s="12" t="inlineStr">
        <is>
          <t>MV 5 kV</t>
        </is>
      </c>
      <c r="J5730" s="12" t="inlineStr">
        <is>
          <t>MV-105 5 kV 3/C Cu, EPR 133%, tape shield, gnd, PVC jacket</t>
        </is>
      </c>
      <c r="K5730" s="12" t="inlineStr">
        <is>
          <t>MV5|3/C|250</t>
        </is>
      </c>
      <c r="L5730" s="12" t="inlineStr">
        <is>
          <t>3/C</t>
        </is>
      </c>
      <c r="M5730" s="12" t="inlineStr">
        <is>
          <t>250 kcmil</t>
        </is>
      </c>
      <c r="N5730" s="12" t="n">
        <v>1</v>
      </c>
      <c r="O5730" s="12" t="n">
        <v>1</v>
      </c>
      <c r="P5730" s="12" t="n">
        <v>4160</v>
      </c>
      <c r="Q5730" s="12" t="n">
        <v>1500</v>
      </c>
      <c r="R5730" s="12" t="n">
        <v>231</v>
      </c>
      <c r="S5730" s="12" t="inlineStr">
        <is>
          <t>Duct bank</t>
        </is>
      </c>
      <c r="T5730" s="15" t="n">
        <v>10</v>
      </c>
      <c r="U5730" s="15" t="n">
        <v>32</v>
      </c>
      <c r="V5730" s="15">
        <f>ROUNDUP((T5730+U5730+2*'Read Me'!$B$13)*(1+'Read Me'!$B$12),-1)</f>
        <v/>
      </c>
      <c r="W5730" s="15">
        <f>V5730*N5730*O5730</f>
        <v/>
      </c>
      <c r="X5730" s="12">
        <f>IF(LEFT(I5730,2)="MV",2*N5730*IF(L5730="1/C",O5730,1),0)</f>
        <v/>
      </c>
      <c r="Y5730" s="12">
        <f>IF(OR(LEFT(K5730,4)="LVAX",LEFT(K5730,6)="MV15AX",LEFT(K5730,4)="CTAX",LEFT(K5730,2)="W|"),2*N5730*O5730,0)</f>
        <v/>
      </c>
      <c r="Z5730" s="12" t="inlineStr"/>
      <c r="AA5730" s="12">
        <f>N5730*O5730</f>
        <v/>
      </c>
    </row>
    <row r="5731">
      <c r="A5731" s="12" t="inlineStr">
        <is>
          <t>J-MV-0011</t>
        </is>
      </c>
      <c r="B5731" s="12" t="inlineStr">
        <is>
          <t>J</t>
        </is>
      </c>
      <c r="C5731" s="12" t="inlineStr">
        <is>
          <t>GT inlet chilling</t>
        </is>
      </c>
      <c r="D5731" s="12" t="inlineStr">
        <is>
          <t>Water-cooled chiller CH-6</t>
        </is>
      </c>
      <c r="E5731" s="12" t="inlineStr"/>
      <c r="F5731" s="12" t="inlineStr">
        <is>
          <t>Inlet-chilling e-house / transformer</t>
        </is>
      </c>
      <c r="G5731" s="12" t="inlineStr"/>
      <c r="H5731" s="12" t="inlineStr">
        <is>
          <t>Chillers x6 (water-cooled)</t>
        </is>
      </c>
      <c r="I5731" s="12" t="inlineStr">
        <is>
          <t>MV 5 kV</t>
        </is>
      </c>
      <c r="J5731" s="12" t="inlineStr">
        <is>
          <t>MV-105 5 kV 3/C Cu, EPR 133%, tape shield, gnd, PVC jacket</t>
        </is>
      </c>
      <c r="K5731" s="12" t="inlineStr">
        <is>
          <t>MV5|3/C|250</t>
        </is>
      </c>
      <c r="L5731" s="12" t="inlineStr">
        <is>
          <t>3/C</t>
        </is>
      </c>
      <c r="M5731" s="12" t="inlineStr">
        <is>
          <t>250 kcmil</t>
        </is>
      </c>
      <c r="N5731" s="12" t="n">
        <v>1</v>
      </c>
      <c r="O5731" s="12" t="n">
        <v>1</v>
      </c>
      <c r="P5731" s="12" t="n">
        <v>4160</v>
      </c>
      <c r="Q5731" s="12" t="n">
        <v>1500</v>
      </c>
      <c r="R5731" s="12" t="n">
        <v>231</v>
      </c>
      <c r="S5731" s="12" t="inlineStr">
        <is>
          <t>Duct bank</t>
        </is>
      </c>
      <c r="T5731" s="15" t="n">
        <v>10</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K-L-0001</t>
        </is>
      </c>
      <c r="B5732" s="12" t="inlineStr">
        <is>
          <t>K</t>
        </is>
      </c>
      <c r="C5732" s="12" t="inlineStr">
        <is>
          <t>Fuel supply (adjacent market)</t>
        </is>
      </c>
      <c r="D5732" s="12" t="inlineStr">
        <is>
          <t>Lighting, receptacles and small power branch circuits (allowance)</t>
        </is>
      </c>
      <c r="E5732" s="12" t="inlineStr"/>
      <c r="F5732" s="12" t="inlineStr">
        <is>
          <t>H2 20: 13.8 kV e-house</t>
        </is>
      </c>
      <c r="G5732" s="12" t="inlineStr"/>
      <c r="H5732" s="12" t="inlineStr">
        <is>
          <t>H2 20: 13.8 kV e-house</t>
        </is>
      </c>
      <c r="I5732" s="12" t="inlineStr">
        <is>
          <t>Building wire</t>
        </is>
      </c>
      <c r="J5732" s="12" t="inlineStr">
        <is>
          <t>SIMpull THHN/THWN-2 600 V 1/C Cu (lighting, receptacles, small power)</t>
        </is>
      </c>
      <c r="K5732" s="12" t="inlineStr">
        <is>
          <t>THHN|1/C|12</t>
        </is>
      </c>
      <c r="L5732" s="12" t="inlineStr">
        <is>
          <t>1/C</t>
        </is>
      </c>
      <c r="M5732" s="12" t="inlineStr">
        <is>
          <t>12</t>
        </is>
      </c>
      <c r="N5732" s="12" t="n">
        <v>1</v>
      </c>
      <c r="O5732" s="12" t="n">
        <v>1</v>
      </c>
      <c r="P5732" s="12" t="n">
        <v>277</v>
      </c>
      <c r="Q5732" s="12" t="n"/>
      <c r="R5732" s="12" t="n"/>
      <c r="S5732" s="12" t="inlineStr">
        <is>
          <t>Conduit</t>
        </is>
      </c>
      <c r="T5732" s="15" t="n">
        <v>1536</v>
      </c>
      <c r="U5732" s="15" t="n">
        <v>0</v>
      </c>
      <c r="V5732" s="15">
        <f>ROUNDUP((T5732+U5732+2*'Read Me'!$B$13)*(1+'Read Me'!$B$12),-1)</f>
        <v/>
      </c>
      <c r="W5732" s="15">
        <f>V5732*N5732*O5732</f>
        <v/>
      </c>
      <c r="X5732" s="12">
        <f>IF(LEFT(I5732,2)="MV",2*N5732*IF(L5732="1/C",O5732,1),0)</f>
        <v/>
      </c>
      <c r="Y5732" s="12">
        <f>IF(OR(LEFT(K5732,4)="LVAX",LEFT(K5732,6)="MV15AX",LEFT(K5732,4)="CTAX",LEFT(K5732,2)="W|"),2*N5732*O5732,0)</f>
        <v/>
      </c>
      <c r="Z5732" s="12" t="inlineStr">
        <is>
          <t>allowance: 1.6 ft of conductor per ft2 of floor</t>
        </is>
      </c>
      <c r="AA5732" s="12">
        <f>N5732*O5732</f>
        <v/>
      </c>
    </row>
    <row r="5733">
      <c r="A5733" s="12" t="inlineStr">
        <is>
          <t>K-L-0002</t>
        </is>
      </c>
      <c r="B5733" s="12" t="inlineStr">
        <is>
          <t>K</t>
        </is>
      </c>
      <c r="C5733" s="12" t="inlineStr">
        <is>
          <t>Fuel supply (adjacent market)</t>
        </is>
      </c>
      <c r="D5733" s="12" t="inlineStr">
        <is>
          <t>Lighting, receptacles and small power branch circuits (allowance)</t>
        </is>
      </c>
      <c r="E5733" s="12" t="inlineStr"/>
      <c r="F5733" s="12" t="inlineStr">
        <is>
          <t>LNG 17: LNG e-house (13.8 kV / 480 V)</t>
        </is>
      </c>
      <c r="G5733" s="12" t="inlineStr"/>
      <c r="H5733" s="12" t="inlineStr">
        <is>
          <t>LNG 17: LNG e-house (13.8 kV / 480 V)</t>
        </is>
      </c>
      <c r="I5733" s="12" t="inlineStr">
        <is>
          <t>Building wire</t>
        </is>
      </c>
      <c r="J5733" s="12" t="inlineStr">
        <is>
          <t>SIMpull THHN/THWN-2 600 V 1/C Cu (lighting, receptacles, small power)</t>
        </is>
      </c>
      <c r="K5733" s="12" t="inlineStr">
        <is>
          <t>THHN|1/C|12</t>
        </is>
      </c>
      <c r="L5733" s="12" t="inlineStr">
        <is>
          <t>1/C</t>
        </is>
      </c>
      <c r="M5733" s="12" t="inlineStr">
        <is>
          <t>12</t>
        </is>
      </c>
      <c r="N5733" s="12" t="n">
        <v>1</v>
      </c>
      <c r="O5733" s="12" t="n">
        <v>1</v>
      </c>
      <c r="P5733" s="12" t="n">
        <v>277</v>
      </c>
      <c r="Q5733" s="12" t="n"/>
      <c r="R5733" s="12" t="n"/>
      <c r="S5733" s="12" t="inlineStr">
        <is>
          <t>Conduit</t>
        </is>
      </c>
      <c r="T5733" s="15" t="n">
        <v>896</v>
      </c>
      <c r="U5733" s="15" t="n">
        <v>0</v>
      </c>
      <c r="V5733" s="15">
        <f>ROUNDUP((T5733+U5733+2*'Read Me'!$B$13)*(1+'Read Me'!$B$12),-1)</f>
        <v/>
      </c>
      <c r="W5733" s="15">
        <f>V5733*N5733*O5733</f>
        <v/>
      </c>
      <c r="X5733" s="12">
        <f>IF(LEFT(I5733,2)="MV",2*N5733*IF(L5733="1/C",O5733,1),0)</f>
        <v/>
      </c>
      <c r="Y5733" s="12">
        <f>IF(OR(LEFT(K5733,4)="LVAX",LEFT(K5733,6)="MV15AX",LEFT(K5733,4)="CTAX",LEFT(K5733,2)="W|"),2*N5733*O5733,0)</f>
        <v/>
      </c>
      <c r="Z5733" s="12" t="inlineStr">
        <is>
          <t>allowance: 1.6 ft of conductor per ft2 of floor</t>
        </is>
      </c>
      <c r="AA5733" s="12">
        <f>N5733*O5733</f>
        <v/>
      </c>
    </row>
    <row r="5734">
      <c r="A5734" s="12" t="inlineStr">
        <is>
          <t>K-L-0003</t>
        </is>
      </c>
      <c r="B5734" s="12" t="inlineStr">
        <is>
          <t>K</t>
        </is>
      </c>
      <c r="C5734" s="12" t="inlineStr">
        <is>
          <t>Fuel supply (adjacent market)</t>
        </is>
      </c>
      <c r="D5734" s="12" t="inlineStr">
        <is>
          <t>Lighting, receptacles and small power branch circuits (allowance)</t>
        </is>
      </c>
      <c r="E5734" s="12" t="inlineStr"/>
      <c r="F5734" s="12" t="inlineStr">
        <is>
          <t>M&amp;R 6: regulation / flow control building</t>
        </is>
      </c>
      <c r="G5734" s="12" t="inlineStr"/>
      <c r="H5734" s="12" t="inlineStr">
        <is>
          <t>M&amp;R 6: regulation / flow control building</t>
        </is>
      </c>
      <c r="I5734" s="12" t="inlineStr">
        <is>
          <t>Building wire</t>
        </is>
      </c>
      <c r="J5734" s="12" t="inlineStr">
        <is>
          <t>SIMpull THHN/THWN-2 600 V 1/C Cu (lighting, receptacles, small power)</t>
        </is>
      </c>
      <c r="K5734" s="12" t="inlineStr">
        <is>
          <t>THHN|1/C|12</t>
        </is>
      </c>
      <c r="L5734" s="12" t="inlineStr">
        <is>
          <t>1/C</t>
        </is>
      </c>
      <c r="M5734" s="12" t="inlineStr">
        <is>
          <t>12</t>
        </is>
      </c>
      <c r="N5734" s="12" t="n">
        <v>1</v>
      </c>
      <c r="O5734" s="12" t="n">
        <v>1</v>
      </c>
      <c r="P5734" s="12" t="n">
        <v>277</v>
      </c>
      <c r="Q5734" s="12" t="n"/>
      <c r="R5734" s="12" t="n"/>
      <c r="S5734" s="12" t="inlineStr">
        <is>
          <t>Conduit</t>
        </is>
      </c>
      <c r="T5734" s="15" t="n">
        <v>1440</v>
      </c>
      <c r="U5734" s="15" t="n">
        <v>0</v>
      </c>
      <c r="V5734" s="15">
        <f>ROUNDUP((T5734+U5734+2*'Read Me'!$B$13)*(1+'Read Me'!$B$12),-1)</f>
        <v/>
      </c>
      <c r="W5734" s="15">
        <f>V5734*N5734*O5734</f>
        <v/>
      </c>
      <c r="X5734" s="12">
        <f>IF(LEFT(I5734,2)="MV",2*N5734*IF(L5734="1/C",O5734,1),0)</f>
        <v/>
      </c>
      <c r="Y5734" s="12">
        <f>IF(OR(LEFT(K5734,4)="LVAX",LEFT(K5734,6)="MV15AX",LEFT(K5734,4)="CTAX",LEFT(K5734,2)="W|"),2*N5734*O5734,0)</f>
        <v/>
      </c>
      <c r="Z5734" s="12" t="inlineStr">
        <is>
          <t>allowance: 1.6 ft of conductor per ft2 of floor</t>
        </is>
      </c>
      <c r="AA5734" s="12">
        <f>N5734*O5734</f>
        <v/>
      </c>
    </row>
    <row r="5735">
      <c r="A5735" s="12" t="inlineStr">
        <is>
          <t>K-L-0004</t>
        </is>
      </c>
      <c r="B5735" s="12" t="inlineStr">
        <is>
          <t>K</t>
        </is>
      </c>
      <c r="C5735" s="12" t="inlineStr">
        <is>
          <t>Fuel supply (adjacent market)</t>
        </is>
      </c>
      <c r="D5735" s="12" t="inlineStr">
        <is>
          <t>Lighting, receptacles and small power branch circuits (allowance)</t>
        </is>
      </c>
      <c r="E5735" s="12" t="inlineStr"/>
      <c r="F5735" s="12" t="inlineStr">
        <is>
          <t>M&amp;R 7: gas quality + measurement building</t>
        </is>
      </c>
      <c r="G5735" s="12" t="inlineStr"/>
      <c r="H5735" s="12" t="inlineStr">
        <is>
          <t>M&amp;R 7: gas quality + measurement building</t>
        </is>
      </c>
      <c r="I5735" s="12" t="inlineStr">
        <is>
          <t>Building wire</t>
        </is>
      </c>
      <c r="J5735" s="12" t="inlineStr">
        <is>
          <t>SIMpull THHN/THWN-2 600 V 1/C Cu (lighting, receptacles, small power)</t>
        </is>
      </c>
      <c r="K5735" s="12" t="inlineStr">
        <is>
          <t>THHN|1/C|12</t>
        </is>
      </c>
      <c r="L5735" s="12" t="inlineStr">
        <is>
          <t>1/C</t>
        </is>
      </c>
      <c r="M5735" s="12" t="inlineStr">
        <is>
          <t>12</t>
        </is>
      </c>
      <c r="N5735" s="12" t="n">
        <v>1</v>
      </c>
      <c r="O5735" s="12" t="n">
        <v>1</v>
      </c>
      <c r="P5735" s="12" t="n">
        <v>277</v>
      </c>
      <c r="Q5735" s="12" t="n"/>
      <c r="R5735" s="12" t="n"/>
      <c r="S5735" s="12" t="inlineStr">
        <is>
          <t>Conduit</t>
        </is>
      </c>
      <c r="T5735" s="15" t="n">
        <v>205</v>
      </c>
      <c r="U5735" s="15" t="n">
        <v>0</v>
      </c>
      <c r="V5735" s="15">
        <f>ROUNDUP((T5735+U5735+2*'Read Me'!$B$13)*(1+'Read Me'!$B$12),-1)</f>
        <v/>
      </c>
      <c r="W5735" s="15">
        <f>V5735*N5735*O5735</f>
        <v/>
      </c>
      <c r="X5735" s="12">
        <f>IF(LEFT(I5735,2)="MV",2*N5735*IF(L5735="1/C",O5735,1),0)</f>
        <v/>
      </c>
      <c r="Y5735" s="12">
        <f>IF(OR(LEFT(K5735,4)="LVAX",LEFT(K5735,6)="MV15AX",LEFT(K5735,4)="CTAX",LEFT(K5735,2)="W|"),2*N5735*O5735,0)</f>
        <v/>
      </c>
      <c r="Z5735" s="12" t="inlineStr">
        <is>
          <t>allowance: 1.6 ft of conductor per ft2 of floor</t>
        </is>
      </c>
      <c r="AA5735" s="12">
        <f>N5735*O5735</f>
        <v/>
      </c>
    </row>
    <row r="5736">
      <c r="A5736" s="12" t="inlineStr">
        <is>
          <t>K-C-0001</t>
        </is>
      </c>
      <c r="B5736" s="12" t="inlineStr">
        <is>
          <t>K</t>
        </is>
      </c>
      <c r="C5736" s="12" t="inlineStr">
        <is>
          <t>Fuel supply (adjacent market)</t>
        </is>
      </c>
      <c r="D5736" s="12" t="inlineStr">
        <is>
          <t>Motor 1 of 1: control / local station</t>
        </is>
      </c>
      <c r="E5736" s="12" t="inlineStr"/>
      <c r="F5736" s="12" t="inlineStr">
        <is>
          <t>H2 20: 13.8 kV e-house</t>
        </is>
      </c>
      <c r="G5736" s="12" t="inlineStr">
        <is>
          <t>T-H2</t>
        </is>
      </c>
      <c r="H5736" s="12" t="inlineStr">
        <is>
          <t>H2 19: T-H2 230/13.8 kV (about 40 MVA)</t>
        </is>
      </c>
      <c r="I5736" s="12" t="inlineStr">
        <is>
          <t>Control</t>
        </is>
      </c>
      <c r="J5736" s="12" t="inlineStr">
        <is>
          <t>ARMOR-X MC-HL 600 V control, Cu #14 AWG (Class I Div 2)</t>
        </is>
      </c>
      <c r="K5736" s="12" t="inlineStr">
        <is>
          <t>CTAX|7/C|14</t>
        </is>
      </c>
      <c r="L5736" s="12" t="inlineStr">
        <is>
          <t>7/C</t>
        </is>
      </c>
      <c r="M5736" s="12" t="inlineStr">
        <is>
          <t>14</t>
        </is>
      </c>
      <c r="N5736" s="12" t="n">
        <v>1</v>
      </c>
      <c r="O5736" s="12" t="n">
        <v>1</v>
      </c>
      <c r="P5736" s="12" t="n"/>
      <c r="Q5736" s="12" t="n"/>
      <c r="R5736" s="12" t="n"/>
      <c r="S5736" s="12" t="inlineStr">
        <is>
          <t>Duct bank</t>
        </is>
      </c>
      <c r="T5736" s="15" t="n">
        <v>35</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K-C-0002</t>
        </is>
      </c>
      <c r="B5737" s="12" t="inlineStr">
        <is>
          <t>K</t>
        </is>
      </c>
      <c r="C5737" s="12" t="inlineStr">
        <is>
          <t>Fuel supply (adjacent market)</t>
        </is>
      </c>
      <c r="D5737" s="12" t="inlineStr">
        <is>
          <t>Solenoid to JB JB-T-H2-SOL01: 2 x 2/C (field cables)</t>
        </is>
      </c>
      <c r="E5737" s="12" t="inlineStr">
        <is>
          <t>T-H2</t>
        </is>
      </c>
      <c r="F5737" s="12" t="inlineStr">
        <is>
          <t>H2 19: T-H2 230/13.8 kV (about 40 MVA)</t>
        </is>
      </c>
      <c r="G5737" s="12" t="inlineStr">
        <is>
          <t>JB-T-H2-SOL01</t>
        </is>
      </c>
      <c r="H5737" s="12" t="inlineStr">
        <is>
          <t>H2 19: T-H2 230/13.8 kV (about 40 MVA)</t>
        </is>
      </c>
      <c r="I5737" s="12" t="inlineStr">
        <is>
          <t>Control</t>
        </is>
      </c>
      <c r="J5737" s="12" t="inlineStr">
        <is>
          <t>ARMOR-X MC-HL 600 V control, Cu #14 AWG (Class I Div 2)</t>
        </is>
      </c>
      <c r="K5737" s="12" t="inlineStr">
        <is>
          <t>CTAX|2/C|14</t>
        </is>
      </c>
      <c r="L5737" s="12" t="inlineStr">
        <is>
          <t>2/C</t>
        </is>
      </c>
      <c r="M5737" s="12" t="inlineStr">
        <is>
          <t>14</t>
        </is>
      </c>
      <c r="N5737" s="12" t="n">
        <v>2</v>
      </c>
      <c r="O5737" s="12" t="n">
        <v>1</v>
      </c>
      <c r="P5737" s="12" t="n"/>
      <c r="Q5737" s="12" t="n"/>
      <c r="R5737" s="12" t="n"/>
      <c r="S5737" s="12" t="inlineStr">
        <is>
          <t>Tray / conduit</t>
        </is>
      </c>
      <c r="T5737" s="15" t="n">
        <v>80</v>
      </c>
      <c r="U5737" s="15" t="n">
        <v>10</v>
      </c>
      <c r="V5737" s="15">
        <f>ROUNDUP((T5737+U5737+2*'Read Me'!$B$13)*(1+'Read Me'!$B$12),-1)</f>
        <v/>
      </c>
      <c r="W5737" s="15">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K-C-0003</t>
        </is>
      </c>
      <c r="B5738" s="12" t="inlineStr">
        <is>
          <t>K</t>
        </is>
      </c>
      <c r="C5738" s="12" t="inlineStr">
        <is>
          <t>Fuel supply (adjacent market)</t>
        </is>
      </c>
      <c r="D5738" s="12" t="inlineStr">
        <is>
          <t>Home run JB-T-H2-SOL01 to the control / marshalling room</t>
        </is>
      </c>
      <c r="E5738" s="12" t="inlineStr"/>
      <c r="F5738" s="12" t="inlineStr">
        <is>
          <t>H2 20: 13.8 kV e-house</t>
        </is>
      </c>
      <c r="G5738" s="12" t="inlineStr">
        <is>
          <t>JB-T-H2-SOL01</t>
        </is>
      </c>
      <c r="H5738" s="12" t="inlineStr">
        <is>
          <t>H2 19: T-H2 230/13.8 kV (about 40 MVA)</t>
        </is>
      </c>
      <c r="I5738" s="12" t="inlineStr">
        <is>
          <t>Control</t>
        </is>
      </c>
      <c r="J5738" s="12" t="inlineStr">
        <is>
          <t>ARMOR-X MC-HL 600 V control, Cu #14 AWG (Class I Div 2)</t>
        </is>
      </c>
      <c r="K5738" s="12" t="inlineStr">
        <is>
          <t>CTAX|25/C|14</t>
        </is>
      </c>
      <c r="L5738" s="12" t="inlineStr">
        <is>
          <t>25/C</t>
        </is>
      </c>
      <c r="M5738" s="12" t="inlineStr">
        <is>
          <t>14</t>
        </is>
      </c>
      <c r="N5738" s="12" t="n">
        <v>1</v>
      </c>
      <c r="O5738" s="12" t="n">
        <v>1</v>
      </c>
      <c r="P5738" s="12" t="n"/>
      <c r="Q5738" s="12" t="n"/>
      <c r="R5738" s="12" t="n"/>
      <c r="S5738" s="12" t="inlineStr">
        <is>
          <t>Duct bank</t>
        </is>
      </c>
      <c r="T5738" s="15" t="n">
        <v>35</v>
      </c>
      <c r="U5738" s="15" t="n">
        <v>32</v>
      </c>
      <c r="V5738" s="15">
        <f>ROUNDUP((T5738+U5738+2*'Read Me'!$B$13)*(1+'Read Me'!$B$12),-1)</f>
        <v/>
      </c>
      <c r="W5738" s="15">
        <f>V5738*N5738*O5738</f>
        <v/>
      </c>
      <c r="X5738" s="12">
        <f>IF(LEFT(I5738,2)="MV",2*N5738*IF(L5738="1/C",O5738,1),0)</f>
        <v/>
      </c>
      <c r="Y5738" s="12">
        <f>IF(OR(LEFT(K5738,4)="LVAX",LEFT(K5738,6)="MV15AX",LEFT(K5738,4)="CTAX",LEFT(K5738,2)="W|"),2*N5738*O5738,0)</f>
        <v/>
      </c>
      <c r="Z5738" s="12" t="inlineStr"/>
      <c r="AA5738" s="12">
        <f>N5738*O5738</f>
        <v/>
      </c>
    </row>
    <row r="5739">
      <c r="A5739" s="12" t="inlineStr">
        <is>
          <t>K-C-0004</t>
        </is>
      </c>
      <c r="B5739" s="12" t="inlineStr">
        <is>
          <t>K</t>
        </is>
      </c>
      <c r="C5739" s="12" t="inlineStr">
        <is>
          <t>Fuel supply (adjacent market)</t>
        </is>
      </c>
      <c r="D5739" s="12" t="inlineStr">
        <is>
          <t>Motor 1 of 1: control / local station</t>
        </is>
      </c>
      <c r="E5739" s="12" t="inlineStr"/>
      <c r="F5739" s="12" t="inlineStr">
        <is>
          <t>H2 20: 13.8 kV e-house</t>
        </is>
      </c>
      <c r="G5739" s="12" t="inlineStr"/>
      <c r="H5739" s="12" t="inlineStr">
        <is>
          <t>H2 20: 13.8 kV e-house</t>
        </is>
      </c>
      <c r="I5739" s="12" t="inlineStr">
        <is>
          <t>Control</t>
        </is>
      </c>
      <c r="J5739" s="12" t="inlineStr">
        <is>
          <t>ARMOR-X MC-HL 600 V control, Cu #14 AWG (Class I Div 2)</t>
        </is>
      </c>
      <c r="K5739" s="12" t="inlineStr">
        <is>
          <t>CTAX|7/C|14</t>
        </is>
      </c>
      <c r="L5739" s="12" t="inlineStr">
        <is>
          <t>7/C</t>
        </is>
      </c>
      <c r="M5739" s="12" t="inlineStr">
        <is>
          <t>14</t>
        </is>
      </c>
      <c r="N5739" s="12" t="n">
        <v>1</v>
      </c>
      <c r="O5739" s="12" t="n">
        <v>1</v>
      </c>
      <c r="P5739" s="12" t="n"/>
      <c r="Q5739" s="12" t="n"/>
      <c r="R5739" s="12" t="n"/>
      <c r="S5739" s="12" t="inlineStr">
        <is>
          <t>Tray</t>
        </is>
      </c>
      <c r="T5739" s="15" t="n">
        <v>0</v>
      </c>
      <c r="U5739" s="15" t="n">
        <v>32</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K-C-0005</t>
        </is>
      </c>
      <c r="B5740" s="12" t="inlineStr">
        <is>
          <t>K</t>
        </is>
      </c>
      <c r="C5740" s="12" t="inlineStr">
        <is>
          <t>Fuel supply (adjacent market)</t>
        </is>
      </c>
      <c r="D5740" s="12" t="inlineStr">
        <is>
          <t>Solenoid to JB JB-H2 20: 13.8 kV e-h-SOL01: 2 x 2/C (field cables)</t>
        </is>
      </c>
      <c r="E5740" s="12" t="inlineStr"/>
      <c r="F5740" s="12" t="inlineStr">
        <is>
          <t>H2 20: 13.8 kV e-house</t>
        </is>
      </c>
      <c r="G5740" s="12" t="inlineStr">
        <is>
          <t>JB-H2 20: 13.8 kV e-h-SOL01</t>
        </is>
      </c>
      <c r="H5740" s="12" t="inlineStr">
        <is>
          <t>H2 20: 13.8 kV e-house</t>
        </is>
      </c>
      <c r="I5740" s="12" t="inlineStr">
        <is>
          <t>Control</t>
        </is>
      </c>
      <c r="J5740" s="12" t="inlineStr">
        <is>
          <t>ARMOR-X MC-HL 600 V control, Cu #14 AWG (Class I Div 2)</t>
        </is>
      </c>
      <c r="K5740" s="12" t="inlineStr">
        <is>
          <t>CTAX|2/C|14</t>
        </is>
      </c>
      <c r="L5740" s="12" t="inlineStr">
        <is>
          <t>2/C</t>
        </is>
      </c>
      <c r="M5740" s="12" t="inlineStr">
        <is>
          <t>14</t>
        </is>
      </c>
      <c r="N5740" s="12" t="n">
        <v>2</v>
      </c>
      <c r="O5740" s="12" t="n">
        <v>1</v>
      </c>
      <c r="P5740" s="12" t="n"/>
      <c r="Q5740" s="12" t="n"/>
      <c r="R5740" s="12" t="n"/>
      <c r="S5740" s="12" t="inlineStr">
        <is>
          <t>Tray / conduit</t>
        </is>
      </c>
      <c r="T5740" s="15" t="n">
        <v>69</v>
      </c>
      <c r="U5740" s="15" t="n">
        <v>10</v>
      </c>
      <c r="V5740" s="15">
        <f>ROUNDUP((T5740+U5740+2*'Read Me'!$B$13)*(1+'Read Me'!$B$12),-1)</f>
        <v/>
      </c>
      <c r="W5740" s="15">
        <f>V5740*N5740*O5740</f>
        <v/>
      </c>
      <c r="X5740" s="12">
        <f>IF(LEFT(I5740,2)="MV",2*N5740*IF(L5740="1/C",O5740,1),0)</f>
        <v/>
      </c>
      <c r="Y5740" s="12">
        <f>IF(OR(LEFT(K5740,4)="LVAX",LEFT(K5740,6)="MV15AX",LEFT(K5740,4)="CTAX",LEFT(K5740,2)="W|"),2*N5740*O5740,0)</f>
        <v/>
      </c>
      <c r="Z5740" s="12" t="inlineStr">
        <is>
          <t>device-to-JB field wiring, one cable per device</t>
        </is>
      </c>
      <c r="AA5740" s="12">
        <f>N5740*O5740</f>
        <v/>
      </c>
    </row>
    <row r="5741">
      <c r="A5741" s="12" t="inlineStr">
        <is>
          <t>K-C-0006</t>
        </is>
      </c>
      <c r="B5741" s="12" t="inlineStr">
        <is>
          <t>K</t>
        </is>
      </c>
      <c r="C5741" s="12" t="inlineStr">
        <is>
          <t>Fuel supply (adjacent market)</t>
        </is>
      </c>
      <c r="D5741" s="12" t="inlineStr">
        <is>
          <t>Home run JB-H2 20: 13.8 kV e-h-SOL01 to the control / marshalling room</t>
        </is>
      </c>
      <c r="E5741" s="12" t="inlineStr"/>
      <c r="F5741" s="12" t="inlineStr">
        <is>
          <t>H2 20: 13.8 kV e-house</t>
        </is>
      </c>
      <c r="G5741" s="12" t="inlineStr">
        <is>
          <t>JB-H2 20: 13.8 kV e-h-SOL01</t>
        </is>
      </c>
      <c r="H5741" s="12" t="inlineStr">
        <is>
          <t>H2 20: 13.8 kV e-house</t>
        </is>
      </c>
      <c r="I5741" s="12" t="inlineStr">
        <is>
          <t>Control</t>
        </is>
      </c>
      <c r="J5741" s="12" t="inlineStr">
        <is>
          <t>ARMOR-X MC-HL 600 V control, Cu #14 AWG (Class I Div 2)</t>
        </is>
      </c>
      <c r="K5741" s="12" t="inlineStr">
        <is>
          <t>CTAX|25/C|14</t>
        </is>
      </c>
      <c r="L5741" s="12" t="inlineStr">
        <is>
          <t>25/C</t>
        </is>
      </c>
      <c r="M5741" s="12" t="inlineStr">
        <is>
          <t>14</t>
        </is>
      </c>
      <c r="N5741" s="12" t="n">
        <v>1</v>
      </c>
      <c r="O5741" s="12" t="n">
        <v>1</v>
      </c>
      <c r="P5741" s="12" t="n"/>
      <c r="Q5741" s="12" t="n"/>
      <c r="R5741" s="12" t="n"/>
      <c r="S5741" s="12" t="inlineStr">
        <is>
          <t>Tray</t>
        </is>
      </c>
      <c r="T5741" s="15" t="n">
        <v>0</v>
      </c>
      <c r="U5741" s="15" t="n">
        <v>32</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K-C-0007</t>
        </is>
      </c>
      <c r="B5742" s="12" t="inlineStr">
        <is>
          <t>K</t>
        </is>
      </c>
      <c r="C5742" s="12" t="inlineStr">
        <is>
          <t>Fuel supply (adjacent market)</t>
        </is>
      </c>
      <c r="D5742" s="12" t="inlineStr">
        <is>
          <t>Motor 1 of 1: control / local station</t>
        </is>
      </c>
      <c r="E5742" s="12" t="inlineStr"/>
      <c r="F5742" s="12" t="inlineStr">
        <is>
          <t>H2 20: 13.8 kV e-house</t>
        </is>
      </c>
      <c r="G5742" s="12" t="inlineStr"/>
      <c r="H5742" s="12" t="inlineStr">
        <is>
          <t>H2 21: rectifier transformer 1 (7 MVA)</t>
        </is>
      </c>
      <c r="I5742" s="12" t="inlineStr">
        <is>
          <t>Control</t>
        </is>
      </c>
      <c r="J5742" s="12" t="inlineStr">
        <is>
          <t>ARMOR-X MC-HL 600 V control, Cu #14 AWG (Class I Div 2)</t>
        </is>
      </c>
      <c r="K5742" s="12" t="inlineStr">
        <is>
          <t>CTAX|7/C|14</t>
        </is>
      </c>
      <c r="L5742" s="12" t="inlineStr">
        <is>
          <t>7/C</t>
        </is>
      </c>
      <c r="M5742" s="12" t="inlineStr">
        <is>
          <t>14</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K-C-0008</t>
        </is>
      </c>
      <c r="B5743" s="12" t="inlineStr">
        <is>
          <t>K</t>
        </is>
      </c>
      <c r="C5743" s="12" t="inlineStr">
        <is>
          <t>Fuel supply (adjacent market)</t>
        </is>
      </c>
      <c r="D5743" s="12" t="inlineStr">
        <is>
          <t>Solenoid to JB JB-H2 21: rectifier t-SOL01: 2 x 2/C (field cables)</t>
        </is>
      </c>
      <c r="E5743" s="12" t="inlineStr"/>
      <c r="F5743" s="12" t="inlineStr">
        <is>
          <t>H2 21: rectifier transformer 1 (7 MVA)</t>
        </is>
      </c>
      <c r="G5743" s="12" t="inlineStr">
        <is>
          <t>JB-H2 21: rectifier t-SOL01</t>
        </is>
      </c>
      <c r="H5743" s="12" t="inlineStr">
        <is>
          <t>H2 21: rectifier transformer 1 (7 MVA)</t>
        </is>
      </c>
      <c r="I5743" s="12" t="inlineStr">
        <is>
          <t>Control</t>
        </is>
      </c>
      <c r="J5743" s="12" t="inlineStr">
        <is>
          <t>ARMOR-X MC-HL 600 V control, Cu #14 AWG (Class I Div 2)</t>
        </is>
      </c>
      <c r="K5743" s="12" t="inlineStr">
        <is>
          <t>CTAX|2/C|14</t>
        </is>
      </c>
      <c r="L5743" s="12" t="inlineStr">
        <is>
          <t>2/C</t>
        </is>
      </c>
      <c r="M5743" s="12" t="inlineStr">
        <is>
          <t>14</t>
        </is>
      </c>
      <c r="N5743" s="12" t="n">
        <v>2</v>
      </c>
      <c r="O5743" s="12" t="n">
        <v>1</v>
      </c>
      <c r="P5743" s="12" t="n"/>
      <c r="Q5743" s="12" t="n"/>
      <c r="R5743" s="12" t="n"/>
      <c r="S5743" s="12" t="inlineStr">
        <is>
          <t>Tray / conduit</t>
        </is>
      </c>
      <c r="T5743" s="15" t="n">
        <v>41</v>
      </c>
      <c r="U5743" s="15" t="n">
        <v>10</v>
      </c>
      <c r="V5743" s="15">
        <f>ROUNDUP((T5743+U5743+2*'Read Me'!$B$13)*(1+'Read Me'!$B$12),-1)</f>
        <v/>
      </c>
      <c r="W5743" s="15">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K-C-0009</t>
        </is>
      </c>
      <c r="B5744" s="12" t="inlineStr">
        <is>
          <t>K</t>
        </is>
      </c>
      <c r="C5744" s="12" t="inlineStr">
        <is>
          <t>Fuel supply (adjacent market)</t>
        </is>
      </c>
      <c r="D5744" s="12" t="inlineStr">
        <is>
          <t>Home run JB-H2 21: rectifier t-SOL01 to the control / marshalling room</t>
        </is>
      </c>
      <c r="E5744" s="12" t="inlineStr"/>
      <c r="F5744" s="12" t="inlineStr">
        <is>
          <t>H2 20: 13.8 kV e-house</t>
        </is>
      </c>
      <c r="G5744" s="12" t="inlineStr">
        <is>
          <t>JB-H2 21: rectifier t-SOL01</t>
        </is>
      </c>
      <c r="H5744" s="12" t="inlineStr">
        <is>
          <t>H2 21: rectifier transformer 1 (7 MVA)</t>
        </is>
      </c>
      <c r="I5744" s="12" t="inlineStr">
        <is>
          <t>Control</t>
        </is>
      </c>
      <c r="J5744" s="12" t="inlineStr">
        <is>
          <t>ARMOR-X MC-HL 600 V control, Cu #14 AWG (Class I Div 2)</t>
        </is>
      </c>
      <c r="K5744" s="12" t="inlineStr">
        <is>
          <t>CTAX|25/C|14</t>
        </is>
      </c>
      <c r="L5744" s="12" t="inlineStr">
        <is>
          <t>25/C</t>
        </is>
      </c>
      <c r="M5744" s="12" t="inlineStr">
        <is>
          <t>14</t>
        </is>
      </c>
      <c r="N5744" s="12" t="n">
        <v>1</v>
      </c>
      <c r="O5744" s="12" t="n">
        <v>1</v>
      </c>
      <c r="P5744" s="12" t="n"/>
      <c r="Q5744" s="12" t="n"/>
      <c r="R5744" s="12" t="n"/>
      <c r="S5744" s="12" t="inlineStr">
        <is>
          <t>Duct bank</t>
        </is>
      </c>
      <c r="T5744" s="15" t="n">
        <v>356</v>
      </c>
      <c r="U5744" s="15" t="n">
        <v>48</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K-C-0010</t>
        </is>
      </c>
      <c r="B5745" s="12" t="inlineStr">
        <is>
          <t>K</t>
        </is>
      </c>
      <c r="C5745" s="12" t="inlineStr">
        <is>
          <t>Fuel supply (adjacent market)</t>
        </is>
      </c>
      <c r="D5745" s="12" t="inlineStr">
        <is>
          <t>Control</t>
        </is>
      </c>
      <c r="E5745" s="12" t="inlineStr"/>
      <c r="F5745" s="12" t="inlineStr">
        <is>
          <t>H2 20: 13.8 kV e-house</t>
        </is>
      </c>
      <c r="G5745" s="12" t="inlineStr"/>
      <c r="H5745" s="12" t="inlineStr">
        <is>
          <t>H2 21: rectifier transformer 1 (7 MVA)</t>
        </is>
      </c>
      <c r="I5745" s="12" t="inlineStr">
        <is>
          <t>Control</t>
        </is>
      </c>
      <c r="J5745" s="12" t="inlineStr">
        <is>
          <t>ARMOR-X MC-HL 600 V control, Cu #14 AWG (Class I Div 2)</t>
        </is>
      </c>
      <c r="K5745" s="12" t="inlineStr">
        <is>
          <t>CTAX|7/C|14</t>
        </is>
      </c>
      <c r="L5745" s="12" t="inlineStr">
        <is>
          <t>7/C</t>
        </is>
      </c>
      <c r="M5745" s="12" t="inlineStr">
        <is>
          <t>14</t>
        </is>
      </c>
      <c r="N5745" s="12" t="n">
        <v>1</v>
      </c>
      <c r="O5745" s="12" t="n">
        <v>1</v>
      </c>
      <c r="P5745" s="12" t="n"/>
      <c r="Q5745" s="12" t="n"/>
      <c r="R5745" s="12" t="n"/>
      <c r="S5745" s="12" t="inlineStr">
        <is>
          <t>Duct bank</t>
        </is>
      </c>
      <c r="T5745" s="15" t="n">
        <v>356</v>
      </c>
      <c r="U5745" s="15" t="n">
        <v>48</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K-C-0011</t>
        </is>
      </c>
      <c r="B5746" s="12" t="inlineStr">
        <is>
          <t>K</t>
        </is>
      </c>
      <c r="C5746" s="12" t="inlineStr">
        <is>
          <t>Fuel supply (adjacent market)</t>
        </is>
      </c>
      <c r="D5746" s="12" t="inlineStr">
        <is>
          <t>Control</t>
        </is>
      </c>
      <c r="E5746" s="12" t="inlineStr"/>
      <c r="F5746" s="12" t="inlineStr">
        <is>
          <t>H2 20: 13.8 kV e-house</t>
        </is>
      </c>
      <c r="G5746" s="12" t="inlineStr"/>
      <c r="H5746" s="12" t="inlineStr">
        <is>
          <t>H2 21: rectifier transformer 1 (7 MVA)</t>
        </is>
      </c>
      <c r="I5746" s="12" t="inlineStr">
        <is>
          <t>Control</t>
        </is>
      </c>
      <c r="J5746" s="12" t="inlineStr">
        <is>
          <t>ARMOR-X MC-HL 600 V control, Cu #14 AWG (Class I Div 2)</t>
        </is>
      </c>
      <c r="K5746" s="12" t="inlineStr">
        <is>
          <t>CTAX|12/C|14</t>
        </is>
      </c>
      <c r="L5746" s="12" t="inlineStr">
        <is>
          <t>12/C</t>
        </is>
      </c>
      <c r="M5746" s="12" t="inlineStr">
        <is>
          <t>14</t>
        </is>
      </c>
      <c r="N5746" s="12" t="n">
        <v>1</v>
      </c>
      <c r="O5746" s="12" t="n">
        <v>1</v>
      </c>
      <c r="P5746" s="12" t="n"/>
      <c r="Q5746" s="12" t="n"/>
      <c r="R5746" s="12" t="n"/>
      <c r="S5746" s="12" t="inlineStr">
        <is>
          <t>Duct bank</t>
        </is>
      </c>
      <c r="T5746" s="15" t="n">
        <v>356</v>
      </c>
      <c r="U5746" s="15" t="n">
        <v>48</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K-C-0012</t>
        </is>
      </c>
      <c r="B5747" s="12" t="inlineStr">
        <is>
          <t>K</t>
        </is>
      </c>
      <c r="C5747" s="12" t="inlineStr">
        <is>
          <t>Fuel supply (adjacent market)</t>
        </is>
      </c>
      <c r="D5747" s="12" t="inlineStr">
        <is>
          <t>CT / VT</t>
        </is>
      </c>
      <c r="E5747" s="12" t="inlineStr"/>
      <c r="F5747" s="12" t="inlineStr">
        <is>
          <t>H2 20: 13.8 kV e-house</t>
        </is>
      </c>
      <c r="G5747" s="12" t="inlineStr"/>
      <c r="H5747" s="12" t="inlineStr">
        <is>
          <t>H2 21: rectifier transformer 1 (7 MVA)</t>
        </is>
      </c>
      <c r="I5747" s="12" t="inlineStr">
        <is>
          <t>Control</t>
        </is>
      </c>
      <c r="J5747" s="12" t="inlineStr">
        <is>
          <t>Control cable 600 V Type TC-ER, Cu #10 AWG (CT / VT circuits)</t>
        </is>
      </c>
      <c r="K5747" s="12" t="inlineStr">
        <is>
          <t>CTCT|4/C|10</t>
        </is>
      </c>
      <c r="L5747" s="12" t="inlineStr">
        <is>
          <t>4/C</t>
        </is>
      </c>
      <c r="M5747" s="12" t="inlineStr">
        <is>
          <t>10</t>
        </is>
      </c>
      <c r="N5747" s="12" t="n">
        <v>1</v>
      </c>
      <c r="O5747" s="12" t="n">
        <v>1</v>
      </c>
      <c r="P5747" s="12" t="n"/>
      <c r="Q5747" s="12" t="n"/>
      <c r="R5747" s="12" t="n"/>
      <c r="S5747" s="12" t="inlineStr">
        <is>
          <t>Duct bank</t>
        </is>
      </c>
      <c r="T5747" s="15" t="n">
        <v>356</v>
      </c>
      <c r="U5747" s="15" t="n">
        <v>48</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K-C-0013</t>
        </is>
      </c>
      <c r="B5748" s="12" t="inlineStr">
        <is>
          <t>K</t>
        </is>
      </c>
      <c r="C5748" s="12" t="inlineStr">
        <is>
          <t>Fuel supply (adjacent market)</t>
        </is>
      </c>
      <c r="D5748" s="12" t="inlineStr">
        <is>
          <t>CT / VT</t>
        </is>
      </c>
      <c r="E5748" s="12" t="inlineStr"/>
      <c r="F5748" s="12" t="inlineStr">
        <is>
          <t>H2 20: 13.8 kV e-house</t>
        </is>
      </c>
      <c r="G5748" s="12" t="inlineStr"/>
      <c r="H5748" s="12" t="inlineStr">
        <is>
          <t>H2 21: rectifier transformer 1 (7 MVA)</t>
        </is>
      </c>
      <c r="I5748" s="12" t="inlineStr">
        <is>
          <t>Control</t>
        </is>
      </c>
      <c r="J5748" s="12" t="inlineStr">
        <is>
          <t>Control cable 600 V Type TC-ER, Cu #10 AWG (CT / VT circuits)</t>
        </is>
      </c>
      <c r="K5748" s="12" t="inlineStr">
        <is>
          <t>CTCT|4/C|10</t>
        </is>
      </c>
      <c r="L5748" s="12" t="inlineStr">
        <is>
          <t>4/C</t>
        </is>
      </c>
      <c r="M5748" s="12" t="inlineStr">
        <is>
          <t>10</t>
        </is>
      </c>
      <c r="N5748" s="12" t="n">
        <v>1</v>
      </c>
      <c r="O5748" s="12" t="n">
        <v>1</v>
      </c>
      <c r="P5748" s="12" t="n"/>
      <c r="Q5748" s="12" t="n"/>
      <c r="R5748" s="12" t="n"/>
      <c r="S5748" s="12" t="inlineStr">
        <is>
          <t>Duct bank</t>
        </is>
      </c>
      <c r="T5748" s="15" t="n">
        <v>356</v>
      </c>
      <c r="U5748" s="15" t="n">
        <v>48</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K-C-0014</t>
        </is>
      </c>
      <c r="B5749" s="12" t="inlineStr">
        <is>
          <t>K</t>
        </is>
      </c>
      <c r="C5749" s="12" t="inlineStr">
        <is>
          <t>Fuel supply (adjacent market)</t>
        </is>
      </c>
      <c r="D5749" s="12" t="inlineStr">
        <is>
          <t>Motor 1 of 1: control / local station</t>
        </is>
      </c>
      <c r="E5749" s="12" t="inlineStr"/>
      <c r="F5749" s="12" t="inlineStr">
        <is>
          <t>H2 20: 13.8 kV e-house</t>
        </is>
      </c>
      <c r="G5749" s="12" t="inlineStr"/>
      <c r="H5749" s="12" t="inlineStr">
        <is>
          <t>H2 21: rectifier transformer 2 (7 MVA)</t>
        </is>
      </c>
      <c r="I5749" s="12" t="inlineStr">
        <is>
          <t>Control</t>
        </is>
      </c>
      <c r="J5749" s="12" t="inlineStr">
        <is>
          <t>ARMOR-X MC-HL 600 V control, Cu #14 AWG (Class I Div 2)</t>
        </is>
      </c>
      <c r="K5749" s="12" t="inlineStr">
        <is>
          <t>CTAX|7/C|14</t>
        </is>
      </c>
      <c r="L5749" s="12" t="inlineStr">
        <is>
          <t>7/C</t>
        </is>
      </c>
      <c r="M5749" s="12" t="inlineStr">
        <is>
          <t>14</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K-C-0015</t>
        </is>
      </c>
      <c r="B5750" s="12" t="inlineStr">
        <is>
          <t>K</t>
        </is>
      </c>
      <c r="C5750" s="12" t="inlineStr">
        <is>
          <t>Fuel supply (adjacent market)</t>
        </is>
      </c>
      <c r="D5750" s="12" t="inlineStr">
        <is>
          <t>Solenoid to JB JB-H2 21: rectifier t-SOL01: 2 x 2/C (field cables)</t>
        </is>
      </c>
      <c r="E5750" s="12" t="inlineStr"/>
      <c r="F5750" s="12" t="inlineStr">
        <is>
          <t>H2 21: rectifier transformer 2 (7 MVA)</t>
        </is>
      </c>
      <c r="G5750" s="12" t="inlineStr">
        <is>
          <t>JB-H2 21: rectifier t-SOL01</t>
        </is>
      </c>
      <c r="H5750" s="12" t="inlineStr">
        <is>
          <t>H2 21: rectifier transformer 2 (7 MVA)</t>
        </is>
      </c>
      <c r="I5750" s="12" t="inlineStr">
        <is>
          <t>Control</t>
        </is>
      </c>
      <c r="J5750" s="12" t="inlineStr">
        <is>
          <t>ARMOR-X MC-HL 600 V control, Cu #14 AWG (Class I Div 2)</t>
        </is>
      </c>
      <c r="K5750" s="12" t="inlineStr">
        <is>
          <t>CTAX|2/C|14</t>
        </is>
      </c>
      <c r="L5750" s="12" t="inlineStr">
        <is>
          <t>2/C</t>
        </is>
      </c>
      <c r="M5750" s="12" t="inlineStr">
        <is>
          <t>14</t>
        </is>
      </c>
      <c r="N5750" s="12" t="n">
        <v>2</v>
      </c>
      <c r="O5750" s="12" t="n">
        <v>1</v>
      </c>
      <c r="P5750" s="12" t="n"/>
      <c r="Q5750" s="12" t="n"/>
      <c r="R5750" s="12" t="n"/>
      <c r="S5750" s="12" t="inlineStr">
        <is>
          <t>Tray / conduit</t>
        </is>
      </c>
      <c r="T5750" s="15" t="n">
        <v>41</v>
      </c>
      <c r="U5750" s="15" t="n">
        <v>10</v>
      </c>
      <c r="V5750" s="15">
        <f>ROUNDUP((T5750+U5750+2*'Read Me'!$B$13)*(1+'Read Me'!$B$12),-1)</f>
        <v/>
      </c>
      <c r="W5750" s="15">
        <f>V5750*N5750*O5750</f>
        <v/>
      </c>
      <c r="X5750" s="12">
        <f>IF(LEFT(I5750,2)="MV",2*N5750*IF(L5750="1/C",O5750,1),0)</f>
        <v/>
      </c>
      <c r="Y5750" s="12">
        <f>IF(OR(LEFT(K5750,4)="LVAX",LEFT(K5750,6)="MV15AX",LEFT(K5750,4)="CTAX",LEFT(K5750,2)="W|"),2*N5750*O5750,0)</f>
        <v/>
      </c>
      <c r="Z5750" s="12" t="inlineStr">
        <is>
          <t>device-to-JB field wiring, one cable per device</t>
        </is>
      </c>
      <c r="AA5750" s="12">
        <f>N5750*O5750</f>
        <v/>
      </c>
    </row>
    <row r="5751">
      <c r="A5751" s="12" t="inlineStr">
        <is>
          <t>K-C-0016</t>
        </is>
      </c>
      <c r="B5751" s="12" t="inlineStr">
        <is>
          <t>K</t>
        </is>
      </c>
      <c r="C5751" s="12" t="inlineStr">
        <is>
          <t>Fuel supply (adjacent market)</t>
        </is>
      </c>
      <c r="D5751" s="12" t="inlineStr">
        <is>
          <t>Home run JB-H2 21: rectifier t-SOL01 to the control / marshalling room</t>
        </is>
      </c>
      <c r="E5751" s="12" t="inlineStr"/>
      <c r="F5751" s="12" t="inlineStr">
        <is>
          <t>H2 20: 13.8 kV e-house</t>
        </is>
      </c>
      <c r="G5751" s="12" t="inlineStr">
        <is>
          <t>JB-H2 21: rectifier t-SOL01</t>
        </is>
      </c>
      <c r="H5751" s="12" t="inlineStr">
        <is>
          <t>H2 21: rectifier transformer 2 (7 MVA)</t>
        </is>
      </c>
      <c r="I5751" s="12" t="inlineStr">
        <is>
          <t>Control</t>
        </is>
      </c>
      <c r="J5751" s="12" t="inlineStr">
        <is>
          <t>ARMOR-X MC-HL 600 V control, Cu #14 AWG (Class I Div 2)</t>
        </is>
      </c>
      <c r="K5751" s="12" t="inlineStr">
        <is>
          <t>CTAX|25/C|14</t>
        </is>
      </c>
      <c r="L5751" s="12" t="inlineStr">
        <is>
          <t>25/C</t>
        </is>
      </c>
      <c r="M5751" s="12" t="inlineStr">
        <is>
          <t>14</t>
        </is>
      </c>
      <c r="N5751" s="12" t="n">
        <v>1</v>
      </c>
      <c r="O5751" s="12" t="n">
        <v>1</v>
      </c>
      <c r="P5751" s="12" t="n"/>
      <c r="Q5751" s="12" t="n"/>
      <c r="R5751" s="12" t="n"/>
      <c r="S5751" s="12" t="inlineStr">
        <is>
          <t>Duct bank</t>
        </is>
      </c>
      <c r="T5751" s="15" t="n">
        <v>356</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K-C-0017</t>
        </is>
      </c>
      <c r="B5752" s="12" t="inlineStr">
        <is>
          <t>K</t>
        </is>
      </c>
      <c r="C5752" s="12" t="inlineStr">
        <is>
          <t>Fuel supply (adjacent market)</t>
        </is>
      </c>
      <c r="D5752" s="12" t="inlineStr">
        <is>
          <t>Control</t>
        </is>
      </c>
      <c r="E5752" s="12" t="inlineStr"/>
      <c r="F5752" s="12" t="inlineStr">
        <is>
          <t>H2 20: 13.8 kV e-house</t>
        </is>
      </c>
      <c r="G5752" s="12" t="inlineStr"/>
      <c r="H5752" s="12" t="inlineStr">
        <is>
          <t>H2 21: rectifier transformer 2 (7 MVA)</t>
        </is>
      </c>
      <c r="I5752" s="12" t="inlineStr">
        <is>
          <t>Control</t>
        </is>
      </c>
      <c r="J5752" s="12" t="inlineStr">
        <is>
          <t>ARMOR-X MC-HL 600 V control, Cu #14 AWG (Class I Div 2)</t>
        </is>
      </c>
      <c r="K5752" s="12" t="inlineStr">
        <is>
          <t>CTAX|7/C|14</t>
        </is>
      </c>
      <c r="L5752" s="12" t="inlineStr">
        <is>
          <t>7/C</t>
        </is>
      </c>
      <c r="M5752" s="12" t="inlineStr">
        <is>
          <t>14</t>
        </is>
      </c>
      <c r="N5752" s="12" t="n">
        <v>1</v>
      </c>
      <c r="O5752" s="12" t="n">
        <v>1</v>
      </c>
      <c r="P5752" s="12" t="n"/>
      <c r="Q5752" s="12" t="n"/>
      <c r="R5752" s="12" t="n"/>
      <c r="S5752" s="12" t="inlineStr">
        <is>
          <t>Duct bank</t>
        </is>
      </c>
      <c r="T5752" s="15" t="n">
        <v>356</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K-C-0018</t>
        </is>
      </c>
      <c r="B5753" s="12" t="inlineStr">
        <is>
          <t>K</t>
        </is>
      </c>
      <c r="C5753" s="12" t="inlineStr">
        <is>
          <t>Fuel supply (adjacent market)</t>
        </is>
      </c>
      <c r="D5753" s="12" t="inlineStr">
        <is>
          <t>Control</t>
        </is>
      </c>
      <c r="E5753" s="12" t="inlineStr"/>
      <c r="F5753" s="12" t="inlineStr">
        <is>
          <t>H2 20: 13.8 kV e-house</t>
        </is>
      </c>
      <c r="G5753" s="12" t="inlineStr"/>
      <c r="H5753" s="12" t="inlineStr">
        <is>
          <t>H2 21: rectifier transformer 2 (7 MVA)</t>
        </is>
      </c>
      <c r="I5753" s="12" t="inlineStr">
        <is>
          <t>Control</t>
        </is>
      </c>
      <c r="J5753" s="12" t="inlineStr">
        <is>
          <t>ARMOR-X MC-HL 600 V control, Cu #14 AWG (Class I Div 2)</t>
        </is>
      </c>
      <c r="K5753" s="12" t="inlineStr">
        <is>
          <t>CTAX|12/C|14</t>
        </is>
      </c>
      <c r="L5753" s="12" t="inlineStr">
        <is>
          <t>12/C</t>
        </is>
      </c>
      <c r="M5753" s="12" t="inlineStr">
        <is>
          <t>14</t>
        </is>
      </c>
      <c r="N5753" s="12" t="n">
        <v>1</v>
      </c>
      <c r="O5753" s="12" t="n">
        <v>1</v>
      </c>
      <c r="P5753" s="12" t="n"/>
      <c r="Q5753" s="12" t="n"/>
      <c r="R5753" s="12" t="n"/>
      <c r="S5753" s="12" t="inlineStr">
        <is>
          <t>Duct bank</t>
        </is>
      </c>
      <c r="T5753" s="15" t="n">
        <v>356</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K-C-0019</t>
        </is>
      </c>
      <c r="B5754" s="12" t="inlineStr">
        <is>
          <t>K</t>
        </is>
      </c>
      <c r="C5754" s="12" t="inlineStr">
        <is>
          <t>Fuel supply (adjacent market)</t>
        </is>
      </c>
      <c r="D5754" s="12" t="inlineStr">
        <is>
          <t>CT / VT</t>
        </is>
      </c>
      <c r="E5754" s="12" t="inlineStr"/>
      <c r="F5754" s="12" t="inlineStr">
        <is>
          <t>H2 20: 13.8 kV e-house</t>
        </is>
      </c>
      <c r="G5754" s="12" t="inlineStr"/>
      <c r="H5754" s="12" t="inlineStr">
        <is>
          <t>H2 21: rectifier transformer 2 (7 MVA)</t>
        </is>
      </c>
      <c r="I5754" s="12" t="inlineStr">
        <is>
          <t>Control</t>
        </is>
      </c>
      <c r="J5754" s="12" t="inlineStr">
        <is>
          <t>Control cable 600 V Type TC-ER, Cu #10 AWG (CT / VT circuits)</t>
        </is>
      </c>
      <c r="K5754" s="12" t="inlineStr">
        <is>
          <t>CTCT|4/C|10</t>
        </is>
      </c>
      <c r="L5754" s="12" t="inlineStr">
        <is>
          <t>4/C</t>
        </is>
      </c>
      <c r="M5754" s="12" t="inlineStr">
        <is>
          <t>10</t>
        </is>
      </c>
      <c r="N5754" s="12" t="n">
        <v>1</v>
      </c>
      <c r="O5754" s="12" t="n">
        <v>1</v>
      </c>
      <c r="P5754" s="12" t="n"/>
      <c r="Q5754" s="12" t="n"/>
      <c r="R5754" s="12" t="n"/>
      <c r="S5754" s="12" t="inlineStr">
        <is>
          <t>Duct bank</t>
        </is>
      </c>
      <c r="T5754" s="15" t="n">
        <v>356</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K-C-0020</t>
        </is>
      </c>
      <c r="B5755" s="12" t="inlineStr">
        <is>
          <t>K</t>
        </is>
      </c>
      <c r="C5755" s="12" t="inlineStr">
        <is>
          <t>Fuel supply (adjacent market)</t>
        </is>
      </c>
      <c r="D5755" s="12" t="inlineStr">
        <is>
          <t>CT / VT</t>
        </is>
      </c>
      <c r="E5755" s="12" t="inlineStr"/>
      <c r="F5755" s="12" t="inlineStr">
        <is>
          <t>H2 20: 13.8 kV e-house</t>
        </is>
      </c>
      <c r="G5755" s="12" t="inlineStr"/>
      <c r="H5755" s="12" t="inlineStr">
        <is>
          <t>H2 21: rectifier transformer 2 (7 MVA)</t>
        </is>
      </c>
      <c r="I5755" s="12" t="inlineStr">
        <is>
          <t>Control</t>
        </is>
      </c>
      <c r="J5755" s="12" t="inlineStr">
        <is>
          <t>Control cable 600 V Type TC-ER, Cu #10 AWG (CT / VT circuits)</t>
        </is>
      </c>
      <c r="K5755" s="12" t="inlineStr">
        <is>
          <t>CTCT|4/C|10</t>
        </is>
      </c>
      <c r="L5755" s="12" t="inlineStr">
        <is>
          <t>4/C</t>
        </is>
      </c>
      <c r="M5755" s="12" t="inlineStr">
        <is>
          <t>10</t>
        </is>
      </c>
      <c r="N5755" s="12" t="n">
        <v>1</v>
      </c>
      <c r="O5755" s="12" t="n">
        <v>1</v>
      </c>
      <c r="P5755" s="12" t="n"/>
      <c r="Q5755" s="12" t="n"/>
      <c r="R5755" s="12" t="n"/>
      <c r="S5755" s="12" t="inlineStr">
        <is>
          <t>Duct bank</t>
        </is>
      </c>
      <c r="T5755" s="15" t="n">
        <v>356</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K-C-0021</t>
        </is>
      </c>
      <c r="B5756" s="12" t="inlineStr">
        <is>
          <t>K</t>
        </is>
      </c>
      <c r="C5756" s="12" t="inlineStr">
        <is>
          <t>Fuel supply (adjacent market)</t>
        </is>
      </c>
      <c r="D5756" s="12" t="inlineStr">
        <is>
          <t>Motor 1 of 1: control / local station</t>
        </is>
      </c>
      <c r="E5756" s="12" t="inlineStr"/>
      <c r="F5756" s="12" t="inlineStr">
        <is>
          <t>H2 20: 13.8 kV e-house</t>
        </is>
      </c>
      <c r="G5756" s="12" t="inlineStr"/>
      <c r="H5756" s="12" t="inlineStr">
        <is>
          <t>H2 21: rectifier transformer 3 (7 MVA)</t>
        </is>
      </c>
      <c r="I5756" s="12" t="inlineStr">
        <is>
          <t>Control</t>
        </is>
      </c>
      <c r="J5756" s="12" t="inlineStr">
        <is>
          <t>ARMOR-X MC-HL 600 V control, Cu #14 AWG (Class I Div 2)</t>
        </is>
      </c>
      <c r="K5756" s="12" t="inlineStr">
        <is>
          <t>CTAX|7/C|14</t>
        </is>
      </c>
      <c r="L5756" s="12" t="inlineStr">
        <is>
          <t>7/C</t>
        </is>
      </c>
      <c r="M5756" s="12" t="inlineStr">
        <is>
          <t>14</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K-C-0022</t>
        </is>
      </c>
      <c r="B5757" s="12" t="inlineStr">
        <is>
          <t>K</t>
        </is>
      </c>
      <c r="C5757" s="12" t="inlineStr">
        <is>
          <t>Fuel supply (adjacent market)</t>
        </is>
      </c>
      <c r="D5757" s="12" t="inlineStr">
        <is>
          <t>Solenoid to JB JB-H2 21: rectifier t-SOL01: 2 x 2/C (field cables)</t>
        </is>
      </c>
      <c r="E5757" s="12" t="inlineStr"/>
      <c r="F5757" s="12" t="inlineStr">
        <is>
          <t>H2 21: rectifier transformer 3 (7 MVA)</t>
        </is>
      </c>
      <c r="G5757" s="12" t="inlineStr">
        <is>
          <t>JB-H2 21: rectifier t-SOL01</t>
        </is>
      </c>
      <c r="H5757" s="12" t="inlineStr">
        <is>
          <t>H2 21: rectifier transformer 3 (7 MVA)</t>
        </is>
      </c>
      <c r="I5757" s="12" t="inlineStr">
        <is>
          <t>Control</t>
        </is>
      </c>
      <c r="J5757" s="12" t="inlineStr">
        <is>
          <t>ARMOR-X MC-HL 600 V control, Cu #14 AWG (Class I Div 2)</t>
        </is>
      </c>
      <c r="K5757" s="12" t="inlineStr">
        <is>
          <t>CTAX|2/C|14</t>
        </is>
      </c>
      <c r="L5757" s="12" t="inlineStr">
        <is>
          <t>2/C</t>
        </is>
      </c>
      <c r="M5757" s="12" t="inlineStr">
        <is>
          <t>14</t>
        </is>
      </c>
      <c r="N5757" s="12" t="n">
        <v>2</v>
      </c>
      <c r="O5757" s="12" t="n">
        <v>1</v>
      </c>
      <c r="P5757" s="12" t="n"/>
      <c r="Q5757" s="12" t="n"/>
      <c r="R5757" s="12" t="n"/>
      <c r="S5757" s="12" t="inlineStr">
        <is>
          <t>Tray / conduit</t>
        </is>
      </c>
      <c r="T5757" s="15" t="n">
        <v>41</v>
      </c>
      <c r="U5757" s="15" t="n">
        <v>10</v>
      </c>
      <c r="V5757" s="15">
        <f>ROUNDUP((T5757+U5757+2*'Read Me'!$B$13)*(1+'Read Me'!$B$12),-1)</f>
        <v/>
      </c>
      <c r="W5757" s="15">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K-C-0023</t>
        </is>
      </c>
      <c r="B5758" s="12" t="inlineStr">
        <is>
          <t>K</t>
        </is>
      </c>
      <c r="C5758" s="12" t="inlineStr">
        <is>
          <t>Fuel supply (adjacent market)</t>
        </is>
      </c>
      <c r="D5758" s="12" t="inlineStr">
        <is>
          <t>Home run JB-H2 21: rectifier t-SOL01 to the control / marshalling room</t>
        </is>
      </c>
      <c r="E5758" s="12" t="inlineStr"/>
      <c r="F5758" s="12" t="inlineStr">
        <is>
          <t>H2 20: 13.8 kV e-house</t>
        </is>
      </c>
      <c r="G5758" s="12" t="inlineStr">
        <is>
          <t>JB-H2 21: rectifier t-SOL01</t>
        </is>
      </c>
      <c r="H5758" s="12" t="inlineStr">
        <is>
          <t>H2 21: rectifier transformer 3 (7 MVA)</t>
        </is>
      </c>
      <c r="I5758" s="12" t="inlineStr">
        <is>
          <t>Control</t>
        </is>
      </c>
      <c r="J5758" s="12" t="inlineStr">
        <is>
          <t>ARMOR-X MC-HL 600 V control, Cu #14 AWG (Class I Div 2)</t>
        </is>
      </c>
      <c r="K5758" s="12" t="inlineStr">
        <is>
          <t>CTAX|25/C|14</t>
        </is>
      </c>
      <c r="L5758" s="12" t="inlineStr">
        <is>
          <t>25/C</t>
        </is>
      </c>
      <c r="M5758" s="12" t="inlineStr">
        <is>
          <t>14</t>
        </is>
      </c>
      <c r="N5758" s="12" t="n">
        <v>1</v>
      </c>
      <c r="O5758" s="12" t="n">
        <v>1</v>
      </c>
      <c r="P5758" s="12" t="n"/>
      <c r="Q5758" s="12" t="n"/>
      <c r="R5758" s="12" t="n"/>
      <c r="S5758" s="12" t="inlineStr">
        <is>
          <t>Duct bank</t>
        </is>
      </c>
      <c r="T5758" s="15" t="n">
        <v>334</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K-C-0024</t>
        </is>
      </c>
      <c r="B5759" s="12" t="inlineStr">
        <is>
          <t>K</t>
        </is>
      </c>
      <c r="C5759" s="12" t="inlineStr">
        <is>
          <t>Fuel supply (adjacent market)</t>
        </is>
      </c>
      <c r="D5759" s="12" t="inlineStr">
        <is>
          <t>Control</t>
        </is>
      </c>
      <c r="E5759" s="12" t="inlineStr"/>
      <c r="F5759" s="12" t="inlineStr">
        <is>
          <t>H2 20: 13.8 kV e-house</t>
        </is>
      </c>
      <c r="G5759" s="12" t="inlineStr"/>
      <c r="H5759" s="12" t="inlineStr">
        <is>
          <t>H2 21: rectifier transformer 3 (7 MVA)</t>
        </is>
      </c>
      <c r="I5759" s="12" t="inlineStr">
        <is>
          <t>Control</t>
        </is>
      </c>
      <c r="J5759" s="12" t="inlineStr">
        <is>
          <t>ARMOR-X MC-HL 600 V control, Cu #14 AWG (Class I Div 2)</t>
        </is>
      </c>
      <c r="K5759" s="12" t="inlineStr">
        <is>
          <t>CTAX|7/C|14</t>
        </is>
      </c>
      <c r="L5759" s="12" t="inlineStr">
        <is>
          <t>7/C</t>
        </is>
      </c>
      <c r="M5759" s="12" t="inlineStr">
        <is>
          <t>14</t>
        </is>
      </c>
      <c r="N5759" s="12" t="n">
        <v>1</v>
      </c>
      <c r="O5759" s="12" t="n">
        <v>1</v>
      </c>
      <c r="P5759" s="12" t="n"/>
      <c r="Q5759" s="12" t="n"/>
      <c r="R5759" s="12" t="n"/>
      <c r="S5759" s="12" t="inlineStr">
        <is>
          <t>Duct bank</t>
        </is>
      </c>
      <c r="T5759" s="15" t="n">
        <v>334</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K-C-0025</t>
        </is>
      </c>
      <c r="B5760" s="12" t="inlineStr">
        <is>
          <t>K</t>
        </is>
      </c>
      <c r="C5760" s="12" t="inlineStr">
        <is>
          <t>Fuel supply (adjacent market)</t>
        </is>
      </c>
      <c r="D5760" s="12" t="inlineStr">
        <is>
          <t>Control</t>
        </is>
      </c>
      <c r="E5760" s="12" t="inlineStr"/>
      <c r="F5760" s="12" t="inlineStr">
        <is>
          <t>H2 20: 13.8 kV e-house</t>
        </is>
      </c>
      <c r="G5760" s="12" t="inlineStr"/>
      <c r="H5760" s="12" t="inlineStr">
        <is>
          <t>H2 21: rectifier transformer 3 (7 MVA)</t>
        </is>
      </c>
      <c r="I5760" s="12" t="inlineStr">
        <is>
          <t>Control</t>
        </is>
      </c>
      <c r="J5760" s="12" t="inlineStr">
        <is>
          <t>ARMOR-X MC-HL 600 V control, Cu #14 AWG (Class I Div 2)</t>
        </is>
      </c>
      <c r="K5760" s="12" t="inlineStr">
        <is>
          <t>CTAX|12/C|14</t>
        </is>
      </c>
      <c r="L5760" s="12" t="inlineStr">
        <is>
          <t>12/C</t>
        </is>
      </c>
      <c r="M5760" s="12" t="inlineStr">
        <is>
          <t>14</t>
        </is>
      </c>
      <c r="N5760" s="12" t="n">
        <v>1</v>
      </c>
      <c r="O5760" s="12" t="n">
        <v>1</v>
      </c>
      <c r="P5760" s="12" t="n"/>
      <c r="Q5760" s="12" t="n"/>
      <c r="R5760" s="12" t="n"/>
      <c r="S5760" s="12" t="inlineStr">
        <is>
          <t>Duct bank</t>
        </is>
      </c>
      <c r="T5760" s="15" t="n">
        <v>334</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K-C-0026</t>
        </is>
      </c>
      <c r="B5761" s="12" t="inlineStr">
        <is>
          <t>K</t>
        </is>
      </c>
      <c r="C5761" s="12" t="inlineStr">
        <is>
          <t>Fuel supply (adjacent market)</t>
        </is>
      </c>
      <c r="D5761" s="12" t="inlineStr">
        <is>
          <t>CT / VT</t>
        </is>
      </c>
      <c r="E5761" s="12" t="inlineStr"/>
      <c r="F5761" s="12" t="inlineStr">
        <is>
          <t>H2 20: 13.8 kV e-house</t>
        </is>
      </c>
      <c r="G5761" s="12" t="inlineStr"/>
      <c r="H5761" s="12" t="inlineStr">
        <is>
          <t>H2 21: rectifier transformer 3 (7 MVA)</t>
        </is>
      </c>
      <c r="I5761" s="12" t="inlineStr">
        <is>
          <t>Control</t>
        </is>
      </c>
      <c r="J5761" s="12" t="inlineStr">
        <is>
          <t>Control cable 600 V Type TC-ER, Cu #10 AWG (CT / VT circuits)</t>
        </is>
      </c>
      <c r="K5761" s="12" t="inlineStr">
        <is>
          <t>CTCT|4/C|10</t>
        </is>
      </c>
      <c r="L5761" s="12" t="inlineStr">
        <is>
          <t>4/C</t>
        </is>
      </c>
      <c r="M5761" s="12" t="inlineStr">
        <is>
          <t>10</t>
        </is>
      </c>
      <c r="N5761" s="12" t="n">
        <v>1</v>
      </c>
      <c r="O5761" s="12" t="n">
        <v>1</v>
      </c>
      <c r="P5761" s="12" t="n"/>
      <c r="Q5761" s="12" t="n"/>
      <c r="R5761" s="12" t="n"/>
      <c r="S5761" s="12" t="inlineStr">
        <is>
          <t>Duct bank</t>
        </is>
      </c>
      <c r="T5761" s="15" t="n">
        <v>334</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K-C-0027</t>
        </is>
      </c>
      <c r="B5762" s="12" t="inlineStr">
        <is>
          <t>K</t>
        </is>
      </c>
      <c r="C5762" s="12" t="inlineStr">
        <is>
          <t>Fuel supply (adjacent market)</t>
        </is>
      </c>
      <c r="D5762" s="12" t="inlineStr">
        <is>
          <t>CT / VT</t>
        </is>
      </c>
      <c r="E5762" s="12" t="inlineStr"/>
      <c r="F5762" s="12" t="inlineStr">
        <is>
          <t>H2 20: 13.8 kV e-house</t>
        </is>
      </c>
      <c r="G5762" s="12" t="inlineStr"/>
      <c r="H5762" s="12" t="inlineStr">
        <is>
          <t>H2 21: rectifier transformer 3 (7 MVA)</t>
        </is>
      </c>
      <c r="I5762" s="12" t="inlineStr">
        <is>
          <t>Control</t>
        </is>
      </c>
      <c r="J5762" s="12" t="inlineStr">
        <is>
          <t>Control cable 600 V Type TC-ER, Cu #10 AWG (CT / VT circuits)</t>
        </is>
      </c>
      <c r="K5762" s="12" t="inlineStr">
        <is>
          <t>CTCT|4/C|10</t>
        </is>
      </c>
      <c r="L5762" s="12" t="inlineStr">
        <is>
          <t>4/C</t>
        </is>
      </c>
      <c r="M5762" s="12" t="inlineStr">
        <is>
          <t>10</t>
        </is>
      </c>
      <c r="N5762" s="12" t="n">
        <v>1</v>
      </c>
      <c r="O5762" s="12" t="n">
        <v>1</v>
      </c>
      <c r="P5762" s="12" t="n"/>
      <c r="Q5762" s="12" t="n"/>
      <c r="R5762" s="12" t="n"/>
      <c r="S5762" s="12" t="inlineStr">
        <is>
          <t>Duct bank</t>
        </is>
      </c>
      <c r="T5762" s="15" t="n">
        <v>334</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K-C-0028</t>
        </is>
      </c>
      <c r="B5763" s="12" t="inlineStr">
        <is>
          <t>K</t>
        </is>
      </c>
      <c r="C5763" s="12" t="inlineStr">
        <is>
          <t>Fuel supply (adjacent market)</t>
        </is>
      </c>
      <c r="D5763" s="12" t="inlineStr">
        <is>
          <t>Motor 1 of 1: control / local station</t>
        </is>
      </c>
      <c r="E5763" s="12" t="inlineStr"/>
      <c r="F5763" s="12" t="inlineStr">
        <is>
          <t>H2 20: 13.8 kV e-house</t>
        </is>
      </c>
      <c r="G5763" s="12" t="inlineStr"/>
      <c r="H5763" s="12" t="inlineStr">
        <is>
          <t>H2 21: rectifier transformer 4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K-C-0029</t>
        </is>
      </c>
      <c r="B5764" s="12" t="inlineStr">
        <is>
          <t>K</t>
        </is>
      </c>
      <c r="C5764" s="12" t="inlineStr">
        <is>
          <t>Fuel supply (adjacent market)</t>
        </is>
      </c>
      <c r="D5764" s="12" t="inlineStr">
        <is>
          <t>Solenoid to JB JB-H2 21: rectifier t-SOL01: 2 x 2/C (field cables)</t>
        </is>
      </c>
      <c r="E5764" s="12" t="inlineStr"/>
      <c r="F5764" s="12" t="inlineStr">
        <is>
          <t>H2 21: rectifier transformer 4 (7 MVA)</t>
        </is>
      </c>
      <c r="G5764" s="12" t="inlineStr">
        <is>
          <t>JB-H2 21: rectifier t-SOL01</t>
        </is>
      </c>
      <c r="H5764" s="12" t="inlineStr">
        <is>
          <t>H2 21: rectifier transformer 4 (7 MVA)</t>
        </is>
      </c>
      <c r="I5764" s="12" t="inlineStr">
        <is>
          <t>Control</t>
        </is>
      </c>
      <c r="J5764" s="12" t="inlineStr">
        <is>
          <t>ARMOR-X MC-HL 600 V control, Cu #14 AWG (Class I Div 2)</t>
        </is>
      </c>
      <c r="K5764" s="12" t="inlineStr">
        <is>
          <t>CTAX|2/C|14</t>
        </is>
      </c>
      <c r="L5764" s="12" t="inlineStr">
        <is>
          <t>2/C</t>
        </is>
      </c>
      <c r="M5764" s="12" t="inlineStr">
        <is>
          <t>14</t>
        </is>
      </c>
      <c r="N5764" s="12" t="n">
        <v>2</v>
      </c>
      <c r="O5764" s="12" t="n">
        <v>1</v>
      </c>
      <c r="P5764" s="12" t="n"/>
      <c r="Q5764" s="12" t="n"/>
      <c r="R5764" s="12" t="n"/>
      <c r="S5764" s="12" t="inlineStr">
        <is>
          <t>Tray / conduit</t>
        </is>
      </c>
      <c r="T5764" s="15" t="n">
        <v>41</v>
      </c>
      <c r="U5764" s="15" t="n">
        <v>10</v>
      </c>
      <c r="V5764" s="15">
        <f>ROUNDUP((T5764+U5764+2*'Read Me'!$B$13)*(1+'Read Me'!$B$12),-1)</f>
        <v/>
      </c>
      <c r="W5764" s="15">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K-C-0030</t>
        </is>
      </c>
      <c r="B5765" s="12" t="inlineStr">
        <is>
          <t>K</t>
        </is>
      </c>
      <c r="C5765" s="12" t="inlineStr">
        <is>
          <t>Fuel supply (adjacent market)</t>
        </is>
      </c>
      <c r="D5765" s="12" t="inlineStr">
        <is>
          <t>Home run JB-H2 21: rectifier t-SOL01 to the control / marshalling room</t>
        </is>
      </c>
      <c r="E5765" s="12" t="inlineStr"/>
      <c r="F5765" s="12" t="inlineStr">
        <is>
          <t>H2 20: 13.8 kV e-house</t>
        </is>
      </c>
      <c r="G5765" s="12" t="inlineStr">
        <is>
          <t>JB-H2 21: rectifier t-SOL01</t>
        </is>
      </c>
      <c r="H5765" s="12" t="inlineStr">
        <is>
          <t>H2 21: rectifier transformer 4 (7 MVA)</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5" t="n">
        <v>312</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K-C-0031</t>
        </is>
      </c>
      <c r="B5766" s="12" t="inlineStr">
        <is>
          <t>K</t>
        </is>
      </c>
      <c r="C5766" s="12" t="inlineStr">
        <is>
          <t>Fuel supply (adjacent market)</t>
        </is>
      </c>
      <c r="D5766" s="12" t="inlineStr">
        <is>
          <t>Control</t>
        </is>
      </c>
      <c r="E5766" s="12" t="inlineStr"/>
      <c r="F5766" s="12" t="inlineStr">
        <is>
          <t>H2 20: 13.8 kV e-house</t>
        </is>
      </c>
      <c r="G5766" s="12" t="inlineStr"/>
      <c r="H5766" s="12" t="inlineStr">
        <is>
          <t>H2 21: rectifier transformer 4 (7 MVA)</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5" t="n">
        <v>312</v>
      </c>
      <c r="U5766" s="15" t="n">
        <v>32</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K-C-0032</t>
        </is>
      </c>
      <c r="B5767" s="12" t="inlineStr">
        <is>
          <t>K</t>
        </is>
      </c>
      <c r="C5767" s="12" t="inlineStr">
        <is>
          <t>Fuel supply (adjacent market)</t>
        </is>
      </c>
      <c r="D5767" s="12" t="inlineStr">
        <is>
          <t>Control</t>
        </is>
      </c>
      <c r="E5767" s="12" t="inlineStr"/>
      <c r="F5767" s="12" t="inlineStr">
        <is>
          <t>H2 20: 13.8 kV e-house</t>
        </is>
      </c>
      <c r="G5767" s="12" t="inlineStr"/>
      <c r="H5767" s="12" t="inlineStr">
        <is>
          <t>H2 21: rectifier transformer 4 (7 MVA)</t>
        </is>
      </c>
      <c r="I5767" s="12" t="inlineStr">
        <is>
          <t>Control</t>
        </is>
      </c>
      <c r="J5767" s="12" t="inlineStr">
        <is>
          <t>ARMOR-X MC-HL 600 V control, Cu #14 AWG (Class I Div 2)</t>
        </is>
      </c>
      <c r="K5767" s="12" t="inlineStr">
        <is>
          <t>CTAX|12/C|14</t>
        </is>
      </c>
      <c r="L5767" s="12" t="inlineStr">
        <is>
          <t>12/C</t>
        </is>
      </c>
      <c r="M5767" s="12" t="inlineStr">
        <is>
          <t>14</t>
        </is>
      </c>
      <c r="N5767" s="12" t="n">
        <v>1</v>
      </c>
      <c r="O5767" s="12" t="n">
        <v>1</v>
      </c>
      <c r="P5767" s="12" t="n"/>
      <c r="Q5767" s="12" t="n"/>
      <c r="R5767" s="12" t="n"/>
      <c r="S5767" s="12" t="inlineStr">
        <is>
          <t>Duct bank</t>
        </is>
      </c>
      <c r="T5767" s="15" t="n">
        <v>312</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K-C-0033</t>
        </is>
      </c>
      <c r="B5768" s="12" t="inlineStr">
        <is>
          <t>K</t>
        </is>
      </c>
      <c r="C5768" s="12" t="inlineStr">
        <is>
          <t>Fuel supply (adjacent market)</t>
        </is>
      </c>
      <c r="D5768" s="12" t="inlineStr">
        <is>
          <t>CT / VT</t>
        </is>
      </c>
      <c r="E5768" s="12" t="inlineStr"/>
      <c r="F5768" s="12" t="inlineStr">
        <is>
          <t>H2 20: 13.8 kV e-house</t>
        </is>
      </c>
      <c r="G5768" s="12" t="inlineStr"/>
      <c r="H5768" s="12" t="inlineStr">
        <is>
          <t>H2 21: rectifier transformer 4 (7 MVA)</t>
        </is>
      </c>
      <c r="I5768" s="12" t="inlineStr">
        <is>
          <t>Control</t>
        </is>
      </c>
      <c r="J5768" s="12" t="inlineStr">
        <is>
          <t>Control cable 600 V Type TC-ER, Cu #10 AWG (CT / VT circuits)</t>
        </is>
      </c>
      <c r="K5768" s="12" t="inlineStr">
        <is>
          <t>CTCT|4/C|10</t>
        </is>
      </c>
      <c r="L5768" s="12" t="inlineStr">
        <is>
          <t>4/C</t>
        </is>
      </c>
      <c r="M5768" s="12" t="inlineStr">
        <is>
          <t>10</t>
        </is>
      </c>
      <c r="N5768" s="12" t="n">
        <v>1</v>
      </c>
      <c r="O5768" s="12" t="n">
        <v>1</v>
      </c>
      <c r="P5768" s="12" t="n"/>
      <c r="Q5768" s="12" t="n"/>
      <c r="R5768" s="12" t="n"/>
      <c r="S5768" s="12" t="inlineStr">
        <is>
          <t>Duct bank</t>
        </is>
      </c>
      <c r="T5768" s="15" t="n">
        <v>312</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K-C-0034</t>
        </is>
      </c>
      <c r="B5769" s="12" t="inlineStr">
        <is>
          <t>K</t>
        </is>
      </c>
      <c r="C5769" s="12" t="inlineStr">
        <is>
          <t>Fuel supply (adjacent market)</t>
        </is>
      </c>
      <c r="D5769" s="12" t="inlineStr">
        <is>
          <t>CT / VT</t>
        </is>
      </c>
      <c r="E5769" s="12" t="inlineStr"/>
      <c r="F5769" s="12" t="inlineStr">
        <is>
          <t>H2 20: 13.8 kV e-house</t>
        </is>
      </c>
      <c r="G5769" s="12" t="inlineStr"/>
      <c r="H5769" s="12" t="inlineStr">
        <is>
          <t>H2 21: rectifier transformer 4 (7 MVA)</t>
        </is>
      </c>
      <c r="I5769" s="12" t="inlineStr">
        <is>
          <t>Control</t>
        </is>
      </c>
      <c r="J5769" s="12" t="inlineStr">
        <is>
          <t>Control cable 600 V Type TC-ER, Cu #10 AWG (CT / VT circuits)</t>
        </is>
      </c>
      <c r="K5769" s="12" t="inlineStr">
        <is>
          <t>CTCT|4/C|10</t>
        </is>
      </c>
      <c r="L5769" s="12" t="inlineStr">
        <is>
          <t>4/C</t>
        </is>
      </c>
      <c r="M5769" s="12" t="inlineStr">
        <is>
          <t>10</t>
        </is>
      </c>
      <c r="N5769" s="12" t="n">
        <v>1</v>
      </c>
      <c r="O5769" s="12" t="n">
        <v>1</v>
      </c>
      <c r="P5769" s="12" t="n"/>
      <c r="Q5769" s="12" t="n"/>
      <c r="R5769" s="12" t="n"/>
      <c r="S5769" s="12" t="inlineStr">
        <is>
          <t>Duct bank</t>
        </is>
      </c>
      <c r="T5769" s="15" t="n">
        <v>312</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K-C-0035</t>
        </is>
      </c>
      <c r="B5770" s="12" t="inlineStr">
        <is>
          <t>K</t>
        </is>
      </c>
      <c r="C5770" s="12" t="inlineStr">
        <is>
          <t>Fuel supply (adjacent market)</t>
        </is>
      </c>
      <c r="D5770" s="12" t="inlineStr">
        <is>
          <t>Motor 1 of 1: control / local station</t>
        </is>
      </c>
      <c r="E5770" s="12" t="inlineStr"/>
      <c r="F5770" s="12" t="inlineStr">
        <is>
          <t>H2 20: 13.8 kV e-house</t>
        </is>
      </c>
      <c r="G5770" s="12" t="inlineStr"/>
      <c r="H5770" s="12" t="inlineStr">
        <is>
          <t>H2 21: rectifier transformer 5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K-C-0036</t>
        </is>
      </c>
      <c r="B5771" s="12" t="inlineStr">
        <is>
          <t>K</t>
        </is>
      </c>
      <c r="C5771" s="12" t="inlineStr">
        <is>
          <t>Fuel supply (adjacent market)</t>
        </is>
      </c>
      <c r="D5771" s="12" t="inlineStr">
        <is>
          <t>Solenoid to JB JB-H2 21: rectifier t-SOL01: 2 x 2/C (field cables)</t>
        </is>
      </c>
      <c r="E5771" s="12" t="inlineStr"/>
      <c r="F5771" s="12" t="inlineStr">
        <is>
          <t>H2 21: rectifier transformer 5 (7 MVA)</t>
        </is>
      </c>
      <c r="G5771" s="12" t="inlineStr">
        <is>
          <t>JB-H2 21: rectifier t-SOL01</t>
        </is>
      </c>
      <c r="H5771" s="12" t="inlineStr">
        <is>
          <t>H2 21: rectifier transformer 5 (7 MVA)</t>
        </is>
      </c>
      <c r="I5771" s="12" t="inlineStr">
        <is>
          <t>Control</t>
        </is>
      </c>
      <c r="J5771" s="12" t="inlineStr">
        <is>
          <t>ARMOR-X MC-HL 600 V control, Cu #14 AWG (Class I Div 2)</t>
        </is>
      </c>
      <c r="K5771" s="12" t="inlineStr">
        <is>
          <t>CTAX|2/C|14</t>
        </is>
      </c>
      <c r="L5771" s="12" t="inlineStr">
        <is>
          <t>2/C</t>
        </is>
      </c>
      <c r="M5771" s="12" t="inlineStr">
        <is>
          <t>14</t>
        </is>
      </c>
      <c r="N5771" s="12" t="n">
        <v>2</v>
      </c>
      <c r="O5771" s="12" t="n">
        <v>1</v>
      </c>
      <c r="P5771" s="12" t="n"/>
      <c r="Q5771" s="12" t="n"/>
      <c r="R5771" s="12" t="n"/>
      <c r="S5771" s="12" t="inlineStr">
        <is>
          <t>Tray / conduit</t>
        </is>
      </c>
      <c r="T5771" s="15" t="n">
        <v>41</v>
      </c>
      <c r="U5771" s="15" t="n">
        <v>10</v>
      </c>
      <c r="V5771" s="15">
        <f>ROUNDUP((T5771+U5771+2*'Read Me'!$B$13)*(1+'Read Me'!$B$12),-1)</f>
        <v/>
      </c>
      <c r="W5771" s="15">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K-C-0037</t>
        </is>
      </c>
      <c r="B5772" s="12" t="inlineStr">
        <is>
          <t>K</t>
        </is>
      </c>
      <c r="C5772" s="12" t="inlineStr">
        <is>
          <t>Fuel supply (adjacent market)</t>
        </is>
      </c>
      <c r="D5772" s="12" t="inlineStr">
        <is>
          <t>Home run JB-H2 21: rectifier t-SOL01 to the control / marshalling room</t>
        </is>
      </c>
      <c r="E5772" s="12" t="inlineStr"/>
      <c r="F5772" s="12" t="inlineStr">
        <is>
          <t>H2 20: 13.8 kV e-house</t>
        </is>
      </c>
      <c r="G5772" s="12" t="inlineStr">
        <is>
          <t>JB-H2 21: rectifier t-SOL01</t>
        </is>
      </c>
      <c r="H5772" s="12" t="inlineStr">
        <is>
          <t>H2 21: rectifier transformer 5 (7 MVA)</t>
        </is>
      </c>
      <c r="I5772" s="12" t="inlineStr">
        <is>
          <t>Control</t>
        </is>
      </c>
      <c r="J5772" s="12" t="inlineStr">
        <is>
          <t>ARMOR-X MC-HL 600 V control, Cu #14 AWG (Class I Div 2)</t>
        </is>
      </c>
      <c r="K5772" s="12" t="inlineStr">
        <is>
          <t>CTAX|25/C|14</t>
        </is>
      </c>
      <c r="L5772" s="12" t="inlineStr">
        <is>
          <t>25/C</t>
        </is>
      </c>
      <c r="M5772" s="12" t="inlineStr">
        <is>
          <t>14</t>
        </is>
      </c>
      <c r="N5772" s="12" t="n">
        <v>1</v>
      </c>
      <c r="O5772" s="12" t="n">
        <v>1</v>
      </c>
      <c r="P5772" s="12" t="n"/>
      <c r="Q5772" s="12" t="n"/>
      <c r="R5772" s="12" t="n"/>
      <c r="S5772" s="12" t="inlineStr">
        <is>
          <t>Duct bank</t>
        </is>
      </c>
      <c r="T5772" s="15" t="n">
        <v>254</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K-C-0038</t>
        </is>
      </c>
      <c r="B5773" s="12" t="inlineStr">
        <is>
          <t>K</t>
        </is>
      </c>
      <c r="C5773" s="12" t="inlineStr">
        <is>
          <t>Fuel supply (adjacent market)</t>
        </is>
      </c>
      <c r="D5773" s="12" t="inlineStr">
        <is>
          <t>Control</t>
        </is>
      </c>
      <c r="E5773" s="12" t="inlineStr"/>
      <c r="F5773" s="12" t="inlineStr">
        <is>
          <t>H2 20: 13.8 kV e-house</t>
        </is>
      </c>
      <c r="G5773" s="12" t="inlineStr"/>
      <c r="H5773" s="12" t="inlineStr">
        <is>
          <t>H2 21: rectifier transformer 5 (7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254</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K-C-0039</t>
        </is>
      </c>
      <c r="B5774" s="12" t="inlineStr">
        <is>
          <t>K</t>
        </is>
      </c>
      <c r="C5774" s="12" t="inlineStr">
        <is>
          <t>Fuel supply (adjacent market)</t>
        </is>
      </c>
      <c r="D5774" s="12" t="inlineStr">
        <is>
          <t>Control</t>
        </is>
      </c>
      <c r="E5774" s="12" t="inlineStr"/>
      <c r="F5774" s="12" t="inlineStr">
        <is>
          <t>H2 20: 13.8 kV e-house</t>
        </is>
      </c>
      <c r="G5774" s="12" t="inlineStr"/>
      <c r="H5774" s="12" t="inlineStr">
        <is>
          <t>H2 21: rectifier transformer 5 (7 MVA)</t>
        </is>
      </c>
      <c r="I5774" s="12" t="inlineStr">
        <is>
          <t>Control</t>
        </is>
      </c>
      <c r="J5774" s="12" t="inlineStr">
        <is>
          <t>ARMOR-X MC-HL 600 V control, Cu #14 AWG (Class I Div 2)</t>
        </is>
      </c>
      <c r="K5774" s="12" t="inlineStr">
        <is>
          <t>CTAX|12/C|14</t>
        </is>
      </c>
      <c r="L5774" s="12" t="inlineStr">
        <is>
          <t>12/C</t>
        </is>
      </c>
      <c r="M5774" s="12" t="inlineStr">
        <is>
          <t>14</t>
        </is>
      </c>
      <c r="N5774" s="12" t="n">
        <v>1</v>
      </c>
      <c r="O5774" s="12" t="n">
        <v>1</v>
      </c>
      <c r="P5774" s="12" t="n"/>
      <c r="Q5774" s="12" t="n"/>
      <c r="R5774" s="12" t="n"/>
      <c r="S5774" s="12" t="inlineStr">
        <is>
          <t>Duct bank</t>
        </is>
      </c>
      <c r="T5774" s="15" t="n">
        <v>254</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K-C-0040</t>
        </is>
      </c>
      <c r="B5775" s="12" t="inlineStr">
        <is>
          <t>K</t>
        </is>
      </c>
      <c r="C5775" s="12" t="inlineStr">
        <is>
          <t>Fuel supply (adjacent market)</t>
        </is>
      </c>
      <c r="D5775" s="12" t="inlineStr">
        <is>
          <t>CT / VT</t>
        </is>
      </c>
      <c r="E5775" s="12" t="inlineStr"/>
      <c r="F5775" s="12" t="inlineStr">
        <is>
          <t>H2 20: 13.8 kV e-house</t>
        </is>
      </c>
      <c r="G5775" s="12" t="inlineStr"/>
      <c r="H5775" s="12" t="inlineStr">
        <is>
          <t>H2 21: rectifier transformer 5 (7 MVA)</t>
        </is>
      </c>
      <c r="I5775" s="12" t="inlineStr">
        <is>
          <t>Control</t>
        </is>
      </c>
      <c r="J5775" s="12" t="inlineStr">
        <is>
          <t>Control cable 600 V Type TC-ER, Cu #10 AWG (CT / VT circuits)</t>
        </is>
      </c>
      <c r="K5775" s="12" t="inlineStr">
        <is>
          <t>CTCT|4/C|10</t>
        </is>
      </c>
      <c r="L5775" s="12" t="inlineStr">
        <is>
          <t>4/C</t>
        </is>
      </c>
      <c r="M5775" s="12" t="inlineStr">
        <is>
          <t>10</t>
        </is>
      </c>
      <c r="N5775" s="12" t="n">
        <v>1</v>
      </c>
      <c r="O5775" s="12" t="n">
        <v>1</v>
      </c>
      <c r="P5775" s="12" t="n"/>
      <c r="Q5775" s="12" t="n"/>
      <c r="R5775" s="12" t="n"/>
      <c r="S5775" s="12" t="inlineStr">
        <is>
          <t>Duct bank</t>
        </is>
      </c>
      <c r="T5775" s="15" t="n">
        <v>254</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K-C-0041</t>
        </is>
      </c>
      <c r="B5776" s="12" t="inlineStr">
        <is>
          <t>K</t>
        </is>
      </c>
      <c r="C5776" s="12" t="inlineStr">
        <is>
          <t>Fuel supply (adjacent market)</t>
        </is>
      </c>
      <c r="D5776" s="12" t="inlineStr">
        <is>
          <t>CT / VT</t>
        </is>
      </c>
      <c r="E5776" s="12" t="inlineStr"/>
      <c r="F5776" s="12" t="inlineStr">
        <is>
          <t>H2 20: 13.8 kV e-house</t>
        </is>
      </c>
      <c r="G5776" s="12" t="inlineStr"/>
      <c r="H5776" s="12" t="inlineStr">
        <is>
          <t>H2 21: rectifier transformer 5 (7 MVA)</t>
        </is>
      </c>
      <c r="I5776" s="12" t="inlineStr">
        <is>
          <t>Control</t>
        </is>
      </c>
      <c r="J5776" s="12" t="inlineStr">
        <is>
          <t>Control cable 600 V Type TC-ER, Cu #10 AWG (CT / VT circuits)</t>
        </is>
      </c>
      <c r="K5776" s="12" t="inlineStr">
        <is>
          <t>CTCT|4/C|10</t>
        </is>
      </c>
      <c r="L5776" s="12" t="inlineStr">
        <is>
          <t>4/C</t>
        </is>
      </c>
      <c r="M5776" s="12" t="inlineStr">
        <is>
          <t>10</t>
        </is>
      </c>
      <c r="N5776" s="12" t="n">
        <v>1</v>
      </c>
      <c r="O5776" s="12" t="n">
        <v>1</v>
      </c>
      <c r="P5776" s="12" t="n"/>
      <c r="Q5776" s="12" t="n"/>
      <c r="R5776" s="12" t="n"/>
      <c r="S5776" s="12" t="inlineStr">
        <is>
          <t>Duct bank</t>
        </is>
      </c>
      <c r="T5776" s="15" t="n">
        <v>254</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K-C-0042</t>
        </is>
      </c>
      <c r="B5777" s="12" t="inlineStr">
        <is>
          <t>K</t>
        </is>
      </c>
      <c r="C5777" s="12" t="inlineStr">
        <is>
          <t>Fuel supply (adjacent market)</t>
        </is>
      </c>
      <c r="D5777" s="12" t="inlineStr">
        <is>
          <t>Motor 1 of 1: control / local station</t>
        </is>
      </c>
      <c r="E5777" s="12" t="inlineStr"/>
      <c r="F5777" s="12" t="inlineStr">
        <is>
          <t>H2 20: 13.8 kV e-house</t>
        </is>
      </c>
      <c r="G5777" s="12" t="inlineStr">
        <is>
          <t>H2-EL</t>
        </is>
      </c>
      <c r="H5777" s="12" t="inlineStr">
        <is>
          <t>H2 22: electrolyzer building (5 x HyLYZER-1000 + 5 rectifiers)</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346</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K-C-0043</t>
        </is>
      </c>
      <c r="B5778" s="12" t="inlineStr">
        <is>
          <t>K</t>
        </is>
      </c>
      <c r="C5778" s="12" t="inlineStr">
        <is>
          <t>Fuel supply (adjacent market)</t>
        </is>
      </c>
      <c r="D5778" s="12" t="inlineStr">
        <is>
          <t>Solenoid to JB JB-H2-EL-SOL01: 2 x 2/C (field cables)</t>
        </is>
      </c>
      <c r="E5778" s="12" t="inlineStr">
        <is>
          <t>H2-EL</t>
        </is>
      </c>
      <c r="F5778" s="12" t="inlineStr">
        <is>
          <t>H2 22: electrolyzer building (5 x HyLYZER-1000 + 5 rectifiers)</t>
        </is>
      </c>
      <c r="G5778" s="12" t="inlineStr">
        <is>
          <t>JB-H2-EL-SOL01</t>
        </is>
      </c>
      <c r="H5778" s="12" t="inlineStr">
        <is>
          <t>H2 22: electrolyzer building (5 x HyLYZER-1000 + 5 rectifiers)</t>
        </is>
      </c>
      <c r="I5778" s="12" t="inlineStr">
        <is>
          <t>Control</t>
        </is>
      </c>
      <c r="J5778" s="12" t="inlineStr">
        <is>
          <t>ARMOR-X MC-HL 600 V control, Cu #14 AWG (Class I Div 2)</t>
        </is>
      </c>
      <c r="K5778" s="12" t="inlineStr">
        <is>
          <t>CTAX|2/C|14</t>
        </is>
      </c>
      <c r="L5778" s="12" t="inlineStr">
        <is>
          <t>2/C</t>
        </is>
      </c>
      <c r="M5778" s="12" t="inlineStr">
        <is>
          <t>14</t>
        </is>
      </c>
      <c r="N5778" s="12" t="n">
        <v>2</v>
      </c>
      <c r="O5778" s="12" t="n">
        <v>1</v>
      </c>
      <c r="P5778" s="12" t="n"/>
      <c r="Q5778" s="12" t="n"/>
      <c r="R5778" s="12" t="n"/>
      <c r="S5778" s="12" t="inlineStr">
        <is>
          <t>Tray / conduit</t>
        </is>
      </c>
      <c r="T5778" s="15" t="n">
        <v>157</v>
      </c>
      <c r="U5778" s="15" t="n">
        <v>10</v>
      </c>
      <c r="V5778" s="15">
        <f>ROUNDUP((T5778+U5778+2*'Read Me'!$B$13)*(1+'Read Me'!$B$12),-1)</f>
        <v/>
      </c>
      <c r="W5778" s="15">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K-C-0044</t>
        </is>
      </c>
      <c r="B5779" s="12" t="inlineStr">
        <is>
          <t>K</t>
        </is>
      </c>
      <c r="C5779" s="12" t="inlineStr">
        <is>
          <t>Fuel supply (adjacent market)</t>
        </is>
      </c>
      <c r="D5779" s="12" t="inlineStr">
        <is>
          <t>Home run JB-H2-EL-SOL01 to the control / marshalling room</t>
        </is>
      </c>
      <c r="E5779" s="12" t="inlineStr"/>
      <c r="F5779" s="12" t="inlineStr">
        <is>
          <t>H2 20: 13.8 kV e-house</t>
        </is>
      </c>
      <c r="G5779" s="12" t="inlineStr">
        <is>
          <t>JB-H2-EL-SOL01</t>
        </is>
      </c>
      <c r="H5779" s="12" t="inlineStr">
        <is>
          <t>H2 22: electrolyzer building (5 x HyLYZER-1000 + 5 rectifiers)</t>
        </is>
      </c>
      <c r="I5779" s="12" t="inlineStr">
        <is>
          <t>Control</t>
        </is>
      </c>
      <c r="J5779" s="12" t="inlineStr">
        <is>
          <t>ARMOR-X MC-HL 600 V control, Cu #14 AWG (Class I Div 2)</t>
        </is>
      </c>
      <c r="K5779" s="12" t="inlineStr">
        <is>
          <t>CTAX|25/C|14</t>
        </is>
      </c>
      <c r="L5779" s="12" t="inlineStr">
        <is>
          <t>25/C</t>
        </is>
      </c>
      <c r="M5779" s="12" t="inlineStr">
        <is>
          <t>14</t>
        </is>
      </c>
      <c r="N5779" s="12" t="n">
        <v>1</v>
      </c>
      <c r="O5779" s="12" t="n">
        <v>1</v>
      </c>
      <c r="P5779" s="12" t="n"/>
      <c r="Q5779" s="12" t="n"/>
      <c r="R5779" s="12" t="n"/>
      <c r="S5779" s="12" t="inlineStr">
        <is>
          <t>Duct bank</t>
        </is>
      </c>
      <c r="T5779" s="15" t="n">
        <v>346</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K-C-0045</t>
        </is>
      </c>
      <c r="B5780" s="12" t="inlineStr">
        <is>
          <t>K</t>
        </is>
      </c>
      <c r="C5780" s="12" t="inlineStr">
        <is>
          <t>Fuel supply (adjacent market)</t>
        </is>
      </c>
      <c r="D5780" s="12" t="inlineStr">
        <is>
          <t>Motor 1 of 1: control / local station</t>
        </is>
      </c>
      <c r="E5780" s="12" t="inlineStr"/>
      <c r="F5780" s="12" t="inlineStr">
        <is>
          <t>H2 20: 13.8 kV e-house</t>
        </is>
      </c>
      <c r="G5780" s="12" t="inlineStr"/>
      <c r="H5780" s="12" t="inlineStr">
        <is>
          <t>H2 23: dry coolers</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100</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K-C-0046</t>
        </is>
      </c>
      <c r="B5781" s="12" t="inlineStr">
        <is>
          <t>K</t>
        </is>
      </c>
      <c r="C5781" s="12" t="inlineStr">
        <is>
          <t>Fuel supply (adjacent market)</t>
        </is>
      </c>
      <c r="D5781" s="12" t="inlineStr">
        <is>
          <t>Solenoid to JB JB-H2 23: dry coolers-SOL01: 2 x 2/C (field cables)</t>
        </is>
      </c>
      <c r="E5781" s="12" t="inlineStr"/>
      <c r="F5781" s="12" t="inlineStr">
        <is>
          <t>H2 23: dry coolers</t>
        </is>
      </c>
      <c r="G5781" s="12" t="inlineStr">
        <is>
          <t>JB-H2 23: dry coolers-SOL01</t>
        </is>
      </c>
      <c r="H5781" s="12" t="inlineStr">
        <is>
          <t>H2 23: dry coolers</t>
        </is>
      </c>
      <c r="I5781" s="12" t="inlineStr">
        <is>
          <t>Control</t>
        </is>
      </c>
      <c r="J5781" s="12" t="inlineStr">
        <is>
          <t>ARMOR-X MC-HL 600 V control, Cu #14 AWG (Class I Div 2)</t>
        </is>
      </c>
      <c r="K5781" s="12" t="inlineStr">
        <is>
          <t>CTAX|2/C|14</t>
        </is>
      </c>
      <c r="L5781" s="12" t="inlineStr">
        <is>
          <t>2/C</t>
        </is>
      </c>
      <c r="M5781" s="12" t="inlineStr">
        <is>
          <t>14</t>
        </is>
      </c>
      <c r="N5781" s="12" t="n">
        <v>2</v>
      </c>
      <c r="O5781" s="12" t="n">
        <v>1</v>
      </c>
      <c r="P5781" s="12" t="n"/>
      <c r="Q5781" s="12" t="n"/>
      <c r="R5781" s="12" t="n"/>
      <c r="S5781" s="12" t="inlineStr">
        <is>
          <t>Tray / conduit</t>
        </is>
      </c>
      <c r="T5781" s="15" t="n">
        <v>111</v>
      </c>
      <c r="U5781" s="15" t="n">
        <v>10</v>
      </c>
      <c r="V5781" s="15">
        <f>ROUNDUP((T5781+U5781+2*'Read Me'!$B$13)*(1+'Read Me'!$B$12),-1)</f>
        <v/>
      </c>
      <c r="W5781" s="15">
        <f>V5781*N5781*O5781</f>
        <v/>
      </c>
      <c r="X5781" s="12">
        <f>IF(LEFT(I5781,2)="MV",2*N5781*IF(L5781="1/C",O5781,1),0)</f>
        <v/>
      </c>
      <c r="Y5781" s="12">
        <f>IF(OR(LEFT(K5781,4)="LVAX",LEFT(K5781,6)="MV15AX",LEFT(K5781,4)="CTAX",LEFT(K5781,2)="W|"),2*N5781*O5781,0)</f>
        <v/>
      </c>
      <c r="Z5781" s="12" t="inlineStr">
        <is>
          <t>device-to-JB field wiring, one cable per device</t>
        </is>
      </c>
      <c r="AA5781" s="12">
        <f>N5781*O5781</f>
        <v/>
      </c>
    </row>
    <row r="5782">
      <c r="A5782" s="12" t="inlineStr">
        <is>
          <t>K-C-0047</t>
        </is>
      </c>
      <c r="B5782" s="12" t="inlineStr">
        <is>
          <t>K</t>
        </is>
      </c>
      <c r="C5782" s="12" t="inlineStr">
        <is>
          <t>Fuel supply (adjacent market)</t>
        </is>
      </c>
      <c r="D5782" s="12" t="inlineStr">
        <is>
          <t>Home run JB-H2 23: dry coolers-SOL01 to the control / marshalling room</t>
        </is>
      </c>
      <c r="E5782" s="12" t="inlineStr"/>
      <c r="F5782" s="12" t="inlineStr">
        <is>
          <t>H2 20: 13.8 kV e-house</t>
        </is>
      </c>
      <c r="G5782" s="12" t="inlineStr">
        <is>
          <t>JB-H2 23: dry coolers-SOL01</t>
        </is>
      </c>
      <c r="H5782" s="12" t="inlineStr">
        <is>
          <t>H2 23: dry coolers</t>
        </is>
      </c>
      <c r="I5782" s="12" t="inlineStr">
        <is>
          <t>Control</t>
        </is>
      </c>
      <c r="J5782" s="12" t="inlineStr">
        <is>
          <t>ARMOR-X MC-HL 600 V control, Cu #14 AWG (Class I Div 2)</t>
        </is>
      </c>
      <c r="K5782" s="12" t="inlineStr">
        <is>
          <t>CTAX|25/C|14</t>
        </is>
      </c>
      <c r="L5782" s="12" t="inlineStr">
        <is>
          <t>25/C</t>
        </is>
      </c>
      <c r="M5782" s="12" t="inlineStr">
        <is>
          <t>14</t>
        </is>
      </c>
      <c r="N5782" s="12" t="n">
        <v>1</v>
      </c>
      <c r="O5782" s="12" t="n">
        <v>1</v>
      </c>
      <c r="P5782" s="12" t="n"/>
      <c r="Q5782" s="12" t="n"/>
      <c r="R5782" s="12" t="n"/>
      <c r="S5782" s="12" t="inlineStr">
        <is>
          <t>Duct bank</t>
        </is>
      </c>
      <c r="T5782" s="15" t="n">
        <v>100</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K-C-0048</t>
        </is>
      </c>
      <c r="B5783" s="12" t="inlineStr">
        <is>
          <t>K</t>
        </is>
      </c>
      <c r="C5783" s="12" t="inlineStr">
        <is>
          <t>Fuel supply (adjacent market)</t>
        </is>
      </c>
      <c r="D5783" s="12" t="inlineStr">
        <is>
          <t>Motor 1 of 1: control / local station</t>
        </is>
      </c>
      <c r="E5783" s="12" t="inlineStr"/>
      <c r="F5783" s="12" t="inlineStr">
        <is>
          <t>H2 20: 13.8 kV e-house</t>
        </is>
      </c>
      <c r="G5783" s="12" t="inlineStr"/>
      <c r="H5783" s="12" t="inlineStr">
        <is>
          <t>H2 24: water purification (RO / EDI)</t>
        </is>
      </c>
      <c r="I5783" s="12" t="inlineStr">
        <is>
          <t>Control</t>
        </is>
      </c>
      <c r="J5783" s="12" t="inlineStr">
        <is>
          <t>ARMOR-X MC-HL 600 V control, Cu #14 AWG (Class I Div 2)</t>
        </is>
      </c>
      <c r="K5783" s="12" t="inlineStr">
        <is>
          <t>CTAX|7/C|14</t>
        </is>
      </c>
      <c r="L5783" s="12" t="inlineStr">
        <is>
          <t>7/C</t>
        </is>
      </c>
      <c r="M5783" s="12" t="inlineStr">
        <is>
          <t>14</t>
        </is>
      </c>
      <c r="N5783" s="12" t="n">
        <v>1</v>
      </c>
      <c r="O5783" s="12" t="n">
        <v>1</v>
      </c>
      <c r="P5783" s="12" t="n"/>
      <c r="Q5783" s="12" t="n"/>
      <c r="R5783" s="12" t="n"/>
      <c r="S5783" s="12" t="inlineStr">
        <is>
          <t>Duct bank</t>
        </is>
      </c>
      <c r="T5783" s="15" t="n">
        <v>146</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K-C-0049</t>
        </is>
      </c>
      <c r="B5784" s="12" t="inlineStr">
        <is>
          <t>K</t>
        </is>
      </c>
      <c r="C5784" s="12" t="inlineStr">
        <is>
          <t>Fuel supply (adjacent market)</t>
        </is>
      </c>
      <c r="D5784" s="12" t="inlineStr">
        <is>
          <t>Solenoid to JB JB-H2 24: water purif-SOL01: 2 x 2/C (field cables)</t>
        </is>
      </c>
      <c r="E5784" s="12" t="inlineStr"/>
      <c r="F5784" s="12" t="inlineStr">
        <is>
          <t>H2 24: water purification (RO / EDI)</t>
        </is>
      </c>
      <c r="G5784" s="12" t="inlineStr">
        <is>
          <t>JB-H2 24: water purif-SOL01</t>
        </is>
      </c>
      <c r="H5784" s="12" t="inlineStr">
        <is>
          <t>H2 24: water purification (RO / EDI)</t>
        </is>
      </c>
      <c r="I5784" s="12" t="inlineStr">
        <is>
          <t>Control</t>
        </is>
      </c>
      <c r="J5784" s="12" t="inlineStr">
        <is>
          <t>ARMOR-X MC-HL 600 V control, Cu #14 AWG (Class I Div 2)</t>
        </is>
      </c>
      <c r="K5784" s="12" t="inlineStr">
        <is>
          <t>CTAX|2/C|14</t>
        </is>
      </c>
      <c r="L5784" s="12" t="inlineStr">
        <is>
          <t>2/C</t>
        </is>
      </c>
      <c r="M5784" s="12" t="inlineStr">
        <is>
          <t>14</t>
        </is>
      </c>
      <c r="N5784" s="12" t="n">
        <v>2</v>
      </c>
      <c r="O5784" s="12" t="n">
        <v>1</v>
      </c>
      <c r="P5784" s="12" t="n"/>
      <c r="Q5784" s="12" t="n"/>
      <c r="R5784" s="12" t="n"/>
      <c r="S5784" s="12" t="inlineStr">
        <is>
          <t>Tray / conduit</t>
        </is>
      </c>
      <c r="T5784" s="15" t="n">
        <v>60</v>
      </c>
      <c r="U5784" s="15" t="n">
        <v>10</v>
      </c>
      <c r="V5784" s="15">
        <f>ROUNDUP((T5784+U5784+2*'Read Me'!$B$13)*(1+'Read Me'!$B$12),-1)</f>
        <v/>
      </c>
      <c r="W5784" s="15">
        <f>V5784*N5784*O5784</f>
        <v/>
      </c>
      <c r="X5784" s="12">
        <f>IF(LEFT(I5784,2)="MV",2*N5784*IF(L5784="1/C",O5784,1),0)</f>
        <v/>
      </c>
      <c r="Y5784" s="12">
        <f>IF(OR(LEFT(K5784,4)="LVAX",LEFT(K5784,6)="MV15AX",LEFT(K5784,4)="CTAX",LEFT(K5784,2)="W|"),2*N5784*O5784,0)</f>
        <v/>
      </c>
      <c r="Z5784" s="12" t="inlineStr">
        <is>
          <t>device-to-JB field wiring, one cable per device</t>
        </is>
      </c>
      <c r="AA5784" s="12">
        <f>N5784*O5784</f>
        <v/>
      </c>
    </row>
    <row r="5785">
      <c r="A5785" s="12" t="inlineStr">
        <is>
          <t>K-C-0050</t>
        </is>
      </c>
      <c r="B5785" s="12" t="inlineStr">
        <is>
          <t>K</t>
        </is>
      </c>
      <c r="C5785" s="12" t="inlineStr">
        <is>
          <t>Fuel supply (adjacent market)</t>
        </is>
      </c>
      <c r="D5785" s="12" t="inlineStr">
        <is>
          <t>Home run JB-H2 24: water purif-SOL01 to the control / marshalling room</t>
        </is>
      </c>
      <c r="E5785" s="12" t="inlineStr"/>
      <c r="F5785" s="12" t="inlineStr">
        <is>
          <t>H2 20: 13.8 kV e-house</t>
        </is>
      </c>
      <c r="G5785" s="12" t="inlineStr">
        <is>
          <t>JB-H2 24: water purif-SOL01</t>
        </is>
      </c>
      <c r="H5785" s="12" t="inlineStr">
        <is>
          <t>H2 24: water purification (RO / EDI)</t>
        </is>
      </c>
      <c r="I5785" s="12" t="inlineStr">
        <is>
          <t>Control</t>
        </is>
      </c>
      <c r="J5785" s="12" t="inlineStr">
        <is>
          <t>ARMOR-X MC-HL 600 V control, Cu #14 AWG (Class I Div 2)</t>
        </is>
      </c>
      <c r="K5785" s="12" t="inlineStr">
        <is>
          <t>CTAX|25/C|14</t>
        </is>
      </c>
      <c r="L5785" s="12" t="inlineStr">
        <is>
          <t>25/C</t>
        </is>
      </c>
      <c r="M5785" s="12" t="inlineStr">
        <is>
          <t>14</t>
        </is>
      </c>
      <c r="N5785" s="12" t="n">
        <v>1</v>
      </c>
      <c r="O5785" s="12" t="n">
        <v>1</v>
      </c>
      <c r="P5785" s="12" t="n"/>
      <c r="Q5785" s="12" t="n"/>
      <c r="R5785" s="12" t="n"/>
      <c r="S5785" s="12" t="inlineStr">
        <is>
          <t>Duct bank</t>
        </is>
      </c>
      <c r="T5785" s="15" t="n">
        <v>146</v>
      </c>
      <c r="U5785" s="15" t="n">
        <v>32</v>
      </c>
      <c r="V5785" s="15">
        <f>ROUNDUP((T5785+U5785+2*'Read Me'!$B$13)*(1+'Read Me'!$B$12),-1)</f>
        <v/>
      </c>
      <c r="W5785" s="15">
        <f>V5785*N5785*O5785</f>
        <v/>
      </c>
      <c r="X5785" s="12">
        <f>IF(LEFT(I5785,2)="MV",2*N5785*IF(L5785="1/C",O5785,1),0)</f>
        <v/>
      </c>
      <c r="Y5785" s="12">
        <f>IF(OR(LEFT(K5785,4)="LVAX",LEFT(K5785,6)="MV15AX",LEFT(K5785,4)="CTAX",LEFT(K5785,2)="W|"),2*N5785*O5785,0)</f>
        <v/>
      </c>
      <c r="Z5785" s="12" t="inlineStr"/>
      <c r="AA5785" s="12">
        <f>N5785*O5785</f>
        <v/>
      </c>
    </row>
    <row r="5786">
      <c r="A5786" s="12" t="inlineStr">
        <is>
          <t>K-C-0051</t>
        </is>
      </c>
      <c r="B5786" s="12" t="inlineStr">
        <is>
          <t>K</t>
        </is>
      </c>
      <c r="C5786" s="12" t="inlineStr">
        <is>
          <t>Fuel supply (adjacent market)</t>
        </is>
      </c>
      <c r="D5786" s="12" t="inlineStr">
        <is>
          <t>Motor 1 of 1: control / local station</t>
        </is>
      </c>
      <c r="E5786" s="12" t="inlineStr"/>
      <c r="F5786" s="12" t="inlineStr">
        <is>
          <t>H2 20: 13.8 kV e-house</t>
        </is>
      </c>
      <c r="G5786" s="12" t="inlineStr"/>
      <c r="H5786" s="12" t="inlineStr">
        <is>
          <t>H2 25: H2 dryer / purification</t>
        </is>
      </c>
      <c r="I5786" s="12" t="inlineStr">
        <is>
          <t>Control</t>
        </is>
      </c>
      <c r="J5786" s="12" t="inlineStr">
        <is>
          <t>ARMOR-X MC-HL 600 V control, Cu #14 AWG (Class I Div 2)</t>
        </is>
      </c>
      <c r="K5786" s="12" t="inlineStr">
        <is>
          <t>CTAX|7/C|14</t>
        </is>
      </c>
      <c r="L5786" s="12" t="inlineStr">
        <is>
          <t>7/C</t>
        </is>
      </c>
      <c r="M5786" s="12" t="inlineStr">
        <is>
          <t>14</t>
        </is>
      </c>
      <c r="N5786" s="12" t="n">
        <v>1</v>
      </c>
      <c r="O5786" s="12" t="n">
        <v>1</v>
      </c>
      <c r="P5786" s="12" t="n"/>
      <c r="Q5786" s="12" t="n"/>
      <c r="R5786" s="12" t="n"/>
      <c r="S5786" s="12" t="inlineStr">
        <is>
          <t>Duct bank</t>
        </is>
      </c>
      <c r="T5786" s="15" t="n">
        <v>0</v>
      </c>
      <c r="U5786" s="15" t="n">
        <v>49</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K-C-0052</t>
        </is>
      </c>
      <c r="B5787" s="12" t="inlineStr">
        <is>
          <t>K</t>
        </is>
      </c>
      <c r="C5787" s="12" t="inlineStr">
        <is>
          <t>Fuel supply (adjacent market)</t>
        </is>
      </c>
      <c r="D5787" s="12" t="inlineStr">
        <is>
          <t>Solenoid to JB JB-H2 25: H2 dryer / -SOL01: 2 x 2/C (field cables)</t>
        </is>
      </c>
      <c r="E5787" s="12" t="inlineStr"/>
      <c r="F5787" s="12" t="inlineStr">
        <is>
          <t>H2 25: H2 dryer / purification</t>
        </is>
      </c>
      <c r="G5787" s="12" t="inlineStr">
        <is>
          <t>JB-H2 25: H2 dryer / -SOL01</t>
        </is>
      </c>
      <c r="H5787" s="12" t="inlineStr">
        <is>
          <t>H2 25: H2 dryer / purification</t>
        </is>
      </c>
      <c r="I5787" s="12" t="inlineStr">
        <is>
          <t>Control</t>
        </is>
      </c>
      <c r="J5787" s="12" t="inlineStr">
        <is>
          <t>ARMOR-X MC-HL 600 V control, Cu #14 AWG (Class I Div 2)</t>
        </is>
      </c>
      <c r="K5787" s="12" t="inlineStr">
        <is>
          <t>CTAX|2/C|14</t>
        </is>
      </c>
      <c r="L5787" s="12" t="inlineStr">
        <is>
          <t>2/C</t>
        </is>
      </c>
      <c r="M5787" s="12" t="inlineStr">
        <is>
          <t>14</t>
        </is>
      </c>
      <c r="N5787" s="12" t="n">
        <v>2</v>
      </c>
      <c r="O5787" s="12" t="n">
        <v>1</v>
      </c>
      <c r="P5787" s="12" t="n"/>
      <c r="Q5787" s="12" t="n"/>
      <c r="R5787" s="12" t="n"/>
      <c r="S5787" s="12" t="inlineStr">
        <is>
          <t>Tray / conduit</t>
        </is>
      </c>
      <c r="T5787" s="15" t="n">
        <v>60</v>
      </c>
      <c r="U5787" s="15" t="n">
        <v>10</v>
      </c>
      <c r="V5787" s="15">
        <f>ROUNDUP((T5787+U5787+2*'Read Me'!$B$13)*(1+'Read Me'!$B$12),-1)</f>
        <v/>
      </c>
      <c r="W5787" s="15">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K-C-0053</t>
        </is>
      </c>
      <c r="B5788" s="12" t="inlineStr">
        <is>
          <t>K</t>
        </is>
      </c>
      <c r="C5788" s="12" t="inlineStr">
        <is>
          <t>Fuel supply (adjacent market)</t>
        </is>
      </c>
      <c r="D5788" s="12" t="inlineStr">
        <is>
          <t>Home run JB-H2 25: H2 dryer / -SOL01 to the control / marshalling room</t>
        </is>
      </c>
      <c r="E5788" s="12" t="inlineStr"/>
      <c r="F5788" s="12" t="inlineStr">
        <is>
          <t>H2 20: 13.8 kV e-house</t>
        </is>
      </c>
      <c r="G5788" s="12" t="inlineStr">
        <is>
          <t>JB-H2 25: H2 dryer / -SOL01</t>
        </is>
      </c>
      <c r="H5788" s="12" t="inlineStr">
        <is>
          <t>H2 25: H2 dryer / purification</t>
        </is>
      </c>
      <c r="I5788" s="12" t="inlineStr">
        <is>
          <t>Control</t>
        </is>
      </c>
      <c r="J5788" s="12" t="inlineStr">
        <is>
          <t>ARMOR-X MC-HL 600 V control, Cu #14 AWG (Class I Div 2)</t>
        </is>
      </c>
      <c r="K5788" s="12" t="inlineStr">
        <is>
          <t>CTAX|25/C|14</t>
        </is>
      </c>
      <c r="L5788" s="12" t="inlineStr">
        <is>
          <t>25/C</t>
        </is>
      </c>
      <c r="M5788" s="12" t="inlineStr">
        <is>
          <t>14</t>
        </is>
      </c>
      <c r="N5788" s="12" t="n">
        <v>1</v>
      </c>
      <c r="O5788" s="12" t="n">
        <v>1</v>
      </c>
      <c r="P5788" s="12" t="n"/>
      <c r="Q5788" s="12" t="n"/>
      <c r="R5788" s="12" t="n"/>
      <c r="S5788" s="12" t="inlineStr">
        <is>
          <t>Duct bank</t>
        </is>
      </c>
      <c r="T5788" s="15" t="n">
        <v>0</v>
      </c>
      <c r="U5788" s="15" t="n">
        <v>49</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K-C-0054</t>
        </is>
      </c>
      <c r="B5789" s="12" t="inlineStr">
        <is>
          <t>K</t>
        </is>
      </c>
      <c r="C5789" s="12" t="inlineStr">
        <is>
          <t>Fuel supply (adjacent market)</t>
        </is>
      </c>
      <c r="D5789" s="12" t="inlineStr">
        <is>
          <t>Motor 1 of 1: control / local station</t>
        </is>
      </c>
      <c r="E5789" s="12" t="inlineStr"/>
      <c r="F5789" s="12" t="inlineStr">
        <is>
          <t>H2 20: 13.8 kV e-house</t>
        </is>
      </c>
      <c r="G5789" s="12" t="inlineStr"/>
      <c r="H5789" s="12" t="inlineStr">
        <is>
          <t>H2 26: H2 compressor 1 (40 ft ISO)</t>
        </is>
      </c>
      <c r="I5789" s="12" t="inlineStr">
        <is>
          <t>Control</t>
        </is>
      </c>
      <c r="J5789" s="12" t="inlineStr">
        <is>
          <t>ARMOR-X MC-HL 600 V control, Cu #14 AWG (Class I Div 2)</t>
        </is>
      </c>
      <c r="K5789" s="12" t="inlineStr">
        <is>
          <t>CTAX|7/C|14</t>
        </is>
      </c>
      <c r="L5789" s="12" t="inlineStr">
        <is>
          <t>7/C</t>
        </is>
      </c>
      <c r="M5789" s="12" t="inlineStr">
        <is>
          <t>14</t>
        </is>
      </c>
      <c r="N5789" s="12" t="n">
        <v>1</v>
      </c>
      <c r="O5789" s="12" t="n">
        <v>1</v>
      </c>
      <c r="P5789" s="12" t="n"/>
      <c r="Q5789" s="12" t="n"/>
      <c r="R5789" s="12" t="n"/>
      <c r="S5789" s="12" t="inlineStr">
        <is>
          <t>Duct bank</t>
        </is>
      </c>
      <c r="T5789" s="15" t="n">
        <v>50</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K-C-0055</t>
        </is>
      </c>
      <c r="B5790" s="12" t="inlineStr">
        <is>
          <t>K</t>
        </is>
      </c>
      <c r="C5790" s="12" t="inlineStr">
        <is>
          <t>Fuel supply (adjacent market)</t>
        </is>
      </c>
      <c r="D5790" s="12" t="inlineStr">
        <is>
          <t>Solenoid to JB JB-H2 26: H2 compress-SOL01: 2 x 2/C (field cables)</t>
        </is>
      </c>
      <c r="E5790" s="12" t="inlineStr"/>
      <c r="F5790" s="12" t="inlineStr">
        <is>
          <t>H2 26: H2 compressor 1 (40 ft ISO)</t>
        </is>
      </c>
      <c r="G5790" s="12" t="inlineStr">
        <is>
          <t>JB-H2 26: H2 compress-SOL01</t>
        </is>
      </c>
      <c r="H5790" s="12" t="inlineStr">
        <is>
          <t>H2 26: H2 compressor 1 (40 ft ISO)</t>
        </is>
      </c>
      <c r="I5790" s="12" t="inlineStr">
        <is>
          <t>Control</t>
        </is>
      </c>
      <c r="J5790" s="12" t="inlineStr">
        <is>
          <t>ARMOR-X MC-HL 600 V control, Cu #14 AWG (Class I Div 2)</t>
        </is>
      </c>
      <c r="K5790" s="12" t="inlineStr">
        <is>
          <t>CTAX|2/C|14</t>
        </is>
      </c>
      <c r="L5790" s="12" t="inlineStr">
        <is>
          <t>2/C</t>
        </is>
      </c>
      <c r="M5790" s="12" t="inlineStr">
        <is>
          <t>14</t>
        </is>
      </c>
      <c r="N5790" s="12" t="n">
        <v>2</v>
      </c>
      <c r="O5790" s="12" t="n">
        <v>1</v>
      </c>
      <c r="P5790" s="12" t="n"/>
      <c r="Q5790" s="12" t="n"/>
      <c r="R5790" s="12" t="n"/>
      <c r="S5790" s="12" t="inlineStr">
        <is>
          <t>Tray / conduit</t>
        </is>
      </c>
      <c r="T5790" s="15" t="n">
        <v>53</v>
      </c>
      <c r="U5790" s="15" t="n">
        <v>10</v>
      </c>
      <c r="V5790" s="15">
        <f>ROUNDUP((T5790+U5790+2*'Read Me'!$B$13)*(1+'Read Me'!$B$12),-1)</f>
        <v/>
      </c>
      <c r="W5790" s="15">
        <f>V5790*N5790*O5790</f>
        <v/>
      </c>
      <c r="X5790" s="12">
        <f>IF(LEFT(I5790,2)="MV",2*N5790*IF(L5790="1/C",O5790,1),0)</f>
        <v/>
      </c>
      <c r="Y5790" s="12">
        <f>IF(OR(LEFT(K5790,4)="LVAX",LEFT(K5790,6)="MV15AX",LEFT(K5790,4)="CTAX",LEFT(K5790,2)="W|"),2*N5790*O5790,0)</f>
        <v/>
      </c>
      <c r="Z5790" s="12" t="inlineStr">
        <is>
          <t>device-to-JB field wiring, one cable per device</t>
        </is>
      </c>
      <c r="AA5790" s="12">
        <f>N5790*O5790</f>
        <v/>
      </c>
    </row>
    <row r="5791">
      <c r="A5791" s="12" t="inlineStr">
        <is>
          <t>K-C-0056</t>
        </is>
      </c>
      <c r="B5791" s="12" t="inlineStr">
        <is>
          <t>K</t>
        </is>
      </c>
      <c r="C5791" s="12" t="inlineStr">
        <is>
          <t>Fuel supply (adjacent market)</t>
        </is>
      </c>
      <c r="D5791" s="12" t="inlineStr">
        <is>
          <t>Home run JB-H2 26: H2 compress-SOL01 to the control / marshalling room</t>
        </is>
      </c>
      <c r="E5791" s="12" t="inlineStr"/>
      <c r="F5791" s="12" t="inlineStr">
        <is>
          <t>H2 20: 13.8 kV e-house</t>
        </is>
      </c>
      <c r="G5791" s="12" t="inlineStr">
        <is>
          <t>JB-H2 26: H2 compress-SOL01</t>
        </is>
      </c>
      <c r="H5791" s="12" t="inlineStr">
        <is>
          <t>H2 26: H2 compressor 1 (40 ft ISO)</t>
        </is>
      </c>
      <c r="I5791" s="12" t="inlineStr">
        <is>
          <t>Control</t>
        </is>
      </c>
      <c r="J5791" s="12" t="inlineStr">
        <is>
          <t>ARMOR-X MC-HL 600 V control, Cu #14 AWG (Class I Div 2)</t>
        </is>
      </c>
      <c r="K5791" s="12" t="inlineStr">
        <is>
          <t>CTAX|25/C|14</t>
        </is>
      </c>
      <c r="L5791" s="12" t="inlineStr">
        <is>
          <t>25/C</t>
        </is>
      </c>
      <c r="M5791" s="12" t="inlineStr">
        <is>
          <t>14</t>
        </is>
      </c>
      <c r="N5791" s="12" t="n">
        <v>1</v>
      </c>
      <c r="O5791" s="12" t="n">
        <v>1</v>
      </c>
      <c r="P5791" s="12" t="n"/>
      <c r="Q5791" s="12" t="n"/>
      <c r="R5791" s="12" t="n"/>
      <c r="S5791" s="12" t="inlineStr">
        <is>
          <t>Duct bank</t>
        </is>
      </c>
      <c r="T5791" s="15" t="n">
        <v>50</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K-C-0057</t>
        </is>
      </c>
      <c r="B5792" s="12" t="inlineStr">
        <is>
          <t>K</t>
        </is>
      </c>
      <c r="C5792" s="12" t="inlineStr">
        <is>
          <t>Fuel supply (adjacent market)</t>
        </is>
      </c>
      <c r="D5792" s="12" t="inlineStr">
        <is>
          <t>Motor 1 of 1: control / local station</t>
        </is>
      </c>
      <c r="E5792" s="12" t="inlineStr"/>
      <c r="F5792" s="12" t="inlineStr">
        <is>
          <t>H2 20: 13.8 kV e-house</t>
        </is>
      </c>
      <c r="G5792" s="12" t="inlineStr"/>
      <c r="H5792" s="12" t="inlineStr">
        <is>
          <t>H2 26: H2 compressor 2 (40 ft ISO)</t>
        </is>
      </c>
      <c r="I5792" s="12" t="inlineStr">
        <is>
          <t>Control</t>
        </is>
      </c>
      <c r="J5792" s="12" t="inlineStr">
        <is>
          <t>ARMOR-X MC-HL 600 V control, Cu #14 AWG (Class I Div 2)</t>
        </is>
      </c>
      <c r="K5792" s="12" t="inlineStr">
        <is>
          <t>CTAX|7/C|14</t>
        </is>
      </c>
      <c r="L5792" s="12" t="inlineStr">
        <is>
          <t>7/C</t>
        </is>
      </c>
      <c r="M5792" s="12" t="inlineStr">
        <is>
          <t>14</t>
        </is>
      </c>
      <c r="N5792" s="12" t="n">
        <v>1</v>
      </c>
      <c r="O5792" s="12" t="n">
        <v>1</v>
      </c>
      <c r="P5792" s="12" t="n"/>
      <c r="Q5792" s="12" t="n"/>
      <c r="R5792" s="12" t="n"/>
      <c r="S5792" s="12" t="inlineStr">
        <is>
          <t>Duct bank</t>
        </is>
      </c>
      <c r="T5792" s="15" t="n">
        <v>50</v>
      </c>
      <c r="U5792" s="15" t="n">
        <v>47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K-C-0058</t>
        </is>
      </c>
      <c r="B5793" s="12" t="inlineStr">
        <is>
          <t>K</t>
        </is>
      </c>
      <c r="C5793" s="12" t="inlineStr">
        <is>
          <t>Fuel supply (adjacent market)</t>
        </is>
      </c>
      <c r="D5793" s="12" t="inlineStr">
        <is>
          <t>Solenoid to JB JB-H2 26: H2 compress-SOL01: 2 x 2/C (field cables)</t>
        </is>
      </c>
      <c r="E5793" s="12" t="inlineStr"/>
      <c r="F5793" s="12" t="inlineStr">
        <is>
          <t>H2 26: H2 compressor 2 (40 ft ISO)</t>
        </is>
      </c>
      <c r="G5793" s="12" t="inlineStr">
        <is>
          <t>JB-H2 26: H2 compress-SOL01</t>
        </is>
      </c>
      <c r="H5793" s="12" t="inlineStr">
        <is>
          <t>H2 26: H2 compressor 2 (40 ft ISO)</t>
        </is>
      </c>
      <c r="I5793" s="12" t="inlineStr">
        <is>
          <t>Control</t>
        </is>
      </c>
      <c r="J5793" s="12" t="inlineStr">
        <is>
          <t>ARMOR-X MC-HL 600 V control, Cu #14 AWG (Class I Div 2)</t>
        </is>
      </c>
      <c r="K5793" s="12" t="inlineStr">
        <is>
          <t>CTAX|2/C|14</t>
        </is>
      </c>
      <c r="L5793" s="12" t="inlineStr">
        <is>
          <t>2/C</t>
        </is>
      </c>
      <c r="M5793" s="12" t="inlineStr">
        <is>
          <t>14</t>
        </is>
      </c>
      <c r="N5793" s="12" t="n">
        <v>2</v>
      </c>
      <c r="O5793" s="12" t="n">
        <v>1</v>
      </c>
      <c r="P5793" s="12" t="n"/>
      <c r="Q5793" s="12" t="n"/>
      <c r="R5793" s="12" t="n"/>
      <c r="S5793" s="12" t="inlineStr">
        <is>
          <t>Tray / conduit</t>
        </is>
      </c>
      <c r="T5793" s="15" t="n">
        <v>53</v>
      </c>
      <c r="U5793" s="15" t="n">
        <v>10</v>
      </c>
      <c r="V5793" s="15">
        <f>ROUNDUP((T5793+U5793+2*'Read Me'!$B$13)*(1+'Read Me'!$B$12),-1)</f>
        <v/>
      </c>
      <c r="W5793" s="15">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K-C-0059</t>
        </is>
      </c>
      <c r="B5794" s="12" t="inlineStr">
        <is>
          <t>K</t>
        </is>
      </c>
      <c r="C5794" s="12" t="inlineStr">
        <is>
          <t>Fuel supply (adjacent market)</t>
        </is>
      </c>
      <c r="D5794" s="12" t="inlineStr">
        <is>
          <t>Home run JB-H2 26: H2 compress-SOL01 to the control / marshalling room</t>
        </is>
      </c>
      <c r="E5794" s="12" t="inlineStr"/>
      <c r="F5794" s="12" t="inlineStr">
        <is>
          <t>H2 20: 13.8 kV e-house</t>
        </is>
      </c>
      <c r="G5794" s="12" t="inlineStr">
        <is>
          <t>JB-H2 26: H2 compress-SOL01</t>
        </is>
      </c>
      <c r="H5794" s="12" t="inlineStr">
        <is>
          <t>H2 26: H2 compressor 2 (40 ft ISO)</t>
        </is>
      </c>
      <c r="I5794" s="12" t="inlineStr">
        <is>
          <t>Control</t>
        </is>
      </c>
      <c r="J5794" s="12" t="inlineStr">
        <is>
          <t>ARMOR-X MC-HL 600 V control, Cu #14 AWG (Class I Div 2)</t>
        </is>
      </c>
      <c r="K5794" s="12" t="inlineStr">
        <is>
          <t>CTAX|25/C|14</t>
        </is>
      </c>
      <c r="L5794" s="12" t="inlineStr">
        <is>
          <t>25/C</t>
        </is>
      </c>
      <c r="M5794" s="12" t="inlineStr">
        <is>
          <t>14</t>
        </is>
      </c>
      <c r="N5794" s="12" t="n">
        <v>1</v>
      </c>
      <c r="O5794" s="12" t="n">
        <v>1</v>
      </c>
      <c r="P5794" s="12" t="n"/>
      <c r="Q5794" s="12" t="n"/>
      <c r="R5794" s="12" t="n"/>
      <c r="S5794" s="12" t="inlineStr">
        <is>
          <t>Duct bank</t>
        </is>
      </c>
      <c r="T5794" s="15" t="n">
        <v>50</v>
      </c>
      <c r="U5794" s="15" t="n">
        <v>47</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K-C-0060</t>
        </is>
      </c>
      <c r="B5795" s="12" t="inlineStr">
        <is>
          <t>K</t>
        </is>
      </c>
      <c r="C5795" s="12" t="inlineStr">
        <is>
          <t>Fuel supply (adjacent market)</t>
        </is>
      </c>
      <c r="D5795" s="12" t="inlineStr">
        <is>
          <t>Motor 1 of 1: control / local station</t>
        </is>
      </c>
      <c r="E5795" s="12" t="inlineStr"/>
      <c r="F5795" s="12" t="inlineStr">
        <is>
          <t>H2 20: 13.8 kV e-house</t>
        </is>
      </c>
      <c r="G5795" s="12" t="inlineStr"/>
      <c r="H5795" s="12" t="inlineStr">
        <is>
          <t>H2 27: storage tube bank (~40 ft tubes)</t>
        </is>
      </c>
      <c r="I5795" s="12" t="inlineStr">
        <is>
          <t>Control</t>
        </is>
      </c>
      <c r="J5795" s="12" t="inlineStr">
        <is>
          <t>ARMOR-X MC-HL 600 V control, Cu #14 AWG (Class I Div 2)</t>
        </is>
      </c>
      <c r="K5795" s="12" t="inlineStr">
        <is>
          <t>CTAX|7/C|14</t>
        </is>
      </c>
      <c r="L5795" s="12" t="inlineStr">
        <is>
          <t>7/C</t>
        </is>
      </c>
      <c r="M5795" s="12" t="inlineStr">
        <is>
          <t>14</t>
        </is>
      </c>
      <c r="N5795" s="12" t="n">
        <v>1</v>
      </c>
      <c r="O5795" s="12" t="n">
        <v>1</v>
      </c>
      <c r="P5795" s="12" t="n"/>
      <c r="Q5795" s="12" t="n"/>
      <c r="R5795" s="12" t="n"/>
      <c r="S5795" s="12" t="inlineStr">
        <is>
          <t>Duct bank</t>
        </is>
      </c>
      <c r="T5795" s="15" t="n">
        <v>50</v>
      </c>
      <c r="U5795" s="15" t="n">
        <v>97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K-C-0061</t>
        </is>
      </c>
      <c r="B5796" s="12" t="inlineStr">
        <is>
          <t>K</t>
        </is>
      </c>
      <c r="C5796" s="12" t="inlineStr">
        <is>
          <t>Fuel supply (adjacent market)</t>
        </is>
      </c>
      <c r="D5796" s="12" t="inlineStr">
        <is>
          <t>Solenoid to JB JB-H2 27: storage tub-SOL01: 2 x 2/C (field cables)</t>
        </is>
      </c>
      <c r="E5796" s="12" t="inlineStr"/>
      <c r="F5796" s="12" t="inlineStr">
        <is>
          <t>H2 27: storage tube bank (~40 ft tubes)</t>
        </is>
      </c>
      <c r="G5796" s="12" t="inlineStr">
        <is>
          <t>JB-H2 27: storage tub-SOL01</t>
        </is>
      </c>
      <c r="H5796" s="12" t="inlineStr">
        <is>
          <t>H2 27: storage tube bank (~40 ft tubes)</t>
        </is>
      </c>
      <c r="I5796" s="12" t="inlineStr">
        <is>
          <t>Control</t>
        </is>
      </c>
      <c r="J5796" s="12" t="inlineStr">
        <is>
          <t>ARMOR-X MC-HL 600 V control, Cu #14 AWG (Class I Div 2)</t>
        </is>
      </c>
      <c r="K5796" s="12" t="inlineStr">
        <is>
          <t>CTAX|2/C|14</t>
        </is>
      </c>
      <c r="L5796" s="12" t="inlineStr">
        <is>
          <t>2/C</t>
        </is>
      </c>
      <c r="M5796" s="12" t="inlineStr">
        <is>
          <t>14</t>
        </is>
      </c>
      <c r="N5796" s="12" t="n">
        <v>2</v>
      </c>
      <c r="O5796" s="12" t="n">
        <v>1</v>
      </c>
      <c r="P5796" s="12" t="n"/>
      <c r="Q5796" s="12" t="n"/>
      <c r="R5796" s="12" t="n"/>
      <c r="S5796" s="12" t="inlineStr">
        <is>
          <t>Tray / conduit</t>
        </is>
      </c>
      <c r="T5796" s="15" t="n">
        <v>54</v>
      </c>
      <c r="U5796" s="15" t="n">
        <v>10</v>
      </c>
      <c r="V5796" s="15">
        <f>ROUNDUP((T5796+U5796+2*'Read Me'!$B$13)*(1+'Read Me'!$B$12),-1)</f>
        <v/>
      </c>
      <c r="W5796" s="15">
        <f>V5796*N5796*O5796</f>
        <v/>
      </c>
      <c r="X5796" s="12">
        <f>IF(LEFT(I5796,2)="MV",2*N5796*IF(L5796="1/C",O5796,1),0)</f>
        <v/>
      </c>
      <c r="Y5796" s="12">
        <f>IF(OR(LEFT(K5796,4)="LVAX",LEFT(K5796,6)="MV15AX",LEFT(K5796,4)="CTAX",LEFT(K5796,2)="W|"),2*N5796*O5796,0)</f>
        <v/>
      </c>
      <c r="Z5796" s="12" t="inlineStr">
        <is>
          <t>device-to-JB field wiring, one cable per device</t>
        </is>
      </c>
      <c r="AA5796" s="12">
        <f>N5796*O5796</f>
        <v/>
      </c>
    </row>
    <row r="5797">
      <c r="A5797" s="12" t="inlineStr">
        <is>
          <t>K-C-0062</t>
        </is>
      </c>
      <c r="B5797" s="12" t="inlineStr">
        <is>
          <t>K</t>
        </is>
      </c>
      <c r="C5797" s="12" t="inlineStr">
        <is>
          <t>Fuel supply (adjacent market)</t>
        </is>
      </c>
      <c r="D5797" s="12" t="inlineStr">
        <is>
          <t>Home run JB-H2 27: storage tub-SOL01 to the control / marshalling room</t>
        </is>
      </c>
      <c r="E5797" s="12" t="inlineStr"/>
      <c r="F5797" s="12" t="inlineStr">
        <is>
          <t>H2 20: 13.8 kV e-house</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CTAX|25/C|14</t>
        </is>
      </c>
      <c r="L5797" s="12" t="inlineStr">
        <is>
          <t>25/C</t>
        </is>
      </c>
      <c r="M5797" s="12" t="inlineStr">
        <is>
          <t>14</t>
        </is>
      </c>
      <c r="N5797" s="12" t="n">
        <v>1</v>
      </c>
      <c r="O5797" s="12" t="n">
        <v>1</v>
      </c>
      <c r="P5797" s="12" t="n"/>
      <c r="Q5797" s="12" t="n"/>
      <c r="R5797" s="12" t="n"/>
      <c r="S5797" s="12" t="inlineStr">
        <is>
          <t>Duct bank</t>
        </is>
      </c>
      <c r="T5797" s="15" t="n">
        <v>50</v>
      </c>
      <c r="U5797" s="15" t="n">
        <v>97</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K-C-0063</t>
        </is>
      </c>
      <c r="B5798" s="12" t="inlineStr">
        <is>
          <t>K</t>
        </is>
      </c>
      <c r="C5798" s="12" t="inlineStr">
        <is>
          <t>Fuel supply (adjacent market)</t>
        </is>
      </c>
      <c r="D5798" s="12" t="inlineStr">
        <is>
          <t>Motor 1 of 1: control / local station</t>
        </is>
      </c>
      <c r="E5798" s="12" t="inlineStr"/>
      <c r="F5798" s="12" t="inlineStr">
        <is>
          <t>H2 20: 13.8 kV e-house</t>
        </is>
      </c>
      <c r="G5798" s="12" t="inlineStr"/>
      <c r="H5798" s="12" t="inlineStr">
        <is>
          <t>H2 27: storage tube bank (~40 ft tubes)</t>
        </is>
      </c>
      <c r="I5798" s="12" t="inlineStr">
        <is>
          <t>Control</t>
        </is>
      </c>
      <c r="J5798" s="12" t="inlineStr">
        <is>
          <t>ARMOR-X MC-HL 600 V control, Cu #14 AWG (Class I Div 2)</t>
        </is>
      </c>
      <c r="K5798" s="12" t="inlineStr">
        <is>
          <t>CTAX|7/C|14</t>
        </is>
      </c>
      <c r="L5798" s="12" t="inlineStr">
        <is>
          <t>7/C</t>
        </is>
      </c>
      <c r="M5798" s="12" t="inlineStr">
        <is>
          <t>14</t>
        </is>
      </c>
      <c r="N5798" s="12" t="n">
        <v>1</v>
      </c>
      <c r="O5798" s="12" t="n">
        <v>1</v>
      </c>
      <c r="P5798" s="12" t="n"/>
      <c r="Q5798" s="12" t="n"/>
      <c r="R5798" s="12" t="n"/>
      <c r="S5798" s="12" t="inlineStr">
        <is>
          <t>Duct bank</t>
        </is>
      </c>
      <c r="T5798" s="15" t="n">
        <v>50</v>
      </c>
      <c r="U5798" s="15" t="n">
        <v>117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K-C-0064</t>
        </is>
      </c>
      <c r="B5799" s="12" t="inlineStr">
        <is>
          <t>K</t>
        </is>
      </c>
      <c r="C5799" s="12" t="inlineStr">
        <is>
          <t>Fuel supply (adjacent market)</t>
        </is>
      </c>
      <c r="D5799" s="12" t="inlineStr">
        <is>
          <t>Solenoid to JB JB-H2 27: storage tub-SOL01: 2 x 2/C (field cables)</t>
        </is>
      </c>
      <c r="E5799" s="12" t="inlineStr"/>
      <c r="F5799" s="12" t="inlineStr">
        <is>
          <t>H2 27: storage tube bank (~40 ft tubes)</t>
        </is>
      </c>
      <c r="G5799" s="12" t="inlineStr">
        <is>
          <t>JB-H2 27: storage tub-SOL01</t>
        </is>
      </c>
      <c r="H5799" s="12" t="inlineStr">
        <is>
          <t>H2 27: storage tube bank (~40 ft tubes)</t>
        </is>
      </c>
      <c r="I5799" s="12" t="inlineStr">
        <is>
          <t>Control</t>
        </is>
      </c>
      <c r="J5799" s="12" t="inlineStr">
        <is>
          <t>ARMOR-X MC-HL 600 V control, Cu #14 AWG (Class I Div 2)</t>
        </is>
      </c>
      <c r="K5799" s="12" t="inlineStr">
        <is>
          <t>CTAX|2/C|14</t>
        </is>
      </c>
      <c r="L5799" s="12" t="inlineStr">
        <is>
          <t>2/C</t>
        </is>
      </c>
      <c r="M5799" s="12" t="inlineStr">
        <is>
          <t>14</t>
        </is>
      </c>
      <c r="N5799" s="12" t="n">
        <v>2</v>
      </c>
      <c r="O5799" s="12" t="n">
        <v>1</v>
      </c>
      <c r="P5799" s="12" t="n"/>
      <c r="Q5799" s="12" t="n"/>
      <c r="R5799" s="12" t="n"/>
      <c r="S5799" s="12" t="inlineStr">
        <is>
          <t>Tray / conduit</t>
        </is>
      </c>
      <c r="T5799" s="15" t="n">
        <v>54</v>
      </c>
      <c r="U5799" s="15" t="n">
        <v>10</v>
      </c>
      <c r="V5799" s="15">
        <f>ROUNDUP((T5799+U5799+2*'Read Me'!$B$13)*(1+'Read Me'!$B$12),-1)</f>
        <v/>
      </c>
      <c r="W5799" s="15">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K-C-0065</t>
        </is>
      </c>
      <c r="B5800" s="12" t="inlineStr">
        <is>
          <t>K</t>
        </is>
      </c>
      <c r="C5800" s="12" t="inlineStr">
        <is>
          <t>Fuel supply (adjacent market)</t>
        </is>
      </c>
      <c r="D5800" s="12" t="inlineStr">
        <is>
          <t>Home run JB-H2 27: storage tub-SOL01 to the control / marshalling room</t>
        </is>
      </c>
      <c r="E5800" s="12" t="inlineStr"/>
      <c r="F5800" s="12" t="inlineStr">
        <is>
          <t>H2 20: 13.8 kV e-house</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CTAX|25/C|14</t>
        </is>
      </c>
      <c r="L5800" s="12" t="inlineStr">
        <is>
          <t>25/C</t>
        </is>
      </c>
      <c r="M5800" s="12" t="inlineStr">
        <is>
          <t>14</t>
        </is>
      </c>
      <c r="N5800" s="12" t="n">
        <v>1</v>
      </c>
      <c r="O5800" s="12" t="n">
        <v>1</v>
      </c>
      <c r="P5800" s="12" t="n"/>
      <c r="Q5800" s="12" t="n"/>
      <c r="R5800" s="12" t="n"/>
      <c r="S5800" s="12" t="inlineStr">
        <is>
          <t>Duct bank</t>
        </is>
      </c>
      <c r="T5800" s="15" t="n">
        <v>50</v>
      </c>
      <c r="U5800" s="15" t="n">
        <v>117</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K-C-0066</t>
        </is>
      </c>
      <c r="B5801" s="12" t="inlineStr">
        <is>
          <t>K</t>
        </is>
      </c>
      <c r="C5801" s="12" t="inlineStr">
        <is>
          <t>Fuel supply (adjacent market)</t>
        </is>
      </c>
      <c r="D5801" s="12" t="inlineStr">
        <is>
          <t>Motor 1 of 1: control / local station</t>
        </is>
      </c>
      <c r="E5801" s="12" t="inlineStr"/>
      <c r="F5801" s="12" t="inlineStr">
        <is>
          <t>H2 20: 13.8 kV e-house</t>
        </is>
      </c>
      <c r="G5801" s="12" t="inlineStr"/>
      <c r="H5801" s="12" t="inlineStr">
        <is>
          <t>H2 27: storage tube bank (~40 ft tubes)</t>
        </is>
      </c>
      <c r="I5801" s="12" t="inlineStr">
        <is>
          <t>Control</t>
        </is>
      </c>
      <c r="J5801" s="12" t="inlineStr">
        <is>
          <t>ARMOR-X MC-HL 600 V control, Cu #14 AWG (Class I Div 2)</t>
        </is>
      </c>
      <c r="K5801" s="12" t="inlineStr">
        <is>
          <t>CTAX|7/C|14</t>
        </is>
      </c>
      <c r="L5801" s="12" t="inlineStr">
        <is>
          <t>7/C</t>
        </is>
      </c>
      <c r="M5801" s="12" t="inlineStr">
        <is>
          <t>14</t>
        </is>
      </c>
      <c r="N5801" s="12" t="n">
        <v>1</v>
      </c>
      <c r="O5801" s="12" t="n">
        <v>1</v>
      </c>
      <c r="P5801" s="12" t="n"/>
      <c r="Q5801" s="12" t="n"/>
      <c r="R5801" s="12" t="n"/>
      <c r="S5801" s="12" t="inlineStr">
        <is>
          <t>Duct bank</t>
        </is>
      </c>
      <c r="T5801" s="15" t="n">
        <v>50</v>
      </c>
      <c r="U5801" s="15" t="n">
        <v>97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K-C-0067</t>
        </is>
      </c>
      <c r="B5802" s="12" t="inlineStr">
        <is>
          <t>K</t>
        </is>
      </c>
      <c r="C5802" s="12" t="inlineStr">
        <is>
          <t>Fuel supply (adjacent market)</t>
        </is>
      </c>
      <c r="D5802" s="12" t="inlineStr">
        <is>
          <t>Solenoid to JB JB-H2 27: storage tub-SOL01: 2 x 2/C (field cables)</t>
        </is>
      </c>
      <c r="E5802" s="12" t="inlineStr"/>
      <c r="F5802" s="12" t="inlineStr">
        <is>
          <t>H2 27: storage tube bank (~40 ft tubes)</t>
        </is>
      </c>
      <c r="G5802" s="12" t="inlineStr">
        <is>
          <t>JB-H2 27: storage tub-SOL01</t>
        </is>
      </c>
      <c r="H5802" s="12" t="inlineStr">
        <is>
          <t>H2 27: storage tube bank (~40 ft tubes)</t>
        </is>
      </c>
      <c r="I5802" s="12" t="inlineStr">
        <is>
          <t>Control</t>
        </is>
      </c>
      <c r="J5802" s="12" t="inlineStr">
        <is>
          <t>ARMOR-X MC-HL 600 V control, Cu #14 AWG (Class I Div 2)</t>
        </is>
      </c>
      <c r="K5802" s="12" t="inlineStr">
        <is>
          <t>CTAX|2/C|14</t>
        </is>
      </c>
      <c r="L5802" s="12" t="inlineStr">
        <is>
          <t>2/C</t>
        </is>
      </c>
      <c r="M5802" s="12" t="inlineStr">
        <is>
          <t>14</t>
        </is>
      </c>
      <c r="N5802" s="12" t="n">
        <v>2</v>
      </c>
      <c r="O5802" s="12" t="n">
        <v>1</v>
      </c>
      <c r="P5802" s="12" t="n"/>
      <c r="Q5802" s="12" t="n"/>
      <c r="R5802" s="12" t="n"/>
      <c r="S5802" s="12" t="inlineStr">
        <is>
          <t>Tray / conduit</t>
        </is>
      </c>
      <c r="T5802" s="15" t="n">
        <v>54</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K-C-0068</t>
        </is>
      </c>
      <c r="B5803" s="12" t="inlineStr">
        <is>
          <t>K</t>
        </is>
      </c>
      <c r="C5803" s="12" t="inlineStr">
        <is>
          <t>Fuel supply (adjacent market)</t>
        </is>
      </c>
      <c r="D5803" s="12" t="inlineStr">
        <is>
          <t>Home run JB-H2 27: storage tub-SOL01 to the control / marshalling room</t>
        </is>
      </c>
      <c r="E5803" s="12" t="inlineStr"/>
      <c r="F5803" s="12" t="inlineStr">
        <is>
          <t>H2 20: 13.8 kV e-house</t>
        </is>
      </c>
      <c r="G5803" s="12" t="inlineStr">
        <is>
          <t>JB-H2 27: storage tub-SOL01</t>
        </is>
      </c>
      <c r="H5803" s="12" t="inlineStr">
        <is>
          <t>H2 27: storage tube bank (~40 ft tubes)</t>
        </is>
      </c>
      <c r="I5803" s="12" t="inlineStr">
        <is>
          <t>Control</t>
        </is>
      </c>
      <c r="J5803" s="12" t="inlineStr">
        <is>
          <t>ARMOR-X MC-HL 600 V control, Cu #14 AWG (Class I Div 2)</t>
        </is>
      </c>
      <c r="K5803" s="12" t="inlineStr">
        <is>
          <t>CTAX|25/C|14</t>
        </is>
      </c>
      <c r="L5803" s="12" t="inlineStr">
        <is>
          <t>25/C</t>
        </is>
      </c>
      <c r="M5803" s="12" t="inlineStr">
        <is>
          <t>14</t>
        </is>
      </c>
      <c r="N5803" s="12" t="n">
        <v>1</v>
      </c>
      <c r="O5803" s="12" t="n">
        <v>1</v>
      </c>
      <c r="P5803" s="12" t="n"/>
      <c r="Q5803" s="12" t="n"/>
      <c r="R5803" s="12" t="n"/>
      <c r="S5803" s="12" t="inlineStr">
        <is>
          <t>Duct bank</t>
        </is>
      </c>
      <c r="T5803" s="15" t="n">
        <v>50</v>
      </c>
      <c r="U5803" s="15" t="n">
        <v>97</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K-C-0069</t>
        </is>
      </c>
      <c r="B5804" s="12" t="inlineStr">
        <is>
          <t>K</t>
        </is>
      </c>
      <c r="C5804" s="12" t="inlineStr">
        <is>
          <t>Fuel supply (adjacent market)</t>
        </is>
      </c>
      <c r="D5804" s="12" t="inlineStr">
        <is>
          <t>Motor 1 of 1: control / local station</t>
        </is>
      </c>
      <c r="E5804" s="12" t="inlineStr"/>
      <c r="F5804" s="12" t="inlineStr">
        <is>
          <t>H2 20: 13.8 kV e-house</t>
        </is>
      </c>
      <c r="G5804" s="12" t="inlineStr"/>
      <c r="H5804" s="12" t="inlineStr">
        <is>
          <t>H2 27: storage tube bank (~40 ft tubes)</t>
        </is>
      </c>
      <c r="I5804" s="12" t="inlineStr">
        <is>
          <t>Control</t>
        </is>
      </c>
      <c r="J5804" s="12" t="inlineStr">
        <is>
          <t>ARMOR-X MC-HL 600 V control, Cu #14 AWG (Class I Div 2)</t>
        </is>
      </c>
      <c r="K5804" s="12" t="inlineStr">
        <is>
          <t>CTAX|7/C|14</t>
        </is>
      </c>
      <c r="L5804" s="12" t="inlineStr">
        <is>
          <t>7/C</t>
        </is>
      </c>
      <c r="M5804" s="12" t="inlineStr">
        <is>
          <t>14</t>
        </is>
      </c>
      <c r="N5804" s="12" t="n">
        <v>1</v>
      </c>
      <c r="O5804" s="12" t="n">
        <v>1</v>
      </c>
      <c r="P5804" s="12" t="n"/>
      <c r="Q5804" s="12" t="n"/>
      <c r="R5804" s="12" t="n"/>
      <c r="S5804" s="12" t="inlineStr">
        <is>
          <t>Duct bank</t>
        </is>
      </c>
      <c r="T5804" s="15" t="n">
        <v>50</v>
      </c>
      <c r="U5804" s="15" t="n">
        <v>117</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K-C-0070</t>
        </is>
      </c>
      <c r="B5805" s="12" t="inlineStr">
        <is>
          <t>K</t>
        </is>
      </c>
      <c r="C5805" s="12" t="inlineStr">
        <is>
          <t>Fuel supply (adjacent market)</t>
        </is>
      </c>
      <c r="D5805" s="12" t="inlineStr">
        <is>
          <t>Solenoid to JB JB-H2 27: storage tub-SOL01: 2 x 2/C (field cables)</t>
        </is>
      </c>
      <c r="E5805" s="12" t="inlineStr"/>
      <c r="F5805" s="12" t="inlineStr">
        <is>
          <t>H2 27: storage tube bank (~40 ft tubes)</t>
        </is>
      </c>
      <c r="G5805" s="12" t="inlineStr">
        <is>
          <t>JB-H2 27: storage tub-SOL01</t>
        </is>
      </c>
      <c r="H5805" s="12" t="inlineStr">
        <is>
          <t>H2 27: storage tube bank (~40 ft tubes)</t>
        </is>
      </c>
      <c r="I5805" s="12" t="inlineStr">
        <is>
          <t>Control</t>
        </is>
      </c>
      <c r="J5805" s="12" t="inlineStr">
        <is>
          <t>ARMOR-X MC-HL 600 V control, Cu #14 AWG (Class I Div 2)</t>
        </is>
      </c>
      <c r="K5805" s="12" t="inlineStr">
        <is>
          <t>CTAX|2/C|14</t>
        </is>
      </c>
      <c r="L5805" s="12" t="inlineStr">
        <is>
          <t>2/C</t>
        </is>
      </c>
      <c r="M5805" s="12" t="inlineStr">
        <is>
          <t>14</t>
        </is>
      </c>
      <c r="N5805" s="12" t="n">
        <v>2</v>
      </c>
      <c r="O5805" s="12" t="n">
        <v>1</v>
      </c>
      <c r="P5805" s="12" t="n"/>
      <c r="Q5805" s="12" t="n"/>
      <c r="R5805" s="12" t="n"/>
      <c r="S5805" s="12" t="inlineStr">
        <is>
          <t>Tray / conduit</t>
        </is>
      </c>
      <c r="T5805" s="15" t="n">
        <v>54</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K-C-0071</t>
        </is>
      </c>
      <c r="B5806" s="12" t="inlineStr">
        <is>
          <t>K</t>
        </is>
      </c>
      <c r="C5806" s="12" t="inlineStr">
        <is>
          <t>Fuel supply (adjacent market)</t>
        </is>
      </c>
      <c r="D5806" s="12" t="inlineStr">
        <is>
          <t>Home run JB-H2 27: storage tub-SOL01 to the control / marshalling room</t>
        </is>
      </c>
      <c r="E5806" s="12" t="inlineStr"/>
      <c r="F5806" s="12" t="inlineStr">
        <is>
          <t>H2 20: 13.8 kV e-house</t>
        </is>
      </c>
      <c r="G5806" s="12" t="inlineStr">
        <is>
          <t>JB-H2 27: storage tub-SOL01</t>
        </is>
      </c>
      <c r="H5806" s="12" t="inlineStr">
        <is>
          <t>H2 27: storage tube bank (~40 ft tubes)</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50</v>
      </c>
      <c r="U5806" s="15" t="n">
        <v>117</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K-C-0072</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28: N2 purge supply</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53</v>
      </c>
      <c r="U5807" s="15" t="n">
        <v>36</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K-C-0073</t>
        </is>
      </c>
      <c r="B5808" s="12" t="inlineStr">
        <is>
          <t>K</t>
        </is>
      </c>
      <c r="C5808" s="12" t="inlineStr">
        <is>
          <t>Fuel supply (adjacent market)</t>
        </is>
      </c>
      <c r="D5808" s="12" t="inlineStr">
        <is>
          <t>Solenoid to JB JB-H2 28: N2 purge su-SOL01: 2 x 2/C (field cables)</t>
        </is>
      </c>
      <c r="E5808" s="12" t="inlineStr"/>
      <c r="F5808" s="12" t="inlineStr">
        <is>
          <t>H2 28: N2 purge supply</t>
        </is>
      </c>
      <c r="G5808" s="12" t="inlineStr">
        <is>
          <t>JB-H2 28: N2 purge su-SOL01</t>
        </is>
      </c>
      <c r="H5808" s="12" t="inlineStr">
        <is>
          <t>H2 28: N2 purge supply</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5" t="n">
        <v>56</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K-C-0074</t>
        </is>
      </c>
      <c r="B5809" s="12" t="inlineStr">
        <is>
          <t>K</t>
        </is>
      </c>
      <c r="C5809" s="12" t="inlineStr">
        <is>
          <t>Fuel supply (adjacent market)</t>
        </is>
      </c>
      <c r="D5809" s="12" t="inlineStr">
        <is>
          <t>Home run JB-H2 28: N2 purge su-SOL01 to the control / marshalling room</t>
        </is>
      </c>
      <c r="E5809" s="12" t="inlineStr"/>
      <c r="F5809" s="12" t="inlineStr">
        <is>
          <t>H2 20: 13.8 kV e-house</t>
        </is>
      </c>
      <c r="G5809" s="12" t="inlineStr">
        <is>
          <t>JB-H2 28: N2 purge su-SOL01</t>
        </is>
      </c>
      <c r="H5809" s="12" t="inlineStr">
        <is>
          <t>H2 28: N2 purge supply</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5" t="n">
        <v>53</v>
      </c>
      <c r="U5809" s="15" t="n">
        <v>36</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K-C-0075</t>
        </is>
      </c>
      <c r="B5810" s="12" t="inlineStr">
        <is>
          <t>K</t>
        </is>
      </c>
      <c r="C5810" s="12" t="inlineStr">
        <is>
          <t>Fuel supply (adjacent market)</t>
        </is>
      </c>
      <c r="D5810" s="12" t="inlineStr">
        <is>
          <t>Motor 1 of 1: control / local station</t>
        </is>
      </c>
      <c r="E5810" s="12" t="inlineStr"/>
      <c r="F5810" s="12" t="inlineStr">
        <is>
          <t>H2 20: 13.8 kV e-house</t>
        </is>
      </c>
      <c r="G5810" s="12" t="inlineStr"/>
      <c r="H5810" s="12" t="inlineStr">
        <is>
          <t>H2 29: vent stack</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5" t="n">
        <v>55</v>
      </c>
      <c r="U5810" s="15" t="n">
        <v>205</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K-C-0076</t>
        </is>
      </c>
      <c r="B5811" s="12" t="inlineStr">
        <is>
          <t>K</t>
        </is>
      </c>
      <c r="C5811" s="12" t="inlineStr">
        <is>
          <t>Fuel supply (adjacent market)</t>
        </is>
      </c>
      <c r="D5811" s="12" t="inlineStr">
        <is>
          <t>Solenoid to JB JB-H2 29: vent stack-SOL01: 2 x 2/C (field cables)</t>
        </is>
      </c>
      <c r="E5811" s="12" t="inlineStr"/>
      <c r="F5811" s="12" t="inlineStr">
        <is>
          <t>H2 29: vent stack</t>
        </is>
      </c>
      <c r="G5811" s="12" t="inlineStr">
        <is>
          <t>JB-H2 29: vent stack-SOL01</t>
        </is>
      </c>
      <c r="H5811" s="12" t="inlineStr">
        <is>
          <t>H2 29: vent stack</t>
        </is>
      </c>
      <c r="I5811" s="12" t="inlineStr">
        <is>
          <t>Control</t>
        </is>
      </c>
      <c r="J5811" s="12" t="inlineStr">
        <is>
          <t>ARMOR-X MC-HL 600 V control, Cu #14 AWG (Class I Div 2)</t>
        </is>
      </c>
      <c r="K5811" s="12" t="inlineStr">
        <is>
          <t>CTAX|2/C|14</t>
        </is>
      </c>
      <c r="L5811" s="12" t="inlineStr">
        <is>
          <t>2/C</t>
        </is>
      </c>
      <c r="M5811" s="12" t="inlineStr">
        <is>
          <t>14</t>
        </is>
      </c>
      <c r="N5811" s="12" t="n">
        <v>2</v>
      </c>
      <c r="O5811" s="12" t="n">
        <v>1</v>
      </c>
      <c r="P5811" s="12" t="n"/>
      <c r="Q5811" s="12" t="n"/>
      <c r="R5811" s="12" t="n"/>
      <c r="S5811" s="12" t="inlineStr">
        <is>
          <t>Tray / conduit</t>
        </is>
      </c>
      <c r="T5811" s="15" t="n">
        <v>45</v>
      </c>
      <c r="U5811" s="15" t="n">
        <v>10</v>
      </c>
      <c r="V5811" s="15">
        <f>ROUNDUP((T5811+U5811+2*'Read Me'!$B$13)*(1+'Read Me'!$B$12),-1)</f>
        <v/>
      </c>
      <c r="W5811" s="15">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K-C-0077</t>
        </is>
      </c>
      <c r="B5812" s="12" t="inlineStr">
        <is>
          <t>K</t>
        </is>
      </c>
      <c r="C5812" s="12" t="inlineStr">
        <is>
          <t>Fuel supply (adjacent market)</t>
        </is>
      </c>
      <c r="D5812" s="12" t="inlineStr">
        <is>
          <t>Home run JB-H2 29: vent stack-SOL01 to the control / marshalling room</t>
        </is>
      </c>
      <c r="E5812" s="12" t="inlineStr"/>
      <c r="F5812" s="12" t="inlineStr">
        <is>
          <t>H2 20: 13.8 kV e-house</t>
        </is>
      </c>
      <c r="G5812" s="12" t="inlineStr">
        <is>
          <t>JB-H2 29: vent stack-SOL01</t>
        </is>
      </c>
      <c r="H5812" s="12" t="inlineStr">
        <is>
          <t>H2 29: vent stack</t>
        </is>
      </c>
      <c r="I5812" s="12" t="inlineStr">
        <is>
          <t>Control</t>
        </is>
      </c>
      <c r="J5812" s="12" t="inlineStr">
        <is>
          <t>ARMOR-X MC-HL 600 V control, Cu #14 AWG (Class I Div 2)</t>
        </is>
      </c>
      <c r="K5812" s="12" t="inlineStr">
        <is>
          <t>CTAX|25/C|14</t>
        </is>
      </c>
      <c r="L5812" s="12" t="inlineStr">
        <is>
          <t>25/C</t>
        </is>
      </c>
      <c r="M5812" s="12" t="inlineStr">
        <is>
          <t>14</t>
        </is>
      </c>
      <c r="N5812" s="12" t="n">
        <v>1</v>
      </c>
      <c r="O5812" s="12" t="n">
        <v>1</v>
      </c>
      <c r="P5812" s="12" t="n"/>
      <c r="Q5812" s="12" t="n"/>
      <c r="R5812" s="12" t="n"/>
      <c r="S5812" s="12" t="inlineStr">
        <is>
          <t>Duct bank</t>
        </is>
      </c>
      <c r="T5812" s="15" t="n">
        <v>55</v>
      </c>
      <c r="U5812" s="15" t="n">
        <v>205</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K-C-0078</t>
        </is>
      </c>
      <c r="B5813" s="12" t="inlineStr">
        <is>
          <t>K</t>
        </is>
      </c>
      <c r="C5813" s="12" t="inlineStr">
        <is>
          <t>Fuel supply (adjacent market)</t>
        </is>
      </c>
      <c r="D5813" s="12" t="inlineStr">
        <is>
          <t>Motor 1 of 1: control / local station</t>
        </is>
      </c>
      <c r="E5813" s="12" t="inlineStr"/>
      <c r="F5813" s="12" t="inlineStr">
        <is>
          <t>LNG 17: LNG e-house (13.8 kV / 480 V)</t>
        </is>
      </c>
      <c r="G5813" s="12" t="inlineStr"/>
      <c r="H5813" s="12" t="inlineStr">
        <is>
          <t>H2 30: H2 / gas blending station (plant gas yard)</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994</v>
      </c>
      <c r="U5813" s="15" t="n">
        <v>114</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K-C-0079</t>
        </is>
      </c>
      <c r="B5814" s="12" t="inlineStr">
        <is>
          <t>K</t>
        </is>
      </c>
      <c r="C5814" s="12" t="inlineStr">
        <is>
          <t>Fuel supply (adjacent market)</t>
        </is>
      </c>
      <c r="D5814" s="12" t="inlineStr">
        <is>
          <t>Solenoid to JB JB-H2 30: H2 / gas bl-SOL01: 2 x 2/C (field cables)</t>
        </is>
      </c>
      <c r="E5814" s="12" t="inlineStr"/>
      <c r="F5814" s="12" t="inlineStr">
        <is>
          <t>H2 30: H2 / gas blending station (plant gas yard)</t>
        </is>
      </c>
      <c r="G5814" s="12" t="inlineStr">
        <is>
          <t>JB-H2 30: H2 / gas bl-SOL01</t>
        </is>
      </c>
      <c r="H5814" s="12" t="inlineStr">
        <is>
          <t>H2 30: H2 / gas blending station (plant gas yard)</t>
        </is>
      </c>
      <c r="I5814" s="12" t="inlineStr">
        <is>
          <t>Control</t>
        </is>
      </c>
      <c r="J5814" s="12" t="inlineStr">
        <is>
          <t>ARMOR-X MC-HL 600 V control, Cu #14 AWG (Class I Div 2)</t>
        </is>
      </c>
      <c r="K5814" s="12" t="inlineStr">
        <is>
          <t>CTAX|2/C|14</t>
        </is>
      </c>
      <c r="L5814" s="12" t="inlineStr">
        <is>
          <t>2/C</t>
        </is>
      </c>
      <c r="M5814" s="12" t="inlineStr">
        <is>
          <t>14</t>
        </is>
      </c>
      <c r="N5814" s="12" t="n">
        <v>2</v>
      </c>
      <c r="O5814" s="12" t="n">
        <v>1</v>
      </c>
      <c r="P5814" s="12" t="n"/>
      <c r="Q5814" s="12" t="n"/>
      <c r="R5814" s="12" t="n"/>
      <c r="S5814" s="12" t="inlineStr">
        <is>
          <t>Tray / conduit</t>
        </is>
      </c>
      <c r="T5814" s="15" t="n">
        <v>129</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K-C-0080</t>
        </is>
      </c>
      <c r="B5815" s="12" t="inlineStr">
        <is>
          <t>K</t>
        </is>
      </c>
      <c r="C5815" s="12" t="inlineStr">
        <is>
          <t>Fuel supply (adjacent market)</t>
        </is>
      </c>
      <c r="D5815" s="12" t="inlineStr">
        <is>
          <t>Home run JB-H2 30: H2 / gas bl-SOL01 to the control / marshalling room</t>
        </is>
      </c>
      <c r="E5815" s="12" t="inlineStr"/>
      <c r="F5815" s="12" t="inlineStr">
        <is>
          <t>LNG 17: LNG e-house (13.8 kV / 480 V)</t>
        </is>
      </c>
      <c r="G5815" s="12" t="inlineStr">
        <is>
          <t>JB-H2 30: H2 / gas bl-SOL01</t>
        </is>
      </c>
      <c r="H5815" s="12" t="inlineStr">
        <is>
          <t>H2 30: H2 / gas blending station (plant gas yard)</t>
        </is>
      </c>
      <c r="I5815" s="12" t="inlineStr">
        <is>
          <t>Control</t>
        </is>
      </c>
      <c r="J5815" s="12" t="inlineStr">
        <is>
          <t>ARMOR-X MC-HL 600 V control, Cu #14 AWG (Class I Div 2)</t>
        </is>
      </c>
      <c r="K5815" s="12" t="inlineStr">
        <is>
          <t>CTAX|25/C|14</t>
        </is>
      </c>
      <c r="L5815" s="12" t="inlineStr">
        <is>
          <t>25/C</t>
        </is>
      </c>
      <c r="M5815" s="12" t="inlineStr">
        <is>
          <t>14</t>
        </is>
      </c>
      <c r="N5815" s="12" t="n">
        <v>1</v>
      </c>
      <c r="O5815" s="12" t="n">
        <v>1</v>
      </c>
      <c r="P5815" s="12" t="n"/>
      <c r="Q5815" s="12" t="n"/>
      <c r="R5815" s="12" t="n"/>
      <c r="S5815" s="12" t="inlineStr">
        <is>
          <t>Duct bank</t>
        </is>
      </c>
      <c r="T5815" s="15" t="n">
        <v>994</v>
      </c>
      <c r="U5815" s="15" t="n">
        <v>114</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K-C-0081</t>
        </is>
      </c>
      <c r="B5816" s="12" t="inlineStr">
        <is>
          <t>K</t>
        </is>
      </c>
      <c r="C5816" s="12" t="inlineStr">
        <is>
          <t>Fuel supply (adjacent market)</t>
        </is>
      </c>
      <c r="D5816" s="12" t="inlineStr">
        <is>
          <t>Motor 1 of 2: control / local station</t>
        </is>
      </c>
      <c r="E5816" s="12" t="inlineStr"/>
      <c r="F5816" s="12" t="inlineStr">
        <is>
          <t>H2 20: 13.8 kV e-house</t>
        </is>
      </c>
      <c r="G5816" s="12" t="inlineStr"/>
      <c r="H5816" s="12" t="inlineStr">
        <is>
          <t>H2 pipe track and cable trench, hall -&gt; dryer / compressors (N2, instr</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53</v>
      </c>
      <c r="U5816" s="15" t="n">
        <v>62</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K-C-0082</t>
        </is>
      </c>
      <c r="B5817" s="12" t="inlineStr">
        <is>
          <t>K</t>
        </is>
      </c>
      <c r="C5817" s="12" t="inlineStr">
        <is>
          <t>Fuel supply (adjacent market)</t>
        </is>
      </c>
      <c r="D5817" s="12" t="inlineStr">
        <is>
          <t>Motor 2 of 2: control / local station</t>
        </is>
      </c>
      <c r="E5817" s="12" t="inlineStr"/>
      <c r="F5817" s="12" t="inlineStr">
        <is>
          <t>H2 20: 13.8 kV e-house</t>
        </is>
      </c>
      <c r="G5817" s="12" t="inlineStr"/>
      <c r="H5817" s="12" t="inlineStr">
        <is>
          <t>H2 pipe track and cable trench, hall -&gt; dryer / compressors (N2, instr</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53</v>
      </c>
      <c r="U5817" s="15" t="n">
        <v>62</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K-C-0083</t>
        </is>
      </c>
      <c r="B5818" s="12" t="inlineStr">
        <is>
          <t>K</t>
        </is>
      </c>
      <c r="C5818" s="12" t="inlineStr">
        <is>
          <t>Fuel supply (adjacent market)</t>
        </is>
      </c>
      <c r="D5818" s="12" t="inlineStr">
        <is>
          <t>Control</t>
        </is>
      </c>
      <c r="E5818" s="12" t="inlineStr"/>
      <c r="F5818" s="12" t="inlineStr">
        <is>
          <t>H2 20: 13.8 kV e-house</t>
        </is>
      </c>
      <c r="G5818" s="12" t="inlineStr">
        <is>
          <t>H2-ST</t>
        </is>
      </c>
      <c r="H5818" s="12" t="inlineStr">
        <is>
          <t>H2 storage tube banks x4</t>
        </is>
      </c>
      <c r="I5818" s="12" t="inlineStr">
        <is>
          <t>Control</t>
        </is>
      </c>
      <c r="J5818" s="12" t="inlineStr">
        <is>
          <t>ARMOR-X MC-HL 600 V control, Cu #14 AWG (Class I Div 2)</t>
        </is>
      </c>
      <c r="K5818" s="12" t="inlineStr">
        <is>
          <t>CTAX|7/C|14</t>
        </is>
      </c>
      <c r="L5818" s="12" t="inlineStr">
        <is>
          <t>7/C</t>
        </is>
      </c>
      <c r="M5818" s="12" t="inlineStr">
        <is>
          <t>14</t>
        </is>
      </c>
      <c r="N5818" s="12" t="n">
        <v>1</v>
      </c>
      <c r="O5818" s="12" t="n">
        <v>1</v>
      </c>
      <c r="P5818" s="12" t="n"/>
      <c r="Q5818" s="12" t="n"/>
      <c r="R5818" s="12" t="n"/>
      <c r="S5818" s="12" t="inlineStr">
        <is>
          <t>Duct bank</t>
        </is>
      </c>
      <c r="T5818" s="15" t="n">
        <v>50</v>
      </c>
      <c r="U5818" s="15" t="n">
        <v>92</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K-C-0084</t>
        </is>
      </c>
      <c r="B5819" s="12" t="inlineStr">
        <is>
          <t>K</t>
        </is>
      </c>
      <c r="C5819" s="12" t="inlineStr">
        <is>
          <t>Fuel supply (adjacent market)</t>
        </is>
      </c>
      <c r="D5819" s="12" t="inlineStr">
        <is>
          <t>Motor 1 of 1: control / local station</t>
        </is>
      </c>
      <c r="E5819" s="12" t="inlineStr"/>
      <c r="F5819" s="12" t="inlineStr">
        <is>
          <t>LNG 17: LNG e-house (13.8 kV / 480 V)</t>
        </is>
      </c>
      <c r="G5819" s="12" t="inlineStr"/>
      <c r="H5819" s="12" t="inlineStr">
        <is>
          <t>LNG 10: truck unloading bay 1</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237</v>
      </c>
      <c r="U5819" s="15" t="n">
        <v>61</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K-C-0085</t>
        </is>
      </c>
      <c r="B5820" s="12" t="inlineStr">
        <is>
          <t>K</t>
        </is>
      </c>
      <c r="C5820" s="12" t="inlineStr">
        <is>
          <t>Fuel supply (adjacent market)</t>
        </is>
      </c>
      <c r="D5820" s="12" t="inlineStr">
        <is>
          <t>Solenoid to JB JB-LNG 10: truck unlo-SOL01: 2 x 2/C (field cables)</t>
        </is>
      </c>
      <c r="E5820" s="12" t="inlineStr"/>
      <c r="F5820" s="12" t="inlineStr">
        <is>
          <t>LNG 10: truck unloading bay 1</t>
        </is>
      </c>
      <c r="G5820" s="12" t="inlineStr">
        <is>
          <t>JB-LNG 10: truck unlo-SOL01</t>
        </is>
      </c>
      <c r="H5820" s="12" t="inlineStr">
        <is>
          <t>LNG 10: truck unloading bay 1</t>
        </is>
      </c>
      <c r="I5820" s="12" t="inlineStr">
        <is>
          <t>Control</t>
        </is>
      </c>
      <c r="J5820" s="12" t="inlineStr">
        <is>
          <t>ARMOR-X MC-HL 600 V control, Cu #14 AWG (Class I Div 2)</t>
        </is>
      </c>
      <c r="K5820" s="12" t="inlineStr">
        <is>
          <t>CTAX|2/C|14</t>
        </is>
      </c>
      <c r="L5820" s="12" t="inlineStr">
        <is>
          <t>2/C</t>
        </is>
      </c>
      <c r="M5820" s="12" t="inlineStr">
        <is>
          <t>14</t>
        </is>
      </c>
      <c r="N5820" s="12" t="n">
        <v>2</v>
      </c>
      <c r="O5820" s="12" t="n">
        <v>1</v>
      </c>
      <c r="P5820" s="12" t="n"/>
      <c r="Q5820" s="12" t="n"/>
      <c r="R5820" s="12" t="n"/>
      <c r="S5820" s="12" t="inlineStr">
        <is>
          <t>Tray / conduit</t>
        </is>
      </c>
      <c r="T5820" s="15" t="n">
        <v>80</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K-C-0086</t>
        </is>
      </c>
      <c r="B5821" s="12" t="inlineStr">
        <is>
          <t>K</t>
        </is>
      </c>
      <c r="C5821" s="12" t="inlineStr">
        <is>
          <t>Fuel supply (adjacent market)</t>
        </is>
      </c>
      <c r="D5821" s="12" t="inlineStr">
        <is>
          <t>Home run JB-LNG 10: truck unlo-SOL01 to the control / marshalling room</t>
        </is>
      </c>
      <c r="E5821" s="12" t="inlineStr"/>
      <c r="F5821" s="12" t="inlineStr">
        <is>
          <t>LNG 17: LNG e-house (13.8 kV / 480 V)</t>
        </is>
      </c>
      <c r="G5821" s="12" t="inlineStr">
        <is>
          <t>JB-LNG 10: truck unlo-SOL01</t>
        </is>
      </c>
      <c r="H5821" s="12" t="inlineStr">
        <is>
          <t>LNG 10: truck unloading bay 1</t>
        </is>
      </c>
      <c r="I5821" s="12" t="inlineStr">
        <is>
          <t>Control</t>
        </is>
      </c>
      <c r="J5821" s="12" t="inlineStr">
        <is>
          <t>ARMOR-X MC-HL 600 V control, Cu #14 AWG (Class I Div 2)</t>
        </is>
      </c>
      <c r="K5821" s="12" t="inlineStr">
        <is>
          <t>CTAX|25/C|14</t>
        </is>
      </c>
      <c r="L5821" s="12" t="inlineStr">
        <is>
          <t>25/C</t>
        </is>
      </c>
      <c r="M5821" s="12" t="inlineStr">
        <is>
          <t>14</t>
        </is>
      </c>
      <c r="N5821" s="12" t="n">
        <v>1</v>
      </c>
      <c r="O5821" s="12" t="n">
        <v>1</v>
      </c>
      <c r="P5821" s="12" t="n"/>
      <c r="Q5821" s="12" t="n"/>
      <c r="R5821" s="12" t="n"/>
      <c r="S5821" s="12" t="inlineStr">
        <is>
          <t>Duct bank</t>
        </is>
      </c>
      <c r="T5821" s="15" t="n">
        <v>237</v>
      </c>
      <c r="U5821" s="15" t="n">
        <v>61</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K-C-0087</t>
        </is>
      </c>
      <c r="B5822" s="12" t="inlineStr">
        <is>
          <t>K</t>
        </is>
      </c>
      <c r="C5822" s="12" t="inlineStr">
        <is>
          <t>Fuel supply (adjacent market)</t>
        </is>
      </c>
      <c r="D5822" s="12" t="inlineStr">
        <is>
          <t>Motor 1 of 1: control / local station</t>
        </is>
      </c>
      <c r="E5822" s="12" t="inlineStr"/>
      <c r="F5822" s="12" t="inlineStr">
        <is>
          <t>LNG 17: LNG e-house (13.8 kV / 480 V)</t>
        </is>
      </c>
      <c r="G5822" s="12" t="inlineStr"/>
      <c r="H5822" s="12" t="inlineStr">
        <is>
          <t>LNG 10: truck unloading bay 2</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147</v>
      </c>
      <c r="U5822" s="15" t="n">
        <v>66</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K-C-0088</t>
        </is>
      </c>
      <c r="B5823" s="12" t="inlineStr">
        <is>
          <t>K</t>
        </is>
      </c>
      <c r="C5823" s="12" t="inlineStr">
        <is>
          <t>Fuel supply (adjacent market)</t>
        </is>
      </c>
      <c r="D5823" s="12" t="inlineStr">
        <is>
          <t>Solenoid to JB JB-LNG 10: truck unlo-SOL01: 2 x 2/C (field cables)</t>
        </is>
      </c>
      <c r="E5823" s="12" t="inlineStr"/>
      <c r="F5823" s="12" t="inlineStr">
        <is>
          <t>LNG 10: truck unloading bay 2</t>
        </is>
      </c>
      <c r="G5823" s="12" t="inlineStr">
        <is>
          <t>JB-LNG 10: truck unlo-SOL01</t>
        </is>
      </c>
      <c r="H5823" s="12" t="inlineStr">
        <is>
          <t>LNG 10: truck unloading bay 2</t>
        </is>
      </c>
      <c r="I5823" s="12" t="inlineStr">
        <is>
          <t>Control</t>
        </is>
      </c>
      <c r="J5823" s="12" t="inlineStr">
        <is>
          <t>ARMOR-X MC-HL 600 V control, Cu #14 AWG (Class I Div 2)</t>
        </is>
      </c>
      <c r="K5823" s="12" t="inlineStr">
        <is>
          <t>CTAX|2/C|14</t>
        </is>
      </c>
      <c r="L5823" s="12" t="inlineStr">
        <is>
          <t>2/C</t>
        </is>
      </c>
      <c r="M5823" s="12" t="inlineStr">
        <is>
          <t>14</t>
        </is>
      </c>
      <c r="N5823" s="12" t="n">
        <v>2</v>
      </c>
      <c r="O5823" s="12" t="n">
        <v>1</v>
      </c>
      <c r="P5823" s="12" t="n"/>
      <c r="Q5823" s="12" t="n"/>
      <c r="R5823" s="12" t="n"/>
      <c r="S5823" s="12" t="inlineStr">
        <is>
          <t>Tray / conduit</t>
        </is>
      </c>
      <c r="T5823" s="15" t="n">
        <v>80</v>
      </c>
      <c r="U5823" s="15" t="n">
        <v>10</v>
      </c>
      <c r="V5823" s="15">
        <f>ROUNDUP((T5823+U5823+2*'Read Me'!$B$13)*(1+'Read Me'!$B$12),-1)</f>
        <v/>
      </c>
      <c r="W5823" s="15">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K-C-0089</t>
        </is>
      </c>
      <c r="B5824" s="12" t="inlineStr">
        <is>
          <t>K</t>
        </is>
      </c>
      <c r="C5824" s="12" t="inlineStr">
        <is>
          <t>Fuel supply (adjacent market)</t>
        </is>
      </c>
      <c r="D5824" s="12" t="inlineStr">
        <is>
          <t>Home run JB-LNG 10: truck unlo-SOL01 to the control / marshalling room</t>
        </is>
      </c>
      <c r="E5824" s="12" t="inlineStr"/>
      <c r="F5824" s="12" t="inlineStr">
        <is>
          <t>LNG 17: LNG e-house (13.8 kV / 480 V)</t>
        </is>
      </c>
      <c r="G5824" s="12" t="inlineStr">
        <is>
          <t>JB-LNG 10: truck unlo-SOL01</t>
        </is>
      </c>
      <c r="H5824" s="12" t="inlineStr">
        <is>
          <t>LNG 10: truck unloading bay 2</t>
        </is>
      </c>
      <c r="I5824" s="12" t="inlineStr">
        <is>
          <t>Control</t>
        </is>
      </c>
      <c r="J5824" s="12" t="inlineStr">
        <is>
          <t>ARMOR-X MC-HL 600 V control, Cu #14 AWG (Class I Div 2)</t>
        </is>
      </c>
      <c r="K5824" s="12" t="inlineStr">
        <is>
          <t>CTAX|25/C|14</t>
        </is>
      </c>
      <c r="L5824" s="12" t="inlineStr">
        <is>
          <t>25/C</t>
        </is>
      </c>
      <c r="M5824" s="12" t="inlineStr">
        <is>
          <t>14</t>
        </is>
      </c>
      <c r="N5824" s="12" t="n">
        <v>1</v>
      </c>
      <c r="O5824" s="12" t="n">
        <v>1</v>
      </c>
      <c r="P5824" s="12" t="n"/>
      <c r="Q5824" s="12" t="n"/>
      <c r="R5824" s="12" t="n"/>
      <c r="S5824" s="12" t="inlineStr">
        <is>
          <t>Duct bank</t>
        </is>
      </c>
      <c r="T5824" s="15" t="n">
        <v>147</v>
      </c>
      <c r="U5824" s="15" t="n">
        <v>66</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K-C-0090</t>
        </is>
      </c>
      <c r="B5825" s="12" t="inlineStr">
        <is>
          <t>K</t>
        </is>
      </c>
      <c r="C5825" s="12" t="inlineStr">
        <is>
          <t>Fuel supply (adjacent market)</t>
        </is>
      </c>
      <c r="D5825" s="12" t="inlineStr">
        <is>
          <t>Motor 1 of 1: control / local station</t>
        </is>
      </c>
      <c r="E5825" s="12" t="inlineStr"/>
      <c r="F5825" s="12" t="inlineStr">
        <is>
          <t>LNG 17: LNG e-house (13.8 kV / 480 V)</t>
        </is>
      </c>
      <c r="G5825" s="12" t="inlineStr"/>
      <c r="H5825" s="12" t="inlineStr">
        <is>
          <t>LNG 10: unloading skid</t>
        </is>
      </c>
      <c r="I5825" s="12" t="inlineStr">
        <is>
          <t>Control</t>
        </is>
      </c>
      <c r="J5825" s="12" t="inlineStr">
        <is>
          <t>ARMOR-X MC-HL 600 V control, Cu #14 AWG (Class I Div 2)</t>
        </is>
      </c>
      <c r="K5825" s="12" t="inlineStr">
        <is>
          <t>CTAX|7/C|14</t>
        </is>
      </c>
      <c r="L5825" s="12" t="inlineStr">
        <is>
          <t>7/C</t>
        </is>
      </c>
      <c r="M5825" s="12" t="inlineStr">
        <is>
          <t>14</t>
        </is>
      </c>
      <c r="N5825" s="12" t="n">
        <v>1</v>
      </c>
      <c r="O5825" s="12" t="n">
        <v>1</v>
      </c>
      <c r="P5825" s="12" t="n"/>
      <c r="Q5825" s="12" t="n"/>
      <c r="R5825" s="12" t="n"/>
      <c r="S5825" s="12" t="inlineStr">
        <is>
          <t>Duct bank</t>
        </is>
      </c>
      <c r="T5825" s="15" t="n">
        <v>237</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K-C-0091</t>
        </is>
      </c>
      <c r="B5826" s="12" t="inlineStr">
        <is>
          <t>K</t>
        </is>
      </c>
      <c r="C5826" s="12" t="inlineStr">
        <is>
          <t>Fuel supply (adjacent market)</t>
        </is>
      </c>
      <c r="D5826" s="12" t="inlineStr">
        <is>
          <t>Solenoid to JB JB-LNG 10: unloading -SOL01: 2 x 2/C (field cables)</t>
        </is>
      </c>
      <c r="E5826" s="12" t="inlineStr"/>
      <c r="F5826" s="12" t="inlineStr">
        <is>
          <t>LNG 10: unloading skid</t>
        </is>
      </c>
      <c r="G5826" s="12" t="inlineStr">
        <is>
          <t>JB-LNG 10: unloading -SOL01</t>
        </is>
      </c>
      <c r="H5826" s="12" t="inlineStr">
        <is>
          <t>LNG 10: unloading skid</t>
        </is>
      </c>
      <c r="I5826" s="12" t="inlineStr">
        <is>
          <t>Control</t>
        </is>
      </c>
      <c r="J5826" s="12" t="inlineStr">
        <is>
          <t>ARMOR-X MC-HL 600 V control, Cu #14 AWG (Class I Div 2)</t>
        </is>
      </c>
      <c r="K5826" s="12" t="inlineStr">
        <is>
          <t>CTAX|2/C|14</t>
        </is>
      </c>
      <c r="L5826" s="12" t="inlineStr">
        <is>
          <t>2/C</t>
        </is>
      </c>
      <c r="M5826" s="12" t="inlineStr">
        <is>
          <t>14</t>
        </is>
      </c>
      <c r="N5826" s="12" t="n">
        <v>2</v>
      </c>
      <c r="O5826" s="12" t="n">
        <v>1</v>
      </c>
      <c r="P5826" s="12" t="n"/>
      <c r="Q5826" s="12" t="n"/>
      <c r="R5826" s="12" t="n"/>
      <c r="S5826" s="12" t="inlineStr">
        <is>
          <t>Tray / conduit</t>
        </is>
      </c>
      <c r="T5826" s="15" t="n">
        <v>54</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K-C-0092</t>
        </is>
      </c>
      <c r="B5827" s="12" t="inlineStr">
        <is>
          <t>K</t>
        </is>
      </c>
      <c r="C5827" s="12" t="inlineStr">
        <is>
          <t>Fuel supply (adjacent market)</t>
        </is>
      </c>
      <c r="D5827" s="12" t="inlineStr">
        <is>
          <t>Home run JB-LNG 10: unloading -SOL01 to the control / marshalling room</t>
        </is>
      </c>
      <c r="E5827" s="12" t="inlineStr"/>
      <c r="F5827" s="12" t="inlineStr">
        <is>
          <t>LNG 17: LNG e-house (13.8 kV / 480 V)</t>
        </is>
      </c>
      <c r="G5827" s="12" t="inlineStr">
        <is>
          <t>JB-LNG 10: unloading -SOL01</t>
        </is>
      </c>
      <c r="H5827" s="12" t="inlineStr">
        <is>
          <t>LNG 10: unloading skid</t>
        </is>
      </c>
      <c r="I5827" s="12" t="inlineStr">
        <is>
          <t>Control</t>
        </is>
      </c>
      <c r="J5827" s="12" t="inlineStr">
        <is>
          <t>ARMOR-X MC-HL 600 V control, Cu #14 AWG (Class I Div 2)</t>
        </is>
      </c>
      <c r="K5827" s="12" t="inlineStr">
        <is>
          <t>CTAX|25/C|14</t>
        </is>
      </c>
      <c r="L5827" s="12" t="inlineStr">
        <is>
          <t>25/C</t>
        </is>
      </c>
      <c r="M5827" s="12" t="inlineStr">
        <is>
          <t>14</t>
        </is>
      </c>
      <c r="N5827" s="12" t="n">
        <v>1</v>
      </c>
      <c r="O5827" s="12" t="n">
        <v>1</v>
      </c>
      <c r="P5827" s="12" t="n"/>
      <c r="Q5827" s="12" t="n"/>
      <c r="R5827" s="12" t="n"/>
      <c r="S5827" s="12" t="inlineStr">
        <is>
          <t>Duct bank</t>
        </is>
      </c>
      <c r="T5827" s="15" t="n">
        <v>237</v>
      </c>
      <c r="U5827" s="15" t="n">
        <v>32</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K-C-0093</t>
        </is>
      </c>
      <c r="B5828" s="12" t="inlineStr">
        <is>
          <t>K</t>
        </is>
      </c>
      <c r="C5828" s="12" t="inlineStr">
        <is>
          <t>Fuel supply (adjacent market)</t>
        </is>
      </c>
      <c r="D5828" s="12" t="inlineStr">
        <is>
          <t>Motor 1 of 1: control / local station</t>
        </is>
      </c>
      <c r="E5828" s="12" t="inlineStr"/>
      <c r="F5828" s="12" t="inlineStr">
        <is>
          <t>LNG 17: LNG e-house (13.8 kV / 480 V)</t>
        </is>
      </c>
      <c r="G5828" s="12" t="inlineStr"/>
      <c r="H5828" s="12" t="inlineStr">
        <is>
          <t>LNG 12: spill impoundment (NFPA 59A, to verify)</t>
        </is>
      </c>
      <c r="I5828" s="12" t="inlineStr">
        <is>
          <t>Control</t>
        </is>
      </c>
      <c r="J5828" s="12" t="inlineStr">
        <is>
          <t>ARMOR-X MC-HL 600 V control, Cu #14 AWG (Class I Div 2)</t>
        </is>
      </c>
      <c r="K5828" s="12" t="inlineStr">
        <is>
          <t>CTAX|7/C|14</t>
        </is>
      </c>
      <c r="L5828" s="12" t="inlineStr">
        <is>
          <t>7/C</t>
        </is>
      </c>
      <c r="M5828" s="12" t="inlineStr">
        <is>
          <t>14</t>
        </is>
      </c>
      <c r="N5828" s="12" t="n">
        <v>1</v>
      </c>
      <c r="O5828" s="12" t="n">
        <v>1</v>
      </c>
      <c r="P5828" s="12" t="n"/>
      <c r="Q5828" s="12" t="n"/>
      <c r="R5828" s="12" t="n"/>
      <c r="S5828" s="12" t="inlineStr">
        <is>
          <t>Duct bank</t>
        </is>
      </c>
      <c r="T5828" s="15" t="n">
        <v>230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K-C-0094</t>
        </is>
      </c>
      <c r="B5829" s="12" t="inlineStr">
        <is>
          <t>K</t>
        </is>
      </c>
      <c r="C5829" s="12" t="inlineStr">
        <is>
          <t>Fuel supply (adjacent market)</t>
        </is>
      </c>
      <c r="D5829" s="12" t="inlineStr">
        <is>
          <t>Solenoid to JB JB-LNG 12: spill impo-SOL01: 2 x 2/C (field cables)</t>
        </is>
      </c>
      <c r="E5829" s="12" t="inlineStr"/>
      <c r="F5829" s="12" t="inlineStr">
        <is>
          <t>LNG 12: spill impoundment (NFPA 59A, to verify)</t>
        </is>
      </c>
      <c r="G5829" s="12" t="inlineStr">
        <is>
          <t>JB-LNG 12: spill impo-SOL01</t>
        </is>
      </c>
      <c r="H5829" s="12" t="inlineStr">
        <is>
          <t>LNG 12: spill impoundment (NFPA 59A, to verify)</t>
        </is>
      </c>
      <c r="I5829" s="12" t="inlineStr">
        <is>
          <t>Control</t>
        </is>
      </c>
      <c r="J5829" s="12" t="inlineStr">
        <is>
          <t>ARMOR-X MC-HL 600 V control, Cu #14 AWG (Class I Div 2)</t>
        </is>
      </c>
      <c r="K5829" s="12" t="inlineStr">
        <is>
          <t>CTAX|2/C|14</t>
        </is>
      </c>
      <c r="L5829" s="12" t="inlineStr">
        <is>
          <t>2/C</t>
        </is>
      </c>
      <c r="M5829" s="12" t="inlineStr">
        <is>
          <t>14</t>
        </is>
      </c>
      <c r="N5829" s="12" t="n">
        <v>2</v>
      </c>
      <c r="O5829" s="12" t="n">
        <v>1</v>
      </c>
      <c r="P5829" s="12" t="n"/>
      <c r="Q5829" s="12" t="n"/>
      <c r="R5829" s="12" t="n"/>
      <c r="S5829" s="12" t="inlineStr">
        <is>
          <t>Tray / conduit</t>
        </is>
      </c>
      <c r="T5829" s="15" t="n">
        <v>170</v>
      </c>
      <c r="U5829" s="15" t="n">
        <v>10</v>
      </c>
      <c r="V5829" s="15">
        <f>ROUNDUP((T5829+U5829+2*'Read Me'!$B$13)*(1+'Read Me'!$B$12),-1)</f>
        <v/>
      </c>
      <c r="W5829" s="15">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K-C-0095</t>
        </is>
      </c>
      <c r="B5830" s="12" t="inlineStr">
        <is>
          <t>K</t>
        </is>
      </c>
      <c r="C5830" s="12" t="inlineStr">
        <is>
          <t>Fuel supply (adjacent market)</t>
        </is>
      </c>
      <c r="D5830" s="12" t="inlineStr">
        <is>
          <t>Home run JB-LNG 12: spill impo-SOL01 to the control / marshalling room</t>
        </is>
      </c>
      <c r="E5830" s="12" t="inlineStr"/>
      <c r="F5830" s="12" t="inlineStr">
        <is>
          <t>LNG 17: LNG e-house (13.8 kV / 480 V)</t>
        </is>
      </c>
      <c r="G5830" s="12" t="inlineStr">
        <is>
          <t>JB-LNG 12: spill impo-SOL01</t>
        </is>
      </c>
      <c r="H5830" s="12" t="inlineStr">
        <is>
          <t>LNG 12: spill impoundment (NFPA 59A, to verify)</t>
        </is>
      </c>
      <c r="I5830" s="12" t="inlineStr">
        <is>
          <t>Control</t>
        </is>
      </c>
      <c r="J5830" s="12" t="inlineStr">
        <is>
          <t>ARMOR-X MC-HL 600 V control, Cu #14 AWG (Class I Div 2)</t>
        </is>
      </c>
      <c r="K5830" s="12" t="inlineStr">
        <is>
          <t>CTAX|25/C|14</t>
        </is>
      </c>
      <c r="L5830" s="12" t="inlineStr">
        <is>
          <t>25/C</t>
        </is>
      </c>
      <c r="M5830" s="12" t="inlineStr">
        <is>
          <t>14</t>
        </is>
      </c>
      <c r="N5830" s="12" t="n">
        <v>1</v>
      </c>
      <c r="O5830" s="12" t="n">
        <v>1</v>
      </c>
      <c r="P5830" s="12" t="n"/>
      <c r="Q5830" s="12" t="n"/>
      <c r="R5830" s="12" t="n"/>
      <c r="S5830" s="12" t="inlineStr">
        <is>
          <t>Duct bank</t>
        </is>
      </c>
      <c r="T5830" s="15" t="n">
        <v>230</v>
      </c>
      <c r="U5830" s="15" t="n">
        <v>32</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K-C-0096</t>
        </is>
      </c>
      <c r="B5831" s="12" t="inlineStr">
        <is>
          <t>K</t>
        </is>
      </c>
      <c r="C5831" s="12" t="inlineStr">
        <is>
          <t>Fuel supply (adjacent market)</t>
        </is>
      </c>
      <c r="D5831" s="12" t="inlineStr">
        <is>
          <t>Motor 1 of 1: control / local station</t>
        </is>
      </c>
      <c r="E5831" s="12" t="inlineStr"/>
      <c r="F5831" s="12" t="inlineStr">
        <is>
          <t>LNG 17: LNG e-house (13.8 kV / 480 V)</t>
        </is>
      </c>
      <c r="G5831" s="12" t="inlineStr"/>
      <c r="H5831" s="12" t="inlineStr">
        <is>
          <t>LNG 13: send-out pumps 2 x 100%</t>
        </is>
      </c>
      <c r="I5831" s="12" t="inlineStr">
        <is>
          <t>Control</t>
        </is>
      </c>
      <c r="J5831" s="12" t="inlineStr">
        <is>
          <t>ARMOR-X MC-HL 600 V control, Cu #14 AWG (Class I Div 2)</t>
        </is>
      </c>
      <c r="K5831" s="12" t="inlineStr">
        <is>
          <t>CTAX|7/C|14</t>
        </is>
      </c>
      <c r="L5831" s="12" t="inlineStr">
        <is>
          <t>7/C</t>
        </is>
      </c>
      <c r="M5831" s="12" t="inlineStr">
        <is>
          <t>14</t>
        </is>
      </c>
      <c r="N5831" s="12" t="n">
        <v>1</v>
      </c>
      <c r="O5831" s="12" t="n">
        <v>1</v>
      </c>
      <c r="P5831" s="12" t="n"/>
      <c r="Q5831" s="12" t="n"/>
      <c r="R5831" s="12" t="n"/>
      <c r="S5831" s="12" t="inlineStr">
        <is>
          <t>Duct bank</t>
        </is>
      </c>
      <c r="T5831" s="15" t="n">
        <v>110</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K-C-0097</t>
        </is>
      </c>
      <c r="B5832" s="12" t="inlineStr">
        <is>
          <t>K</t>
        </is>
      </c>
      <c r="C5832" s="12" t="inlineStr">
        <is>
          <t>Fuel supply (adjacent market)</t>
        </is>
      </c>
      <c r="D5832" s="12" t="inlineStr">
        <is>
          <t>Solenoid to JB JB-LNG 13: send-out p-SOL01: 2 x 2/C (field cables)</t>
        </is>
      </c>
      <c r="E5832" s="12" t="inlineStr"/>
      <c r="F5832" s="12" t="inlineStr">
        <is>
          <t>LNG 13: send-out pumps 2 x 100%</t>
        </is>
      </c>
      <c r="G5832" s="12" t="inlineStr">
        <is>
          <t>JB-LNG 13: send-out p-SOL01</t>
        </is>
      </c>
      <c r="H5832" s="12" t="inlineStr">
        <is>
          <t>LNG 13: send-out pumps 2 x 100%</t>
        </is>
      </c>
      <c r="I5832" s="12" t="inlineStr">
        <is>
          <t>Control</t>
        </is>
      </c>
      <c r="J5832" s="12" t="inlineStr">
        <is>
          <t>ARMOR-X MC-HL 600 V control, Cu #14 AWG (Class I Div 2)</t>
        </is>
      </c>
      <c r="K5832" s="12" t="inlineStr">
        <is>
          <t>CTAX|2/C|14</t>
        </is>
      </c>
      <c r="L5832" s="12" t="inlineStr">
        <is>
          <t>2/C</t>
        </is>
      </c>
      <c r="M5832" s="12" t="inlineStr">
        <is>
          <t>14</t>
        </is>
      </c>
      <c r="N5832" s="12" t="n">
        <v>2</v>
      </c>
      <c r="O5832" s="12" t="n">
        <v>1</v>
      </c>
      <c r="P5832" s="12" t="n"/>
      <c r="Q5832" s="12" t="n"/>
      <c r="R5832" s="12" t="n"/>
      <c r="S5832" s="12" t="inlineStr">
        <is>
          <t>Tray / conduit</t>
        </is>
      </c>
      <c r="T5832" s="15" t="n">
        <v>63</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K-C-0098</t>
        </is>
      </c>
      <c r="B5833" s="12" t="inlineStr">
        <is>
          <t>K</t>
        </is>
      </c>
      <c r="C5833" s="12" t="inlineStr">
        <is>
          <t>Fuel supply (adjacent market)</t>
        </is>
      </c>
      <c r="D5833" s="12" t="inlineStr">
        <is>
          <t>Home run JB-LNG 13: send-out p-SOL01 to the control / marshalling room</t>
        </is>
      </c>
      <c r="E5833" s="12" t="inlineStr"/>
      <c r="F5833" s="12" t="inlineStr">
        <is>
          <t>LNG 17: LNG e-house (13.8 kV / 480 V)</t>
        </is>
      </c>
      <c r="G5833" s="12" t="inlineStr">
        <is>
          <t>JB-LNG 13: send-out p-SOL01</t>
        </is>
      </c>
      <c r="H5833" s="12" t="inlineStr">
        <is>
          <t>LNG 13: send-out pumps 2 x 100%</t>
        </is>
      </c>
      <c r="I5833" s="12" t="inlineStr">
        <is>
          <t>Control</t>
        </is>
      </c>
      <c r="J5833" s="12" t="inlineStr">
        <is>
          <t>ARMOR-X MC-HL 600 V control, Cu #14 AWG (Class I Div 2)</t>
        </is>
      </c>
      <c r="K5833" s="12" t="inlineStr">
        <is>
          <t>CTAX|25/C|14</t>
        </is>
      </c>
      <c r="L5833" s="12" t="inlineStr">
        <is>
          <t>25/C</t>
        </is>
      </c>
      <c r="M5833" s="12" t="inlineStr">
        <is>
          <t>14</t>
        </is>
      </c>
      <c r="N5833" s="12" t="n">
        <v>1</v>
      </c>
      <c r="O5833" s="12" t="n">
        <v>1</v>
      </c>
      <c r="P5833" s="12" t="n"/>
      <c r="Q5833" s="12" t="n"/>
      <c r="R5833" s="12" t="n"/>
      <c r="S5833" s="12" t="inlineStr">
        <is>
          <t>Duct bank</t>
        </is>
      </c>
      <c r="T5833" s="15" t="n">
        <v>110</v>
      </c>
      <c r="U5833" s="15" t="n">
        <v>32</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K-C-0099</t>
        </is>
      </c>
      <c r="B5834" s="12" t="inlineStr">
        <is>
          <t>K</t>
        </is>
      </c>
      <c r="C5834" s="12" t="inlineStr">
        <is>
          <t>Fuel supply (adjacent market)</t>
        </is>
      </c>
      <c r="D5834" s="12" t="inlineStr">
        <is>
          <t>Motor 1 of 1: control / local station</t>
        </is>
      </c>
      <c r="E5834" s="12" t="inlineStr"/>
      <c r="F5834" s="12" t="inlineStr">
        <is>
          <t>LNG 17: LNG e-house (13.8 kV / 480 V)</t>
        </is>
      </c>
      <c r="G5834" s="12" t="inlineStr"/>
      <c r="H5834" s="12" t="inlineStr">
        <is>
          <t>LNG 14: vaporizers + glycol heater</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259</v>
      </c>
      <c r="U5834" s="15" t="n">
        <v>32</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K-C-0100</t>
        </is>
      </c>
      <c r="B5835" s="12" t="inlineStr">
        <is>
          <t>K</t>
        </is>
      </c>
      <c r="C5835" s="12" t="inlineStr">
        <is>
          <t>Fuel supply (adjacent market)</t>
        </is>
      </c>
      <c r="D5835" s="12" t="inlineStr">
        <is>
          <t>Solenoid to JB JB-LNG 14: vaporizers-SOL01: 2 x 2/C (field cables)</t>
        </is>
      </c>
      <c r="E5835" s="12" t="inlineStr"/>
      <c r="F5835" s="12" t="inlineStr">
        <is>
          <t>LNG 14: vaporizers + glycol heater</t>
        </is>
      </c>
      <c r="G5835" s="12" t="inlineStr">
        <is>
          <t>JB-LNG 14: vaporizers-SOL01</t>
        </is>
      </c>
      <c r="H5835" s="12" t="inlineStr">
        <is>
          <t>LNG 14: vaporizers + glycol heater</t>
        </is>
      </c>
      <c r="I5835" s="12" t="inlineStr">
        <is>
          <t>Control</t>
        </is>
      </c>
      <c r="J5835" s="12" t="inlineStr">
        <is>
          <t>ARMOR-X MC-HL 600 V control, Cu #14 AWG (Class I Div 2)</t>
        </is>
      </c>
      <c r="K5835" s="12" t="inlineStr">
        <is>
          <t>CTAX|2/C|14</t>
        </is>
      </c>
      <c r="L5835" s="12" t="inlineStr">
        <is>
          <t>2/C</t>
        </is>
      </c>
      <c r="M5835" s="12" t="inlineStr">
        <is>
          <t>14</t>
        </is>
      </c>
      <c r="N5835" s="12" t="n">
        <v>2</v>
      </c>
      <c r="O5835" s="12" t="n">
        <v>1</v>
      </c>
      <c r="P5835" s="12" t="n"/>
      <c r="Q5835" s="12" t="n"/>
      <c r="R5835" s="12" t="n"/>
      <c r="S5835" s="12" t="inlineStr">
        <is>
          <t>Tray / conduit</t>
        </is>
      </c>
      <c r="T5835" s="15" t="n">
        <v>122</v>
      </c>
      <c r="U5835" s="15" t="n">
        <v>10</v>
      </c>
      <c r="V5835" s="15">
        <f>ROUNDUP((T5835+U5835+2*'Read Me'!$B$13)*(1+'Read Me'!$B$12),-1)</f>
        <v/>
      </c>
      <c r="W5835" s="15">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K-C-0101</t>
        </is>
      </c>
      <c r="B5836" s="12" t="inlineStr">
        <is>
          <t>K</t>
        </is>
      </c>
      <c r="C5836" s="12" t="inlineStr">
        <is>
          <t>Fuel supply (adjacent market)</t>
        </is>
      </c>
      <c r="D5836" s="12" t="inlineStr">
        <is>
          <t>Home run JB-LNG 14: vaporizers-SOL01 to the control / marshalling room</t>
        </is>
      </c>
      <c r="E5836" s="12" t="inlineStr"/>
      <c r="F5836" s="12" t="inlineStr">
        <is>
          <t>LNG 17: LNG e-house (13.8 kV / 480 V)</t>
        </is>
      </c>
      <c r="G5836" s="12" t="inlineStr">
        <is>
          <t>JB-LNG 14: vaporizers-SOL01</t>
        </is>
      </c>
      <c r="H5836" s="12" t="inlineStr">
        <is>
          <t>LNG 14: vaporizers + glycol heater</t>
        </is>
      </c>
      <c r="I5836" s="12" t="inlineStr">
        <is>
          <t>Control</t>
        </is>
      </c>
      <c r="J5836" s="12" t="inlineStr">
        <is>
          <t>ARMOR-X MC-HL 600 V control, Cu #14 AWG (Class I Div 2)</t>
        </is>
      </c>
      <c r="K5836" s="12" t="inlineStr">
        <is>
          <t>CTAX|25/C|14</t>
        </is>
      </c>
      <c r="L5836" s="12" t="inlineStr">
        <is>
          <t>25/C</t>
        </is>
      </c>
      <c r="M5836" s="12" t="inlineStr">
        <is>
          <t>14</t>
        </is>
      </c>
      <c r="N5836" s="12" t="n">
        <v>1</v>
      </c>
      <c r="O5836" s="12" t="n">
        <v>1</v>
      </c>
      <c r="P5836" s="12" t="n"/>
      <c r="Q5836" s="12" t="n"/>
      <c r="R5836" s="12" t="n"/>
      <c r="S5836" s="12" t="inlineStr">
        <is>
          <t>Duct bank</t>
        </is>
      </c>
      <c r="T5836" s="15" t="n">
        <v>259</v>
      </c>
      <c r="U5836" s="15" t="n">
        <v>32</v>
      </c>
      <c r="V5836" s="15">
        <f>ROUNDUP((T5836+U5836+2*'Read Me'!$B$13)*(1+'Read Me'!$B$12),-1)</f>
        <v/>
      </c>
      <c r="W5836" s="15">
        <f>V5836*N5836*O5836</f>
        <v/>
      </c>
      <c r="X5836" s="12">
        <f>IF(LEFT(I5836,2)="MV",2*N5836*IF(L5836="1/C",O5836,1),0)</f>
        <v/>
      </c>
      <c r="Y5836" s="12">
        <f>IF(OR(LEFT(K5836,4)="LVAX",LEFT(K5836,6)="MV15AX",LEFT(K5836,4)="CTAX",LEFT(K5836,2)="W|"),2*N5836*O5836,0)</f>
        <v/>
      </c>
      <c r="Z5836" s="12" t="inlineStr"/>
      <c r="AA5836" s="12">
        <f>N5836*O5836</f>
        <v/>
      </c>
    </row>
    <row r="5837">
      <c r="A5837" s="12" t="inlineStr">
        <is>
          <t>K-C-0102</t>
        </is>
      </c>
      <c r="B5837" s="12" t="inlineStr">
        <is>
          <t>K</t>
        </is>
      </c>
      <c r="C5837" s="12" t="inlineStr">
        <is>
          <t>Fuel supply (adjacent market)</t>
        </is>
      </c>
      <c r="D5837" s="12" t="inlineStr">
        <is>
          <t>Motor 1 of 1: control / local station</t>
        </is>
      </c>
      <c r="E5837" s="12" t="inlineStr"/>
      <c r="F5837" s="12" t="inlineStr">
        <is>
          <t>LNG 17: LNG e-house (13.8 kV / 480 V)</t>
        </is>
      </c>
      <c r="G5837" s="12" t="inlineStr"/>
      <c r="H5837" s="12" t="inlineStr">
        <is>
          <t>LNG 15: boil-off gas compressor</t>
        </is>
      </c>
      <c r="I5837" s="12" t="inlineStr">
        <is>
          <t>Control</t>
        </is>
      </c>
      <c r="J5837" s="12" t="inlineStr">
        <is>
          <t>ARMOR-X MC-HL 600 V control, Cu #14 AWG (Class I Div 2)</t>
        </is>
      </c>
      <c r="K5837" s="12" t="inlineStr">
        <is>
          <t>CTAX|7/C|14</t>
        </is>
      </c>
      <c r="L5837" s="12" t="inlineStr">
        <is>
          <t>7/C</t>
        </is>
      </c>
      <c r="M5837" s="12" t="inlineStr">
        <is>
          <t>14</t>
        </is>
      </c>
      <c r="N5837" s="12" t="n">
        <v>1</v>
      </c>
      <c r="O5837" s="12" t="n">
        <v>1</v>
      </c>
      <c r="P5837" s="12" t="n"/>
      <c r="Q5837" s="12" t="n"/>
      <c r="R5837" s="12" t="n"/>
      <c r="S5837" s="12" t="inlineStr">
        <is>
          <t>Duct bank</t>
        </is>
      </c>
      <c r="T5837" s="15" t="n">
        <v>25</v>
      </c>
      <c r="U5837" s="15" t="n">
        <v>54</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K-C-0103</t>
        </is>
      </c>
      <c r="B5838" s="12" t="inlineStr">
        <is>
          <t>K</t>
        </is>
      </c>
      <c r="C5838" s="12" t="inlineStr">
        <is>
          <t>Fuel supply (adjacent market)</t>
        </is>
      </c>
      <c r="D5838" s="12" t="inlineStr">
        <is>
          <t>Solenoid to JB JB-LNG 15: boil-off g-SOL01: 2 x 2/C (field cables)</t>
        </is>
      </c>
      <c r="E5838" s="12" t="inlineStr"/>
      <c r="F5838" s="12" t="inlineStr">
        <is>
          <t>LNG 15: boil-off gas compressor</t>
        </is>
      </c>
      <c r="G5838" s="12" t="inlineStr">
        <is>
          <t>JB-LNG 15: boil-off g-SOL01</t>
        </is>
      </c>
      <c r="H5838" s="12" t="inlineStr">
        <is>
          <t>LNG 15: boil-off gas compressor</t>
        </is>
      </c>
      <c r="I5838" s="12" t="inlineStr">
        <is>
          <t>Control</t>
        </is>
      </c>
      <c r="J5838" s="12" t="inlineStr">
        <is>
          <t>ARMOR-X MC-HL 600 V control, Cu #14 AWG (Class I Div 2)</t>
        </is>
      </c>
      <c r="K5838" s="12" t="inlineStr">
        <is>
          <t>CTAX|2/C|14</t>
        </is>
      </c>
      <c r="L5838" s="12" t="inlineStr">
        <is>
          <t>2/C</t>
        </is>
      </c>
      <c r="M5838" s="12" t="inlineStr">
        <is>
          <t>14</t>
        </is>
      </c>
      <c r="N5838" s="12" t="n">
        <v>2</v>
      </c>
      <c r="O5838" s="12" t="n">
        <v>1</v>
      </c>
      <c r="P5838" s="12" t="n"/>
      <c r="Q5838" s="12" t="n"/>
      <c r="R5838" s="12" t="n"/>
      <c r="S5838" s="12" t="inlineStr">
        <is>
          <t>Tray / conduit</t>
        </is>
      </c>
      <c r="T5838" s="15" t="n">
        <v>67</v>
      </c>
      <c r="U5838" s="15" t="n">
        <v>10</v>
      </c>
      <c r="V5838" s="15">
        <f>ROUNDUP((T5838+U5838+2*'Read Me'!$B$13)*(1+'Read Me'!$B$12),-1)</f>
        <v/>
      </c>
      <c r="W5838" s="15">
        <f>V5838*N5838*O5838</f>
        <v/>
      </c>
      <c r="X5838" s="12">
        <f>IF(LEFT(I5838,2)="MV",2*N5838*IF(L5838="1/C",O5838,1),0)</f>
        <v/>
      </c>
      <c r="Y5838" s="12">
        <f>IF(OR(LEFT(K5838,4)="LVAX",LEFT(K5838,6)="MV15AX",LEFT(K5838,4)="CTAX",LEFT(K5838,2)="W|"),2*N5838*O5838,0)</f>
        <v/>
      </c>
      <c r="Z5838" s="12" t="inlineStr">
        <is>
          <t>device-to-JB field wiring, one cable per device</t>
        </is>
      </c>
      <c r="AA5838" s="12">
        <f>N5838*O5838</f>
        <v/>
      </c>
    </row>
    <row r="5839">
      <c r="A5839" s="12" t="inlineStr">
        <is>
          <t>K-C-0104</t>
        </is>
      </c>
      <c r="B5839" s="12" t="inlineStr">
        <is>
          <t>K</t>
        </is>
      </c>
      <c r="C5839" s="12" t="inlineStr">
        <is>
          <t>Fuel supply (adjacent market)</t>
        </is>
      </c>
      <c r="D5839" s="12" t="inlineStr">
        <is>
          <t>Home run JB-LNG 15: boil-off g-SOL01 to the control / marshalling room</t>
        </is>
      </c>
      <c r="E5839" s="12" t="inlineStr"/>
      <c r="F5839" s="12" t="inlineStr">
        <is>
          <t>LNG 17: LNG e-house (13.8 kV / 480 V)</t>
        </is>
      </c>
      <c r="G5839" s="12" t="inlineStr">
        <is>
          <t>JB-LNG 15: boil-off g-SOL01</t>
        </is>
      </c>
      <c r="H5839" s="12" t="inlineStr">
        <is>
          <t>LNG 15: boil-off gas compressor</t>
        </is>
      </c>
      <c r="I5839" s="12" t="inlineStr">
        <is>
          <t>Control</t>
        </is>
      </c>
      <c r="J5839" s="12" t="inlineStr">
        <is>
          <t>ARMOR-X MC-HL 600 V control, Cu #14 AWG (Class I Div 2)</t>
        </is>
      </c>
      <c r="K5839" s="12" t="inlineStr">
        <is>
          <t>CTAX|25/C|14</t>
        </is>
      </c>
      <c r="L5839" s="12" t="inlineStr">
        <is>
          <t>25/C</t>
        </is>
      </c>
      <c r="M5839" s="12" t="inlineStr">
        <is>
          <t>14</t>
        </is>
      </c>
      <c r="N5839" s="12" t="n">
        <v>1</v>
      </c>
      <c r="O5839" s="12" t="n">
        <v>1</v>
      </c>
      <c r="P5839" s="12" t="n"/>
      <c r="Q5839" s="12" t="n"/>
      <c r="R5839" s="12" t="n"/>
      <c r="S5839" s="12" t="inlineStr">
        <is>
          <t>Duct bank</t>
        </is>
      </c>
      <c r="T5839" s="15" t="n">
        <v>25</v>
      </c>
      <c r="U5839" s="15" t="n">
        <v>54</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K-C-0105</t>
        </is>
      </c>
      <c r="B5840" s="12" t="inlineStr">
        <is>
          <t>K</t>
        </is>
      </c>
      <c r="C5840" s="12" t="inlineStr">
        <is>
          <t>Fuel supply (adjacent market)</t>
        </is>
      </c>
      <c r="D5840" s="12" t="inlineStr">
        <is>
          <t>Motor 1 of 1: control / local station</t>
        </is>
      </c>
      <c r="E5840" s="12" t="inlineStr"/>
      <c r="F5840" s="12" t="inlineStr">
        <is>
          <t>LNG 17: LNG e-house (13.8 kV / 480 V)</t>
        </is>
      </c>
      <c r="G5840" s="12" t="inlineStr"/>
      <c r="H5840" s="12" t="inlineStr">
        <is>
          <t>LNG 16: send-out metering + pressure control</t>
        </is>
      </c>
      <c r="I5840" s="12" t="inlineStr">
        <is>
          <t>Control</t>
        </is>
      </c>
      <c r="J5840" s="12" t="inlineStr">
        <is>
          <t>ARMOR-X MC-HL 600 V control, Cu #14 AWG (Class I Div 2)</t>
        </is>
      </c>
      <c r="K5840" s="12" t="inlineStr">
        <is>
          <t>CTAX|7/C|14</t>
        </is>
      </c>
      <c r="L5840" s="12" t="inlineStr">
        <is>
          <t>7/C</t>
        </is>
      </c>
      <c r="M5840" s="12" t="inlineStr">
        <is>
          <t>14</t>
        </is>
      </c>
      <c r="N5840" s="12" t="n">
        <v>1</v>
      </c>
      <c r="O5840" s="12" t="n">
        <v>1</v>
      </c>
      <c r="P5840" s="12" t="n"/>
      <c r="Q5840" s="12" t="n"/>
      <c r="R5840" s="12" t="n"/>
      <c r="S5840" s="12" t="inlineStr">
        <is>
          <t>Duct bank</t>
        </is>
      </c>
      <c r="T5840" s="15" t="n">
        <v>20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K-C-0106</t>
        </is>
      </c>
      <c r="B5841" s="12" t="inlineStr">
        <is>
          <t>K</t>
        </is>
      </c>
      <c r="C5841" s="12" t="inlineStr">
        <is>
          <t>Fuel supply (adjacent market)</t>
        </is>
      </c>
      <c r="D5841" s="12" t="inlineStr">
        <is>
          <t>Solenoid to JB JB-LNG 16: send-out m-SOL01: 2 x 2/C (field cables)</t>
        </is>
      </c>
      <c r="E5841" s="12" t="inlineStr"/>
      <c r="F5841" s="12" t="inlineStr">
        <is>
          <t>LNG 16: send-out metering + pressure control</t>
        </is>
      </c>
      <c r="G5841" s="12" t="inlineStr">
        <is>
          <t>JB-LNG 16: send-out m-SOL01</t>
        </is>
      </c>
      <c r="H5841" s="12" t="inlineStr">
        <is>
          <t>LNG 16: send-out metering + pressure control</t>
        </is>
      </c>
      <c r="I5841" s="12" t="inlineStr">
        <is>
          <t>Control</t>
        </is>
      </c>
      <c r="J5841" s="12" t="inlineStr">
        <is>
          <t>ARMOR-X MC-HL 600 V control, Cu #14 AWG (Class I Div 2)</t>
        </is>
      </c>
      <c r="K5841" s="12" t="inlineStr">
        <is>
          <t>CTAX|2/C|14</t>
        </is>
      </c>
      <c r="L5841" s="12" t="inlineStr">
        <is>
          <t>2/C</t>
        </is>
      </c>
      <c r="M5841" s="12" t="inlineStr">
        <is>
          <t>14</t>
        </is>
      </c>
      <c r="N5841" s="12" t="n">
        <v>2</v>
      </c>
      <c r="O5841" s="12" t="n">
        <v>1</v>
      </c>
      <c r="P5841" s="12" t="n"/>
      <c r="Q5841" s="12" t="n"/>
      <c r="R5841" s="12" t="n"/>
      <c r="S5841" s="12" t="inlineStr">
        <is>
          <t>Tray / conduit</t>
        </is>
      </c>
      <c r="T5841" s="15" t="n">
        <v>74</v>
      </c>
      <c r="U5841" s="15" t="n">
        <v>10</v>
      </c>
      <c r="V5841" s="15">
        <f>ROUNDUP((T5841+U5841+2*'Read Me'!$B$13)*(1+'Read Me'!$B$12),-1)</f>
        <v/>
      </c>
      <c r="W5841" s="15">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K-C-0107</t>
        </is>
      </c>
      <c r="B5842" s="12" t="inlineStr">
        <is>
          <t>K</t>
        </is>
      </c>
      <c r="C5842" s="12" t="inlineStr">
        <is>
          <t>Fuel supply (adjacent market)</t>
        </is>
      </c>
      <c r="D5842" s="12" t="inlineStr">
        <is>
          <t>Home run JB-LNG 16: send-out m-SOL01 to the control / marshalling room</t>
        </is>
      </c>
      <c r="E5842" s="12" t="inlineStr"/>
      <c r="F5842" s="12" t="inlineStr">
        <is>
          <t>LNG 17: LNG e-house (13.8 kV / 480 V)</t>
        </is>
      </c>
      <c r="G5842" s="12" t="inlineStr">
        <is>
          <t>JB-LNG 16: send-out m-SOL01</t>
        </is>
      </c>
      <c r="H5842" s="12" t="inlineStr">
        <is>
          <t>LNG 16: send-out metering + pressure control</t>
        </is>
      </c>
      <c r="I5842" s="12" t="inlineStr">
        <is>
          <t>Control</t>
        </is>
      </c>
      <c r="J5842" s="12" t="inlineStr">
        <is>
          <t>ARMOR-X MC-HL 600 V control, Cu #14 AWG (Class I Div 2)</t>
        </is>
      </c>
      <c r="K5842" s="12" t="inlineStr">
        <is>
          <t>CTAX|25/C|14</t>
        </is>
      </c>
      <c r="L5842" s="12" t="inlineStr">
        <is>
          <t>25/C</t>
        </is>
      </c>
      <c r="M5842" s="12" t="inlineStr">
        <is>
          <t>14</t>
        </is>
      </c>
      <c r="N5842" s="12" t="n">
        <v>1</v>
      </c>
      <c r="O5842" s="12" t="n">
        <v>1</v>
      </c>
      <c r="P5842" s="12" t="n"/>
      <c r="Q5842" s="12" t="n"/>
      <c r="R5842" s="12" t="n"/>
      <c r="S5842" s="12" t="inlineStr">
        <is>
          <t>Duct bank</t>
        </is>
      </c>
      <c r="T5842" s="15" t="n">
        <v>20</v>
      </c>
      <c r="U5842" s="15" t="n">
        <v>32</v>
      </c>
      <c r="V5842" s="15">
        <f>ROUNDUP((T5842+U5842+2*'Read Me'!$B$13)*(1+'Read Me'!$B$12),-1)</f>
        <v/>
      </c>
      <c r="W5842" s="15">
        <f>V5842*N5842*O5842</f>
        <v/>
      </c>
      <c r="X5842" s="12">
        <f>IF(LEFT(I5842,2)="MV",2*N5842*IF(L5842="1/C",O5842,1),0)</f>
        <v/>
      </c>
      <c r="Y5842" s="12">
        <f>IF(OR(LEFT(K5842,4)="LVAX",LEFT(K5842,6)="MV15AX",LEFT(K5842,4)="CTAX",LEFT(K5842,2)="W|"),2*N5842*O5842,0)</f>
        <v/>
      </c>
      <c r="Z5842" s="12" t="inlineStr"/>
      <c r="AA5842" s="12">
        <f>N5842*O5842</f>
        <v/>
      </c>
    </row>
    <row r="5843">
      <c r="A5843" s="12" t="inlineStr">
        <is>
          <t>K-C-0108</t>
        </is>
      </c>
      <c r="B5843" s="12" t="inlineStr">
        <is>
          <t>K</t>
        </is>
      </c>
      <c r="C5843" s="12" t="inlineStr">
        <is>
          <t>Fuel supply (adjacent market)</t>
        </is>
      </c>
      <c r="D5843" s="12" t="inlineStr">
        <is>
          <t>Motor 1 of 1: control / local station</t>
        </is>
      </c>
      <c r="E5843" s="12" t="inlineStr"/>
      <c r="F5843" s="12" t="inlineStr">
        <is>
          <t>LNG 17: LNG e-house (13.8 kV / 480 V)</t>
        </is>
      </c>
      <c r="G5843" s="12" t="inlineStr"/>
      <c r="H5843" s="12" t="inlineStr">
        <is>
          <t>LNG 17: LNG e-house (13.8 kV / 480 V)</t>
        </is>
      </c>
      <c r="I5843" s="12" t="inlineStr">
        <is>
          <t>Control</t>
        </is>
      </c>
      <c r="J5843" s="12" t="inlineStr">
        <is>
          <t>ARMOR-X MC-HL 600 V control, Cu #14 AWG (Class I Div 2)</t>
        </is>
      </c>
      <c r="K5843" s="12" t="inlineStr">
        <is>
          <t>CTAX|7/C|14</t>
        </is>
      </c>
      <c r="L5843" s="12" t="inlineStr">
        <is>
          <t>7/C</t>
        </is>
      </c>
      <c r="M5843" s="12" t="inlineStr">
        <is>
          <t>14</t>
        </is>
      </c>
      <c r="N5843" s="12" t="n">
        <v>1</v>
      </c>
      <c r="O5843" s="12" t="n">
        <v>1</v>
      </c>
      <c r="P5843" s="12" t="n"/>
      <c r="Q5843" s="12" t="n"/>
      <c r="R5843" s="12" t="n"/>
      <c r="S5843" s="12" t="inlineStr">
        <is>
          <t>Tray</t>
        </is>
      </c>
      <c r="T5843" s="15" t="n">
        <v>0</v>
      </c>
      <c r="U5843" s="15" t="n">
        <v>32</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K-C-0109</t>
        </is>
      </c>
      <c r="B5844" s="12" t="inlineStr">
        <is>
          <t>K</t>
        </is>
      </c>
      <c r="C5844" s="12" t="inlineStr">
        <is>
          <t>Fuel supply (adjacent market)</t>
        </is>
      </c>
      <c r="D5844" s="12" t="inlineStr">
        <is>
          <t>Solenoid to JB JB-LNG 17: LNG e-hous-SOL01: 2 x 2/C (field cables)</t>
        </is>
      </c>
      <c r="E5844" s="12" t="inlineStr"/>
      <c r="F5844" s="12" t="inlineStr">
        <is>
          <t>LNG 17: LNG e-house (13.8 kV / 480 V)</t>
        </is>
      </c>
      <c r="G5844" s="12" t="inlineStr">
        <is>
          <t>JB-LNG 17: LNG e-hous-SOL01</t>
        </is>
      </c>
      <c r="H5844" s="12" t="inlineStr">
        <is>
          <t>LNG 17: LNG e-house (13.8 kV / 480 V)</t>
        </is>
      </c>
      <c r="I5844" s="12" t="inlineStr">
        <is>
          <t>Control</t>
        </is>
      </c>
      <c r="J5844" s="12" t="inlineStr">
        <is>
          <t>ARMOR-X MC-HL 600 V control, Cu #14 AWG (Class I Div 2)</t>
        </is>
      </c>
      <c r="K5844" s="12" t="inlineStr">
        <is>
          <t>CTAX|2/C|14</t>
        </is>
      </c>
      <c r="L5844" s="12" t="inlineStr">
        <is>
          <t>2/C</t>
        </is>
      </c>
      <c r="M5844" s="12" t="inlineStr">
        <is>
          <t>14</t>
        </is>
      </c>
      <c r="N5844" s="12" t="n">
        <v>2</v>
      </c>
      <c r="O5844" s="12" t="n">
        <v>1</v>
      </c>
      <c r="P5844" s="12" t="n"/>
      <c r="Q5844" s="12" t="n"/>
      <c r="R5844" s="12" t="n"/>
      <c r="S5844" s="12" t="inlineStr">
        <is>
          <t>Tray / conduit</t>
        </is>
      </c>
      <c r="T5844" s="15" t="n">
        <v>58</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K-C-0110</t>
        </is>
      </c>
      <c r="B5845" s="12" t="inlineStr">
        <is>
          <t>K</t>
        </is>
      </c>
      <c r="C5845" s="12" t="inlineStr">
        <is>
          <t>Fuel supply (adjacent market)</t>
        </is>
      </c>
      <c r="D5845" s="12" t="inlineStr">
        <is>
          <t>Home run JB-LNG 17: LNG e-hous-SOL01 to the control / marshalling room</t>
        </is>
      </c>
      <c r="E5845" s="12" t="inlineStr"/>
      <c r="F5845" s="12" t="inlineStr">
        <is>
          <t>LNG 17: LNG e-house (13.8 kV / 480 V)</t>
        </is>
      </c>
      <c r="G5845" s="12" t="inlineStr">
        <is>
          <t>JB-LNG 17: LNG e-hous-SOL01</t>
        </is>
      </c>
      <c r="H5845" s="12" t="inlineStr">
        <is>
          <t>LNG 17: LNG e-house (13.8 kV / 480 V)</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Tray</t>
        </is>
      </c>
      <c r="T5845" s="15" t="n">
        <v>0</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K-C-0111</t>
        </is>
      </c>
      <c r="B5846" s="12" t="inlineStr">
        <is>
          <t>K</t>
        </is>
      </c>
      <c r="C5846" s="12" t="inlineStr">
        <is>
          <t>Fuel supply (adjacent market)</t>
        </is>
      </c>
      <c r="D5846" s="12" t="inlineStr">
        <is>
          <t>Motor 1 of 1: control / local station</t>
        </is>
      </c>
      <c r="E5846" s="12" t="inlineStr"/>
      <c r="F5846" s="12" t="inlineStr">
        <is>
          <t>LNG 17: LNG e-house (13.8 kV / 480 V)</t>
        </is>
      </c>
      <c r="G5846" s="12" t="inlineStr"/>
      <c r="H5846" s="12" t="inlineStr">
        <is>
          <t>LNG 18: vent stack</t>
        </is>
      </c>
      <c r="I5846" s="12" t="inlineStr">
        <is>
          <t>Control</t>
        </is>
      </c>
      <c r="J5846" s="12" t="inlineStr">
        <is>
          <t>ARMOR-X MC-HL 600 V control, Cu #14 AWG (Class I Div 2)</t>
        </is>
      </c>
      <c r="K5846" s="12" t="inlineStr">
        <is>
          <t>CTAX|7/C|14</t>
        </is>
      </c>
      <c r="L5846" s="12" t="inlineStr">
        <is>
          <t>7/C</t>
        </is>
      </c>
      <c r="M5846" s="12" t="inlineStr">
        <is>
          <t>14</t>
        </is>
      </c>
      <c r="N5846" s="12" t="n">
        <v>1</v>
      </c>
      <c r="O5846" s="12" t="n">
        <v>1</v>
      </c>
      <c r="P5846" s="12" t="n"/>
      <c r="Q5846" s="12" t="n"/>
      <c r="R5846" s="12" t="n"/>
      <c r="S5846" s="12" t="inlineStr">
        <is>
          <t>Duct bank</t>
        </is>
      </c>
      <c r="T5846" s="15" t="n">
        <v>25</v>
      </c>
      <c r="U5846" s="15" t="n">
        <v>117</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K-C-0112</t>
        </is>
      </c>
      <c r="B5847" s="12" t="inlineStr">
        <is>
          <t>K</t>
        </is>
      </c>
      <c r="C5847" s="12" t="inlineStr">
        <is>
          <t>Fuel supply (adjacent market)</t>
        </is>
      </c>
      <c r="D5847" s="12" t="inlineStr">
        <is>
          <t>Solenoid to JB JB-LNG 18: vent stack-SOL01: 2 x 2/C (field cables)</t>
        </is>
      </c>
      <c r="E5847" s="12" t="inlineStr"/>
      <c r="F5847" s="12" t="inlineStr">
        <is>
          <t>LNG 18: vent stack</t>
        </is>
      </c>
      <c r="G5847" s="12" t="inlineStr">
        <is>
          <t>JB-LNG 18: vent stack-SOL01</t>
        </is>
      </c>
      <c r="H5847" s="12" t="inlineStr">
        <is>
          <t>LNG 18: vent stack</t>
        </is>
      </c>
      <c r="I5847" s="12" t="inlineStr">
        <is>
          <t>Control</t>
        </is>
      </c>
      <c r="J5847" s="12" t="inlineStr">
        <is>
          <t>ARMOR-X MC-HL 600 V control, Cu #14 AWG (Class I Div 2)</t>
        </is>
      </c>
      <c r="K5847" s="12" t="inlineStr">
        <is>
          <t>CTAX|2/C|14</t>
        </is>
      </c>
      <c r="L5847" s="12" t="inlineStr">
        <is>
          <t>2/C</t>
        </is>
      </c>
      <c r="M5847" s="12" t="inlineStr">
        <is>
          <t>14</t>
        </is>
      </c>
      <c r="N5847" s="12" t="n">
        <v>2</v>
      </c>
      <c r="O5847" s="12" t="n">
        <v>1</v>
      </c>
      <c r="P5847" s="12" t="n"/>
      <c r="Q5847" s="12" t="n"/>
      <c r="R5847" s="12" t="n"/>
      <c r="S5847" s="12" t="inlineStr">
        <is>
          <t>Tray / conduit</t>
        </is>
      </c>
      <c r="T5847" s="15" t="n">
        <v>55</v>
      </c>
      <c r="U5847" s="15" t="n">
        <v>10</v>
      </c>
      <c r="V5847" s="15">
        <f>ROUNDUP((T5847+U5847+2*'Read Me'!$B$13)*(1+'Read Me'!$B$12),-1)</f>
        <v/>
      </c>
      <c r="W5847" s="15">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K-C-0113</t>
        </is>
      </c>
      <c r="B5848" s="12" t="inlineStr">
        <is>
          <t>K</t>
        </is>
      </c>
      <c r="C5848" s="12" t="inlineStr">
        <is>
          <t>Fuel supply (adjacent market)</t>
        </is>
      </c>
      <c r="D5848" s="12" t="inlineStr">
        <is>
          <t>Home run JB-LNG 18: vent stack-SOL01 to the control / marshalling room</t>
        </is>
      </c>
      <c r="E5848" s="12" t="inlineStr"/>
      <c r="F5848" s="12" t="inlineStr">
        <is>
          <t>LNG 17: LNG e-house (13.8 kV / 480 V)</t>
        </is>
      </c>
      <c r="G5848" s="12" t="inlineStr">
        <is>
          <t>JB-LNG 18: vent stack-SOL01</t>
        </is>
      </c>
      <c r="H5848" s="12" t="inlineStr">
        <is>
          <t>LNG 18: vent stack</t>
        </is>
      </c>
      <c r="I5848" s="12" t="inlineStr">
        <is>
          <t>Control</t>
        </is>
      </c>
      <c r="J5848" s="12" t="inlineStr">
        <is>
          <t>ARMOR-X MC-HL 600 V control, Cu #14 AWG (Class I Div 2)</t>
        </is>
      </c>
      <c r="K5848" s="12" t="inlineStr">
        <is>
          <t>CTAX|25/C|14</t>
        </is>
      </c>
      <c r="L5848" s="12" t="inlineStr">
        <is>
          <t>25/C</t>
        </is>
      </c>
      <c r="M5848" s="12" t="inlineStr">
        <is>
          <t>14</t>
        </is>
      </c>
      <c r="N5848" s="12" t="n">
        <v>1</v>
      </c>
      <c r="O5848" s="12" t="n">
        <v>1</v>
      </c>
      <c r="P5848" s="12" t="n"/>
      <c r="Q5848" s="12" t="n"/>
      <c r="R5848" s="12" t="n"/>
      <c r="S5848" s="12" t="inlineStr">
        <is>
          <t>Duct bank</t>
        </is>
      </c>
      <c r="T5848" s="15" t="n">
        <v>25</v>
      </c>
      <c r="U5848" s="15" t="n">
        <v>117</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K-C-0114</t>
        </is>
      </c>
      <c r="B5849" s="12" t="inlineStr">
        <is>
          <t>K</t>
        </is>
      </c>
      <c r="C5849" s="12" t="inlineStr">
        <is>
          <t>Fuel supply (adjacent market)</t>
        </is>
      </c>
      <c r="D5849" s="12" t="inlineStr">
        <is>
          <t>Solenoid to JB JB-M&amp;R 2: insulating -SOL01: 4 x 2/C (field cables)</t>
        </is>
      </c>
      <c r="E5849" s="12" t="inlineStr"/>
      <c r="F5849" s="12" t="inlineStr">
        <is>
          <t>M&amp;R 2: insulating joint + ESD valve</t>
        </is>
      </c>
      <c r="G5849" s="12" t="inlineStr">
        <is>
          <t>JB-M&amp;R 2: insulating -SOL01</t>
        </is>
      </c>
      <c r="H5849" s="12" t="inlineStr">
        <is>
          <t>M&amp;R 2: insulating joint + ESD valve</t>
        </is>
      </c>
      <c r="I5849" s="12" t="inlineStr">
        <is>
          <t>Control</t>
        </is>
      </c>
      <c r="J5849" s="12" t="inlineStr">
        <is>
          <t>ARMOR-X MC-HL 600 V control, Cu #14 AWG (Class I Div 2)</t>
        </is>
      </c>
      <c r="K5849" s="12" t="inlineStr">
        <is>
          <t>CTAX|2/C|14</t>
        </is>
      </c>
      <c r="L5849" s="12" t="inlineStr">
        <is>
          <t>2/C</t>
        </is>
      </c>
      <c r="M5849" s="12" t="inlineStr">
        <is>
          <t>14</t>
        </is>
      </c>
      <c r="N5849" s="12" t="n">
        <v>4</v>
      </c>
      <c r="O5849" s="12" t="n">
        <v>1</v>
      </c>
      <c r="P5849" s="12" t="n"/>
      <c r="Q5849" s="12" t="n"/>
      <c r="R5849" s="12" t="n"/>
      <c r="S5849" s="12" t="inlineStr">
        <is>
          <t>Tray / conduit</t>
        </is>
      </c>
      <c r="T5849" s="15" t="n">
        <v>40</v>
      </c>
      <c r="U5849" s="15" t="n">
        <v>10</v>
      </c>
      <c r="V5849" s="15">
        <f>ROUNDUP((T5849+U5849+2*'Read Me'!$B$13)*(1+'Read Me'!$B$12),-1)</f>
        <v/>
      </c>
      <c r="W5849" s="15">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K-C-0115</t>
        </is>
      </c>
      <c r="B5850" s="12" t="inlineStr">
        <is>
          <t>K</t>
        </is>
      </c>
      <c r="C5850" s="12" t="inlineStr">
        <is>
          <t>Fuel supply (adjacent market)</t>
        </is>
      </c>
      <c r="D5850" s="12" t="inlineStr">
        <is>
          <t>Home run JB-M&amp;R 2: insulating -SOL01 to the control / marshalling room</t>
        </is>
      </c>
      <c r="E5850" s="12" t="inlineStr"/>
      <c r="F5850" s="12" t="inlineStr">
        <is>
          <t>LNG 17: LNG e-house (13.8 kV / 480 V)</t>
        </is>
      </c>
      <c r="G5850" s="12" t="inlineStr">
        <is>
          <t>JB-M&amp;R 2: insulating -SOL01</t>
        </is>
      </c>
      <c r="H5850" s="12" t="inlineStr">
        <is>
          <t>M&amp;R 2: insulating joint + ESD valve</t>
        </is>
      </c>
      <c r="I5850" s="12" t="inlineStr">
        <is>
          <t>Control</t>
        </is>
      </c>
      <c r="J5850" s="12" t="inlineStr">
        <is>
          <t>ARMOR-X MC-HL 600 V control, Cu #14 AWG (Class I Div 2)</t>
        </is>
      </c>
      <c r="K5850" s="12" t="inlineStr">
        <is>
          <t>CTAX|25/C|14</t>
        </is>
      </c>
      <c r="L5850" s="12" t="inlineStr">
        <is>
          <t>25/C</t>
        </is>
      </c>
      <c r="M5850" s="12" t="inlineStr">
        <is>
          <t>14</t>
        </is>
      </c>
      <c r="N5850" s="12" t="n">
        <v>1</v>
      </c>
      <c r="O5850" s="12" t="n">
        <v>1</v>
      </c>
      <c r="P5850" s="12" t="n"/>
      <c r="Q5850" s="12" t="n"/>
      <c r="R5850" s="12" t="n"/>
      <c r="S5850" s="12" t="inlineStr">
        <is>
          <t>Duct bank</t>
        </is>
      </c>
      <c r="T5850" s="15" t="n">
        <v>758</v>
      </c>
      <c r="U5850" s="15" t="n">
        <v>32</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K-C-0116</t>
        </is>
      </c>
      <c r="B5851" s="12" t="inlineStr">
        <is>
          <t>K</t>
        </is>
      </c>
      <c r="C5851" s="12" t="inlineStr">
        <is>
          <t>Fuel supply (adjacent market)</t>
        </is>
      </c>
      <c r="D5851" s="12" t="inlineStr">
        <is>
          <t>Solenoid to JB JB-M&amp;R 3: horizontal -SOL01: 4 x 2/C (field cables)</t>
        </is>
      </c>
      <c r="E5851" s="12" t="inlineStr"/>
      <c r="F5851" s="12" t="inlineStr">
        <is>
          <t>M&amp;R 3: horizontal filter-separator</t>
        </is>
      </c>
      <c r="G5851" s="12" t="inlineStr">
        <is>
          <t>JB-M&amp;R 3: horizontal -SOL01</t>
        </is>
      </c>
      <c r="H5851" s="12" t="inlineStr">
        <is>
          <t>M&amp;R 3: horizontal filter-separator</t>
        </is>
      </c>
      <c r="I5851" s="12" t="inlineStr">
        <is>
          <t>Control</t>
        </is>
      </c>
      <c r="J5851" s="12" t="inlineStr">
        <is>
          <t>ARMOR-X MC-HL 600 V control, Cu #14 AWG (Class I Div 2)</t>
        </is>
      </c>
      <c r="K5851" s="12" t="inlineStr">
        <is>
          <t>CTAX|2/C|14</t>
        </is>
      </c>
      <c r="L5851" s="12" t="inlineStr">
        <is>
          <t>2/C</t>
        </is>
      </c>
      <c r="M5851" s="12" t="inlineStr">
        <is>
          <t>14</t>
        </is>
      </c>
      <c r="N5851" s="12" t="n">
        <v>4</v>
      </c>
      <c r="O5851" s="12" t="n">
        <v>1</v>
      </c>
      <c r="P5851" s="12" t="n"/>
      <c r="Q5851" s="12" t="n"/>
      <c r="R5851" s="12" t="n"/>
      <c r="S5851" s="12" t="inlineStr">
        <is>
          <t>Tray / conduit</t>
        </is>
      </c>
      <c r="T5851" s="15" t="n">
        <v>53</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K-C-0117</t>
        </is>
      </c>
      <c r="B5852" s="12" t="inlineStr">
        <is>
          <t>K</t>
        </is>
      </c>
      <c r="C5852" s="12" t="inlineStr">
        <is>
          <t>Fuel supply (adjacent market)</t>
        </is>
      </c>
      <c r="D5852" s="12" t="inlineStr">
        <is>
          <t>Home run JB-M&amp;R 3: horizontal -SOL01 to the control / marshalling room</t>
        </is>
      </c>
      <c r="E5852" s="12" t="inlineStr"/>
      <c r="F5852" s="12" t="inlineStr">
        <is>
          <t>LNG 17: LNG e-house (13.8 kV / 480 V)</t>
        </is>
      </c>
      <c r="G5852" s="12" t="inlineStr">
        <is>
          <t>JB-M&amp;R 3: horizontal -SOL01</t>
        </is>
      </c>
      <c r="H5852" s="12" t="inlineStr">
        <is>
          <t>M&amp;R 3: horizontal filter-separator</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797</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K-C-0118</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4: line heater 1 (water bath)</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593</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K-C-0119</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4: line heater 2 (water bath)</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593</v>
      </c>
      <c r="U5854" s="15" t="n">
        <v>50</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K-C-0120</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4: line heater 3 (water bath)</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593</v>
      </c>
      <c r="U5855" s="15" t="n">
        <v>68</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K-C-0121</t>
        </is>
      </c>
      <c r="B5856" s="12" t="inlineStr">
        <is>
          <t>K</t>
        </is>
      </c>
      <c r="C5856" s="12" t="inlineStr">
        <is>
          <t>Fuel supply (adjacent market)</t>
        </is>
      </c>
      <c r="D5856" s="12" t="inlineStr">
        <is>
          <t>Solenoid to JB JB-M&amp;R 6: regulation -SOL01: 6 x 2/C (field cables)</t>
        </is>
      </c>
      <c r="E5856" s="12" t="inlineStr"/>
      <c r="F5856" s="12" t="inlineStr">
        <is>
          <t>M&amp;R 6: regulation / flow control building</t>
        </is>
      </c>
      <c r="G5856" s="12" t="inlineStr">
        <is>
          <t>JB-M&amp;R 6: regulation -SOL01</t>
        </is>
      </c>
      <c r="H5856" s="12" t="inlineStr">
        <is>
          <t>M&amp;R 6: regulation / flow control building</t>
        </is>
      </c>
      <c r="I5856" s="12" t="inlineStr">
        <is>
          <t>Control</t>
        </is>
      </c>
      <c r="J5856" s="12" t="inlineStr">
        <is>
          <t>ARMOR-X MC-HL 600 V control, Cu #14 AWG (Class I Div 2)</t>
        </is>
      </c>
      <c r="K5856" s="12" t="inlineStr">
        <is>
          <t>CTAX|2/C|14</t>
        </is>
      </c>
      <c r="L5856" s="12" t="inlineStr">
        <is>
          <t>2/C</t>
        </is>
      </c>
      <c r="M5856" s="12" t="inlineStr">
        <is>
          <t>14</t>
        </is>
      </c>
      <c r="N5856" s="12" t="n">
        <v>6</v>
      </c>
      <c r="O5856" s="12" t="n">
        <v>1</v>
      </c>
      <c r="P5856" s="12" t="n"/>
      <c r="Q5856" s="12" t="n"/>
      <c r="R5856" s="12" t="n"/>
      <c r="S5856" s="12" t="inlineStr">
        <is>
          <t>Tray / conduit</t>
        </is>
      </c>
      <c r="T5856" s="15" t="n">
        <v>61</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K-C-0122</t>
        </is>
      </c>
      <c r="B5857" s="12" t="inlineStr">
        <is>
          <t>K</t>
        </is>
      </c>
      <c r="C5857" s="12" t="inlineStr">
        <is>
          <t>Fuel supply (adjacent market)</t>
        </is>
      </c>
      <c r="D5857" s="12" t="inlineStr">
        <is>
          <t>Home run JB-M&amp;R 6: regulation -SOL01 to the control / marshalling room</t>
        </is>
      </c>
      <c r="E5857" s="12" t="inlineStr"/>
      <c r="F5857" s="12" t="inlineStr">
        <is>
          <t>LNG 17: LNG e-house (13.8 kV / 480 V)</t>
        </is>
      </c>
      <c r="G5857" s="12" t="inlineStr">
        <is>
          <t>JB-M&amp;R 6: regulation -SOL01</t>
        </is>
      </c>
      <c r="H5857" s="12" t="inlineStr">
        <is>
          <t>M&amp;R 6: regulation / flow control building</t>
        </is>
      </c>
      <c r="I5857" s="12" t="inlineStr">
        <is>
          <t>Control</t>
        </is>
      </c>
      <c r="J5857" s="12" t="inlineStr">
        <is>
          <t>ARMOR-X MC-HL 600 V control, Cu #14 AWG (Class I Div 2)</t>
        </is>
      </c>
      <c r="K5857" s="12" t="inlineStr">
        <is>
          <t>CTAX|25/C|14</t>
        </is>
      </c>
      <c r="L5857" s="12" t="inlineStr">
        <is>
          <t>25/C</t>
        </is>
      </c>
      <c r="M5857" s="12" t="inlineStr">
        <is>
          <t>14</t>
        </is>
      </c>
      <c r="N5857" s="12" t="n">
        <v>1</v>
      </c>
      <c r="O5857" s="12" t="n">
        <v>1</v>
      </c>
      <c r="P5857" s="12" t="n"/>
      <c r="Q5857" s="12" t="n"/>
      <c r="R5857" s="12" t="n"/>
      <c r="S5857" s="12" t="inlineStr">
        <is>
          <t>Duct bank</t>
        </is>
      </c>
      <c r="T5857" s="15" t="n">
        <v>470</v>
      </c>
      <c r="U5857" s="15" t="n">
        <v>70</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K-C-0123</t>
        </is>
      </c>
      <c r="B5858" s="12" t="inlineStr">
        <is>
          <t>K</t>
        </is>
      </c>
      <c r="C5858" s="12" t="inlineStr">
        <is>
          <t>Fuel supply (adjacent market)</t>
        </is>
      </c>
      <c r="D5858" s="12" t="inlineStr">
        <is>
          <t>Control</t>
        </is>
      </c>
      <c r="E5858" s="12" t="inlineStr"/>
      <c r="F5858" s="12" t="inlineStr">
        <is>
          <t>LNG 17: LNG e-house (13.8 kV / 480 V)</t>
        </is>
      </c>
      <c r="G5858" s="12" t="inlineStr"/>
      <c r="H5858" s="12" t="inlineStr">
        <is>
          <t>M&amp;R 9: service panel + UPS, SCADA RTU, CP</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466</v>
      </c>
      <c r="U5858" s="15" t="n">
        <v>32</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K-C-0124</t>
        </is>
      </c>
      <c r="B5859" s="12" t="inlineStr">
        <is>
          <t>K</t>
        </is>
      </c>
      <c r="C5859" s="12" t="inlineStr">
        <is>
          <t>Fuel supply (adjacent market)</t>
        </is>
      </c>
      <c r="D5859" s="12" t="inlineStr">
        <is>
          <t>Control</t>
        </is>
      </c>
      <c r="E5859" s="12" t="inlineStr"/>
      <c r="F5859" s="12" t="inlineStr">
        <is>
          <t>LNG 17: LNG e-house (13.8 kV / 480 V)</t>
        </is>
      </c>
      <c r="G5859" s="12" t="inlineStr"/>
      <c r="H5859" s="12" t="inlineStr">
        <is>
          <t>M&amp;R CP test station (as drawn)</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441</v>
      </c>
      <c r="U5859" s="15" t="n">
        <v>42</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K-C-0125</t>
        </is>
      </c>
      <c r="B5860" s="12" t="inlineStr">
        <is>
          <t>K</t>
        </is>
      </c>
      <c r="C5860" s="12" t="inlineStr">
        <is>
          <t>Fuel supply (adjacent market)</t>
        </is>
      </c>
      <c r="D5860" s="12" t="inlineStr">
        <is>
          <t>Control</t>
        </is>
      </c>
      <c r="E5860" s="12" t="inlineStr"/>
      <c r="F5860" s="12" t="inlineStr">
        <is>
          <t>LNG 17: LNG e-house (13.8 kV / 480 V)</t>
        </is>
      </c>
      <c r="G5860" s="12" t="inlineStr"/>
      <c r="H5860" s="12" t="inlineStr">
        <is>
          <t>M&amp;R SCADA antenna mast base (as drawn)</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433</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K-C-0126</t>
        </is>
      </c>
      <c r="B5861" s="12" t="inlineStr">
        <is>
          <t>K</t>
        </is>
      </c>
      <c r="C5861" s="12" t="inlineStr">
        <is>
          <t>Fuel supply (adjacent market)</t>
        </is>
      </c>
      <c r="D5861" s="12" t="inlineStr">
        <is>
          <t>Control</t>
        </is>
      </c>
      <c r="E5861" s="12" t="inlineStr"/>
      <c r="F5861" s="12" t="inlineStr">
        <is>
          <t>H2 20: 13.8 kV e-house</t>
        </is>
      </c>
      <c r="G5861" s="12" t="inlineStr"/>
      <c r="H5861" s="12" t="inlineStr">
        <is>
          <t>PEM electrolyzer 1 (HyLYZER-1000)</t>
        </is>
      </c>
      <c r="I5861" s="12" t="inlineStr">
        <is>
          <t>Control</t>
        </is>
      </c>
      <c r="J5861" s="12" t="inlineStr">
        <is>
          <t>ARMOR-X MC-HL 600 V control, Cu #14 AWG (Class I Div 2)</t>
        </is>
      </c>
      <c r="K5861" s="12" t="inlineStr">
        <is>
          <t>CTAX|7/C|14</t>
        </is>
      </c>
      <c r="L5861" s="12" t="inlineStr">
        <is>
          <t>7/C</t>
        </is>
      </c>
      <c r="M5861" s="12" t="inlineStr">
        <is>
          <t>14</t>
        </is>
      </c>
      <c r="N5861" s="12" t="n">
        <v>1</v>
      </c>
      <c r="O5861" s="12" t="n">
        <v>1</v>
      </c>
      <c r="P5861" s="12" t="n"/>
      <c r="Q5861" s="12" t="n"/>
      <c r="R5861" s="12" t="n"/>
      <c r="S5861" s="12" t="inlineStr">
        <is>
          <t>Duct bank</t>
        </is>
      </c>
      <c r="T5861" s="15" t="n">
        <v>358</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K-C-0127</t>
        </is>
      </c>
      <c r="B5862" s="12" t="inlineStr">
        <is>
          <t>K</t>
        </is>
      </c>
      <c r="C5862" s="12" t="inlineStr">
        <is>
          <t>Fuel supply (adjacent market)</t>
        </is>
      </c>
      <c r="D5862" s="12" t="inlineStr">
        <is>
          <t>Control</t>
        </is>
      </c>
      <c r="E5862" s="12" t="inlineStr"/>
      <c r="F5862" s="12" t="inlineStr">
        <is>
          <t>H2 20: 13.8 kV e-house</t>
        </is>
      </c>
      <c r="G5862" s="12" t="inlineStr"/>
      <c r="H5862" s="12" t="inlineStr">
        <is>
          <t>PEM electrolyzer 2 (HyLYZER-1000)</t>
        </is>
      </c>
      <c r="I5862" s="12" t="inlineStr">
        <is>
          <t>Control</t>
        </is>
      </c>
      <c r="J5862" s="12" t="inlineStr">
        <is>
          <t>ARMOR-X MC-HL 600 V control, Cu #14 AWG (Class I Div 2)</t>
        </is>
      </c>
      <c r="K5862" s="12" t="inlineStr">
        <is>
          <t>CTAX|7/C|14</t>
        </is>
      </c>
      <c r="L5862" s="12" t="inlineStr">
        <is>
          <t>7/C</t>
        </is>
      </c>
      <c r="M5862" s="12" t="inlineStr">
        <is>
          <t>14</t>
        </is>
      </c>
      <c r="N5862" s="12" t="n">
        <v>1</v>
      </c>
      <c r="O5862" s="12" t="n">
        <v>1</v>
      </c>
      <c r="P5862" s="12" t="n"/>
      <c r="Q5862" s="12" t="n"/>
      <c r="R5862" s="12" t="n"/>
      <c r="S5862" s="12" t="inlineStr">
        <is>
          <t>Duct bank</t>
        </is>
      </c>
      <c r="T5862" s="15" t="n">
        <v>358</v>
      </c>
      <c r="U5862" s="15" t="n">
        <v>48</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K-C-0128</t>
        </is>
      </c>
      <c r="B5863" s="12" t="inlineStr">
        <is>
          <t>K</t>
        </is>
      </c>
      <c r="C5863" s="12" t="inlineStr">
        <is>
          <t>Fuel supply (adjacent market)</t>
        </is>
      </c>
      <c r="D5863" s="12" t="inlineStr">
        <is>
          <t>Control</t>
        </is>
      </c>
      <c r="E5863" s="12" t="inlineStr"/>
      <c r="F5863" s="12" t="inlineStr">
        <is>
          <t>H2 20: 13.8 kV e-house</t>
        </is>
      </c>
      <c r="G5863" s="12" t="inlineStr"/>
      <c r="H5863" s="12" t="inlineStr">
        <is>
          <t>PEM electrolyzer 3 (HyLYZER-1000)</t>
        </is>
      </c>
      <c r="I5863" s="12" t="inlineStr">
        <is>
          <t>Control</t>
        </is>
      </c>
      <c r="J5863" s="12" t="inlineStr">
        <is>
          <t>ARMOR-X MC-HL 600 V control, Cu #14 AWG (Class I Div 2)</t>
        </is>
      </c>
      <c r="K5863" s="12" t="inlineStr">
        <is>
          <t>CTAX|7/C|14</t>
        </is>
      </c>
      <c r="L5863" s="12" t="inlineStr">
        <is>
          <t>7/C</t>
        </is>
      </c>
      <c r="M5863" s="12" t="inlineStr">
        <is>
          <t>14</t>
        </is>
      </c>
      <c r="N5863" s="12" t="n">
        <v>1</v>
      </c>
      <c r="O5863" s="12" t="n">
        <v>1</v>
      </c>
      <c r="P5863" s="12" t="n"/>
      <c r="Q5863" s="12" t="n"/>
      <c r="R5863" s="12" t="n"/>
      <c r="S5863" s="12" t="inlineStr">
        <is>
          <t>Duct bank</t>
        </is>
      </c>
      <c r="T5863" s="15" t="n">
        <v>348</v>
      </c>
      <c r="U5863" s="15" t="n">
        <v>49</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K-C-0129</t>
        </is>
      </c>
      <c r="B5864" s="12" t="inlineStr">
        <is>
          <t>K</t>
        </is>
      </c>
      <c r="C5864" s="12" t="inlineStr">
        <is>
          <t>Fuel supply (adjacent market)</t>
        </is>
      </c>
      <c r="D5864" s="12" t="inlineStr">
        <is>
          <t>Control</t>
        </is>
      </c>
      <c r="E5864" s="12" t="inlineStr"/>
      <c r="F5864" s="12" t="inlineStr">
        <is>
          <t>H2 20: 13.8 kV e-house</t>
        </is>
      </c>
      <c r="G5864" s="12" t="inlineStr"/>
      <c r="H5864" s="12" t="inlineStr">
        <is>
          <t>PEM electrolyzer 4 (HyLYZER-1000)</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Duct bank</t>
        </is>
      </c>
      <c r="T5864" s="15" t="n">
        <v>328</v>
      </c>
      <c r="U5864" s="15" t="n">
        <v>49</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K-C-0130</t>
        </is>
      </c>
      <c r="B5865" s="12" t="inlineStr">
        <is>
          <t>K</t>
        </is>
      </c>
      <c r="C5865" s="12" t="inlineStr">
        <is>
          <t>Fuel supply (adjacent market)</t>
        </is>
      </c>
      <c r="D5865" s="12" t="inlineStr">
        <is>
          <t>Control</t>
        </is>
      </c>
      <c r="E5865" s="12" t="inlineStr"/>
      <c r="F5865" s="12" t="inlineStr">
        <is>
          <t>H2 20: 13.8 kV e-house</t>
        </is>
      </c>
      <c r="G5865" s="12" t="inlineStr"/>
      <c r="H5865" s="12" t="inlineStr">
        <is>
          <t>PEM electrolyzer 5 (HyLYZER-1000)</t>
        </is>
      </c>
      <c r="I5865" s="12" t="inlineStr">
        <is>
          <t>Control</t>
        </is>
      </c>
      <c r="J5865" s="12" t="inlineStr">
        <is>
          <t>ARMOR-X MC-HL 600 V control, Cu #14 AWG (Class I Div 2)</t>
        </is>
      </c>
      <c r="K5865" s="12" t="inlineStr">
        <is>
          <t>CTAX|7/C|14</t>
        </is>
      </c>
      <c r="L5865" s="12" t="inlineStr">
        <is>
          <t>7/C</t>
        </is>
      </c>
      <c r="M5865" s="12" t="inlineStr">
        <is>
          <t>14</t>
        </is>
      </c>
      <c r="N5865" s="12" t="n">
        <v>1</v>
      </c>
      <c r="O5865" s="12" t="n">
        <v>1</v>
      </c>
      <c r="P5865" s="12" t="n"/>
      <c r="Q5865" s="12" t="n"/>
      <c r="R5865" s="12" t="n"/>
      <c r="S5865" s="12" t="inlineStr">
        <is>
          <t>Duct bank</t>
        </is>
      </c>
      <c r="T5865" s="15" t="n">
        <v>328</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K-C-0131</t>
        </is>
      </c>
      <c r="B5866" s="12" t="inlineStr">
        <is>
          <t>K</t>
        </is>
      </c>
      <c r="C5866" s="12" t="inlineStr">
        <is>
          <t>Fuel supply (adjacent market)</t>
        </is>
      </c>
      <c r="D5866" s="12" t="inlineStr">
        <is>
          <t>Control</t>
        </is>
      </c>
      <c r="E5866" s="12" t="inlineStr"/>
      <c r="F5866" s="12" t="inlineStr">
        <is>
          <t>H2 20: 13.8 kV e-house</t>
        </is>
      </c>
      <c r="G5866" s="12" t="inlineStr"/>
      <c r="H5866" s="12" t="inlineStr">
        <is>
          <t>Rectifier 1 (7 MVA)</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Duct bank</t>
        </is>
      </c>
      <c r="T5866" s="15" t="n">
        <v>346</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K-C-0132</t>
        </is>
      </c>
      <c r="B5867" s="12" t="inlineStr">
        <is>
          <t>K</t>
        </is>
      </c>
      <c r="C5867" s="12" t="inlineStr">
        <is>
          <t>Fuel supply (adjacent market)</t>
        </is>
      </c>
      <c r="D5867" s="12" t="inlineStr">
        <is>
          <t>Control</t>
        </is>
      </c>
      <c r="E5867" s="12" t="inlineStr"/>
      <c r="F5867" s="12" t="inlineStr">
        <is>
          <t>H2 20: 13.8 kV e-house</t>
        </is>
      </c>
      <c r="G5867" s="12" t="inlineStr"/>
      <c r="H5867" s="12" t="inlineStr">
        <is>
          <t>Rectifier 2 (7 MVA)</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Duct bank</t>
        </is>
      </c>
      <c r="T5867" s="15" t="n">
        <v>361</v>
      </c>
      <c r="U5867" s="15" t="n">
        <v>32</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K-C-0133</t>
        </is>
      </c>
      <c r="B5868" s="12" t="inlineStr">
        <is>
          <t>K</t>
        </is>
      </c>
      <c r="C5868" s="12" t="inlineStr">
        <is>
          <t>Fuel supply (adjacent market)</t>
        </is>
      </c>
      <c r="D5868" s="12" t="inlineStr">
        <is>
          <t>Control</t>
        </is>
      </c>
      <c r="E5868" s="12" t="inlineStr"/>
      <c r="F5868" s="12" t="inlineStr">
        <is>
          <t>H2 20: 13.8 kV e-house</t>
        </is>
      </c>
      <c r="G5868" s="12" t="inlineStr"/>
      <c r="H5868" s="12" t="inlineStr">
        <is>
          <t>Rectifier 3 (7 MVA)</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Duct bank</t>
        </is>
      </c>
      <c r="T5868" s="15" t="n">
        <v>341</v>
      </c>
      <c r="U5868" s="15" t="n">
        <v>32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K-C-0134</t>
        </is>
      </c>
      <c r="B5869" s="12" t="inlineStr">
        <is>
          <t>K</t>
        </is>
      </c>
      <c r="C5869" s="12" t="inlineStr">
        <is>
          <t>Fuel supply (adjacent market)</t>
        </is>
      </c>
      <c r="D5869" s="12" t="inlineStr">
        <is>
          <t>Control</t>
        </is>
      </c>
      <c r="E5869" s="12" t="inlineStr"/>
      <c r="F5869" s="12" t="inlineStr">
        <is>
          <t>H2 20: 13.8 kV e-house</t>
        </is>
      </c>
      <c r="G5869" s="12" t="inlineStr"/>
      <c r="H5869" s="12" t="inlineStr">
        <is>
          <t>Rectifier 4 (7 MVA)</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Duct bank</t>
        </is>
      </c>
      <c r="T5869" s="15" t="n">
        <v>321</v>
      </c>
      <c r="U5869" s="15" t="n">
        <v>32</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K-C-0135</t>
        </is>
      </c>
      <c r="B5870" s="12" t="inlineStr">
        <is>
          <t>K</t>
        </is>
      </c>
      <c r="C5870" s="12" t="inlineStr">
        <is>
          <t>Fuel supply (adjacent market)</t>
        </is>
      </c>
      <c r="D5870" s="12" t="inlineStr">
        <is>
          <t>Control</t>
        </is>
      </c>
      <c r="E5870" s="12" t="inlineStr"/>
      <c r="F5870" s="12" t="inlineStr">
        <is>
          <t>H2 20: 13.8 kV e-house</t>
        </is>
      </c>
      <c r="G5870" s="12" t="inlineStr"/>
      <c r="H5870" s="12" t="inlineStr">
        <is>
          <t>Rectifier 5 (7 MVA)</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Duct bank</t>
        </is>
      </c>
      <c r="T5870" s="15" t="n">
        <v>301</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K-F-0001</t>
        </is>
      </c>
      <c r="B5871" s="12" t="inlineStr">
        <is>
          <t>K</t>
        </is>
      </c>
      <c r="C5871" s="12" t="inlineStr">
        <is>
          <t>Fuel supply (adjacent market)</t>
        </is>
      </c>
      <c r="D5871" s="12" t="inlineStr">
        <is>
          <t>Plant network / DCS fibre</t>
        </is>
      </c>
      <c r="E5871" s="12" t="inlineStr">
        <is>
          <t>CR</t>
        </is>
      </c>
      <c r="F5871" s="12" t="inlineStr">
        <is>
          <t>Control / admin building (main control room)</t>
        </is>
      </c>
      <c r="G5871" s="12" t="inlineStr"/>
      <c r="H5871" s="12" t="inlineStr">
        <is>
          <t>H2 20: 13.8 kV e-house</t>
        </is>
      </c>
      <c r="I5871" s="12" t="inlineStr">
        <is>
          <t>Fibre / data</t>
        </is>
      </c>
      <c r="J5871" s="12" t="inlineStr">
        <is>
          <t>Fibre optic, single-mode, 12-fibre, armored, orange jacket</t>
        </is>
      </c>
      <c r="K5871" s="12" t="inlineStr">
        <is>
          <t>FO|12 SM|-</t>
        </is>
      </c>
      <c r="L5871" s="12" t="inlineStr">
        <is>
          <t>12 SM</t>
        </is>
      </c>
      <c r="M5871" s="12" t="inlineStr">
        <is>
          <t>-</t>
        </is>
      </c>
      <c r="N5871" s="12" t="n">
        <v>1</v>
      </c>
      <c r="O5871" s="12" t="n">
        <v>1</v>
      </c>
      <c r="P5871" s="12" t="n"/>
      <c r="Q5871" s="12" t="n"/>
      <c r="R5871" s="12" t="n"/>
      <c r="S5871" s="12" t="inlineStr">
        <is>
          <t>Trench</t>
        </is>
      </c>
      <c r="T5871" s="15" t="n">
        <v>4293</v>
      </c>
      <c r="U5871" s="15" t="n">
        <v>36</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K-F-0002</t>
        </is>
      </c>
      <c r="B5872" s="12" t="inlineStr">
        <is>
          <t>K</t>
        </is>
      </c>
      <c r="C5872" s="12" t="inlineStr">
        <is>
          <t>Fuel supply (adjacent market)</t>
        </is>
      </c>
      <c r="D5872" s="12" t="inlineStr">
        <is>
          <t>Plant network / DCS fibre</t>
        </is>
      </c>
      <c r="E5872" s="12" t="inlineStr">
        <is>
          <t>CR</t>
        </is>
      </c>
      <c r="F5872" s="12" t="inlineStr">
        <is>
          <t>Control / admin building (main control room)</t>
        </is>
      </c>
      <c r="G5872" s="12" t="inlineStr"/>
      <c r="H5872" s="12" t="inlineStr">
        <is>
          <t>LNG 17: LNG e-house (13.8 kV / 480 V)</t>
        </is>
      </c>
      <c r="I5872" s="12" t="inlineStr">
        <is>
          <t>Fibre / data</t>
        </is>
      </c>
      <c r="J5872" s="12" t="inlineStr">
        <is>
          <t>Fibre optic, single-mode, 12-fibre, armored, orange jacket</t>
        </is>
      </c>
      <c r="K5872" s="12" t="inlineStr">
        <is>
          <t>FO|12 SM|-</t>
        </is>
      </c>
      <c r="L5872" s="12" t="inlineStr">
        <is>
          <t>12 SM</t>
        </is>
      </c>
      <c r="M5872" s="12" t="inlineStr">
        <is>
          <t>-</t>
        </is>
      </c>
      <c r="N5872" s="12" t="n">
        <v>1</v>
      </c>
      <c r="O5872" s="12" t="n">
        <v>1</v>
      </c>
      <c r="P5872" s="12" t="n"/>
      <c r="Q5872" s="12" t="n"/>
      <c r="R5872" s="12" t="n"/>
      <c r="S5872" s="12" t="inlineStr">
        <is>
          <t>Duct bank</t>
        </is>
      </c>
      <c r="T5872" s="15" t="n">
        <v>3499</v>
      </c>
      <c r="U5872" s="15" t="n">
        <v>359</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K-F-0003</t>
        </is>
      </c>
      <c r="B5873" s="12" t="inlineStr">
        <is>
          <t>K</t>
        </is>
      </c>
      <c r="C5873" s="12" t="inlineStr">
        <is>
          <t>Fuel supply (adjacent market)</t>
        </is>
      </c>
      <c r="D5873" s="12" t="inlineStr">
        <is>
          <t>Plant network / DCS fibre</t>
        </is>
      </c>
      <c r="E5873" s="12" t="inlineStr">
        <is>
          <t>CR</t>
        </is>
      </c>
      <c r="F5873" s="12" t="inlineStr">
        <is>
          <t>Control / admin building (main control room)</t>
        </is>
      </c>
      <c r="G5873" s="12" t="inlineStr"/>
      <c r="H5873" s="12" t="inlineStr">
        <is>
          <t>M&amp;R 6: regulation / flow control building</t>
        </is>
      </c>
      <c r="I5873" s="12" t="inlineStr">
        <is>
          <t>Fibre / data</t>
        </is>
      </c>
      <c r="J5873" s="12" t="inlineStr">
        <is>
          <t>Fibre optic, single-mode, 12-fibre, armored, orange jacket</t>
        </is>
      </c>
      <c r="K5873" s="12" t="inlineStr">
        <is>
          <t>FO|12 SM|-</t>
        </is>
      </c>
      <c r="L5873" s="12" t="inlineStr">
        <is>
          <t>12 SM</t>
        </is>
      </c>
      <c r="M5873" s="12" t="inlineStr">
        <is>
          <t>-</t>
        </is>
      </c>
      <c r="N5873" s="12" t="n">
        <v>1</v>
      </c>
      <c r="O5873" s="12" t="n">
        <v>1</v>
      </c>
      <c r="P5873" s="12" t="n"/>
      <c r="Q5873" s="12" t="n"/>
      <c r="R5873" s="12" t="n"/>
      <c r="S5873" s="12" t="inlineStr">
        <is>
          <t>Duct bank</t>
        </is>
      </c>
      <c r="T5873" s="15" t="n">
        <v>3128</v>
      </c>
      <c r="U5873" s="15" t="n">
        <v>302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K-F-0004</t>
        </is>
      </c>
      <c r="B5874" s="12" t="inlineStr">
        <is>
          <t>K</t>
        </is>
      </c>
      <c r="C5874" s="12" t="inlineStr">
        <is>
          <t>Fuel supply (adjacent market)</t>
        </is>
      </c>
      <c r="D5874" s="12" t="inlineStr">
        <is>
          <t>Plant network / DCS fibre</t>
        </is>
      </c>
      <c r="E5874" s="12" t="inlineStr">
        <is>
          <t>CR</t>
        </is>
      </c>
      <c r="F5874" s="12" t="inlineStr">
        <is>
          <t>Control / admin building (main control room)</t>
        </is>
      </c>
      <c r="G5874" s="12" t="inlineStr"/>
      <c r="H5874" s="12" t="inlineStr">
        <is>
          <t>M&amp;R 7: gas quality + measurement building</t>
        </is>
      </c>
      <c r="I5874" s="12" t="inlineStr">
        <is>
          <t>Fibre / data</t>
        </is>
      </c>
      <c r="J5874" s="12" t="inlineStr">
        <is>
          <t>Fibre optic, single-mode, 12-fibre, armored, orange jacket</t>
        </is>
      </c>
      <c r="K5874" s="12" t="inlineStr">
        <is>
          <t>FO|12 SM|-</t>
        </is>
      </c>
      <c r="L5874" s="12" t="inlineStr">
        <is>
          <t>12 SM</t>
        </is>
      </c>
      <c r="M5874" s="12" t="inlineStr">
        <is>
          <t>-</t>
        </is>
      </c>
      <c r="N5874" s="12" t="n">
        <v>1</v>
      </c>
      <c r="O5874" s="12" t="n">
        <v>1</v>
      </c>
      <c r="P5874" s="12" t="n"/>
      <c r="Q5874" s="12" t="n"/>
      <c r="R5874" s="12" t="n"/>
      <c r="S5874" s="12" t="inlineStr">
        <is>
          <t>Duct bank</t>
        </is>
      </c>
      <c r="T5874" s="15" t="n">
        <v>2978</v>
      </c>
      <c r="U5874" s="15" t="n">
        <v>284</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K-FA-0001</t>
        </is>
      </c>
      <c r="B5875" s="12" t="inlineStr">
        <is>
          <t>K</t>
        </is>
      </c>
      <c r="C5875" s="12" t="inlineStr">
        <is>
          <t>Fuel supply (adjacent market)</t>
        </is>
      </c>
      <c r="D5875" s="12" t="inlineStr">
        <is>
          <t>Fire alarm / F&amp;G loop (to the local FACP / F&amp;G node)</t>
        </is>
      </c>
      <c r="E5875" s="12" t="inlineStr"/>
      <c r="F5875" s="12" t="inlineStr">
        <is>
          <t>H2 20: 13.8 kV e-house</t>
        </is>
      </c>
      <c r="G5875" s="12" t="inlineStr"/>
      <c r="H5875" s="12" t="inlineStr">
        <is>
          <t>H2 20: 13.8 kV e-house</t>
        </is>
      </c>
      <c r="I5875" s="12" t="inlineStr">
        <is>
          <t>Fire alarm</t>
        </is>
      </c>
      <c r="J5875" s="12" t="inlineStr">
        <is>
          <t>Fire alarm FPLR 2/C #14 shielded, red jacket (NEC 760)</t>
        </is>
      </c>
      <c r="K5875" s="12" t="inlineStr">
        <is>
          <t>FA|2/C|14</t>
        </is>
      </c>
      <c r="L5875" s="12" t="inlineStr">
        <is>
          <t>2/C</t>
        </is>
      </c>
      <c r="M5875" s="12" t="inlineStr">
        <is>
          <t>14</t>
        </is>
      </c>
      <c r="N5875" s="12" t="n">
        <v>1</v>
      </c>
      <c r="O5875" s="12" t="n">
        <v>1</v>
      </c>
      <c r="P5875" s="12" t="n"/>
      <c r="Q5875" s="12" t="n"/>
      <c r="R5875" s="12" t="n"/>
      <c r="S5875" s="12" t="inlineStr">
        <is>
          <t>Tray</t>
        </is>
      </c>
      <c r="T5875" s="15" t="n">
        <v>0</v>
      </c>
      <c r="U5875" s="15" t="n">
        <v>32</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K-FA-0002</t>
        </is>
      </c>
      <c r="B5876" s="12" t="inlineStr">
        <is>
          <t>K</t>
        </is>
      </c>
      <c r="C5876" s="12" t="inlineStr">
        <is>
          <t>Fuel supply (adjacent market)</t>
        </is>
      </c>
      <c r="D5876" s="12" t="inlineStr">
        <is>
          <t>Fire alarm / F&amp;G loop (to the local FACP / F&amp;G node)</t>
        </is>
      </c>
      <c r="E5876" s="12" t="inlineStr"/>
      <c r="F5876" s="12" t="inlineStr">
        <is>
          <t>LNG 17: LNG e-house (13.8 kV / 480 V)</t>
        </is>
      </c>
      <c r="G5876" s="12" t="inlineStr"/>
      <c r="H5876" s="12" t="inlineStr">
        <is>
          <t>LNG 17: LNG e-house (13.8 kV / 480 V)</t>
        </is>
      </c>
      <c r="I5876" s="12" t="inlineStr">
        <is>
          <t>Fire alarm</t>
        </is>
      </c>
      <c r="J5876" s="12" t="inlineStr">
        <is>
          <t>Fire alarm FPLR 2/C #14 shielded, red jacket (NEC 760)</t>
        </is>
      </c>
      <c r="K5876" s="12" t="inlineStr">
        <is>
          <t>FA|2/C|14</t>
        </is>
      </c>
      <c r="L5876" s="12" t="inlineStr">
        <is>
          <t>2/C</t>
        </is>
      </c>
      <c r="M5876" s="12" t="inlineStr">
        <is>
          <t>14</t>
        </is>
      </c>
      <c r="N5876" s="12" t="n">
        <v>1</v>
      </c>
      <c r="O5876" s="12" t="n">
        <v>1</v>
      </c>
      <c r="P5876" s="12" t="n"/>
      <c r="Q5876" s="12" t="n"/>
      <c r="R5876" s="12" t="n"/>
      <c r="S5876" s="12" t="inlineStr">
        <is>
          <t>Tray</t>
        </is>
      </c>
      <c r="T5876" s="15" t="n">
        <v>0</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K-FA-0003</t>
        </is>
      </c>
      <c r="B5877" s="12" t="inlineStr">
        <is>
          <t>K</t>
        </is>
      </c>
      <c r="C5877" s="12" t="inlineStr">
        <is>
          <t>Fuel supply (adjacent market)</t>
        </is>
      </c>
      <c r="D5877" s="12" t="inlineStr">
        <is>
          <t>Fire alarm / F&amp;G loop (to the local FACP / F&amp;G node)</t>
        </is>
      </c>
      <c r="E5877" s="12" t="inlineStr"/>
      <c r="F5877" s="12" t="inlineStr">
        <is>
          <t>LNG 17: LNG e-house (13.8 kV / 480 V)</t>
        </is>
      </c>
      <c r="G5877" s="12" t="inlineStr"/>
      <c r="H5877" s="12" t="inlineStr">
        <is>
          <t>M&amp;R 6: regulation / flow control building</t>
        </is>
      </c>
      <c r="I5877" s="12" t="inlineStr">
        <is>
          <t>Fire alarm</t>
        </is>
      </c>
      <c r="J5877" s="12" t="inlineStr">
        <is>
          <t>Fire alarm FPLR 2/C #14 shielded, red jacket (NEC 760)</t>
        </is>
      </c>
      <c r="K5877" s="12" t="inlineStr">
        <is>
          <t>FA|2/C|14</t>
        </is>
      </c>
      <c r="L5877" s="12" t="inlineStr">
        <is>
          <t>2/C</t>
        </is>
      </c>
      <c r="M5877" s="12" t="inlineStr">
        <is>
          <t>14</t>
        </is>
      </c>
      <c r="N5877" s="12" t="n">
        <v>1</v>
      </c>
      <c r="O5877" s="12" t="n">
        <v>1</v>
      </c>
      <c r="P5877" s="12" t="n"/>
      <c r="Q5877" s="12" t="n"/>
      <c r="R5877" s="12" t="n"/>
      <c r="S5877" s="12" t="inlineStr">
        <is>
          <t>Duct bank</t>
        </is>
      </c>
      <c r="T5877" s="15" t="n">
        <v>470</v>
      </c>
      <c r="U5877" s="15" t="n">
        <v>70</v>
      </c>
      <c r="V5877" s="15">
        <f>ROUNDUP((T5877+U5877+2*'Read Me'!$B$13)*(1+'Read Me'!$B$12),-1)</f>
        <v/>
      </c>
      <c r="W5877" s="15">
        <f>V5877*N5877*O5877</f>
        <v/>
      </c>
      <c r="X5877" s="12">
        <f>IF(LEFT(I5877,2)="MV",2*N5877*IF(L5877="1/C",O5877,1),0)</f>
        <v/>
      </c>
      <c r="Y5877" s="12">
        <f>IF(OR(LEFT(K5877,4)="LVAX",LEFT(K5877,6)="MV15AX",LEFT(K5877,4)="CTAX",LEFT(K5877,2)="W|"),2*N5877*O5877,0)</f>
        <v/>
      </c>
      <c r="Z5877" s="12" t="inlineStr"/>
      <c r="AA5877" s="12">
        <f>N5877*O5877</f>
        <v/>
      </c>
    </row>
    <row r="5878">
      <c r="A5878" s="12" t="inlineStr">
        <is>
          <t>K-FA-0004</t>
        </is>
      </c>
      <c r="B5878" s="12" t="inlineStr">
        <is>
          <t>K</t>
        </is>
      </c>
      <c r="C5878" s="12" t="inlineStr">
        <is>
          <t>Fuel supply (adjacent market)</t>
        </is>
      </c>
      <c r="D5878" s="12" t="inlineStr">
        <is>
          <t>Fire alarm / F&amp;G loop (to the local FACP / F&amp;G node)</t>
        </is>
      </c>
      <c r="E5878" s="12" t="inlineStr"/>
      <c r="F5878" s="12" t="inlineStr">
        <is>
          <t>LNG 17: LNG e-house (13.8 kV / 480 V)</t>
        </is>
      </c>
      <c r="G5878" s="12" t="inlineStr"/>
      <c r="H5878" s="12" t="inlineStr">
        <is>
          <t>M&amp;R 9: service panel + UPS, SCADA RTU, CP</t>
        </is>
      </c>
      <c r="I5878" s="12" t="inlineStr">
        <is>
          <t>Fire alarm</t>
        </is>
      </c>
      <c r="J5878" s="12" t="inlineStr">
        <is>
          <t>Fire alarm FPLR 2/C #14 shielded, red jacket (NEC 760)</t>
        </is>
      </c>
      <c r="K5878" s="12" t="inlineStr">
        <is>
          <t>FA|2/C|14</t>
        </is>
      </c>
      <c r="L5878" s="12" t="inlineStr">
        <is>
          <t>2/C</t>
        </is>
      </c>
      <c r="M5878" s="12" t="inlineStr">
        <is>
          <t>14</t>
        </is>
      </c>
      <c r="N5878" s="12" t="n">
        <v>1</v>
      </c>
      <c r="O5878" s="12" t="n">
        <v>1</v>
      </c>
      <c r="P5878" s="12" t="n"/>
      <c r="Q5878" s="12" t="n"/>
      <c r="R5878" s="12" t="n"/>
      <c r="S5878" s="12" t="inlineStr">
        <is>
          <t>Duct bank</t>
        </is>
      </c>
      <c r="T5878" s="15" t="n">
        <v>466</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K-FA-0005</t>
        </is>
      </c>
      <c r="B5879" s="12" t="inlineStr">
        <is>
          <t>K</t>
        </is>
      </c>
      <c r="C5879" s="12" t="inlineStr">
        <is>
          <t>Fuel supply (adjacent market)</t>
        </is>
      </c>
      <c r="D5879" s="12" t="inlineStr">
        <is>
          <t>Fire alarm / F&amp;G loop (to the local FACP / F&amp;G node)</t>
        </is>
      </c>
      <c r="E5879" s="12" t="inlineStr"/>
      <c r="F5879" s="12" t="inlineStr">
        <is>
          <t>LNG 17: LNG e-house (13.8 kV / 480 V)</t>
        </is>
      </c>
      <c r="G5879" s="12" t="inlineStr"/>
      <c r="H5879" s="12" t="inlineStr">
        <is>
          <t>M&amp;R SCADA antenna mast base (as drawn)</t>
        </is>
      </c>
      <c r="I5879" s="12" t="inlineStr">
        <is>
          <t>Fire alarm</t>
        </is>
      </c>
      <c r="J5879" s="12" t="inlineStr">
        <is>
          <t>Fire alarm FPLR 2/C #14 shielded, red jacket (NEC 760)</t>
        </is>
      </c>
      <c r="K5879" s="12" t="inlineStr">
        <is>
          <t>FA|2/C|14</t>
        </is>
      </c>
      <c r="L5879" s="12" t="inlineStr">
        <is>
          <t>2/C</t>
        </is>
      </c>
      <c r="M5879" s="12" t="inlineStr">
        <is>
          <t>14</t>
        </is>
      </c>
      <c r="N5879" s="12" t="n">
        <v>1</v>
      </c>
      <c r="O5879" s="12" t="n">
        <v>1</v>
      </c>
      <c r="P5879" s="12" t="n"/>
      <c r="Q5879" s="12" t="n"/>
      <c r="R5879" s="12" t="n"/>
      <c r="S5879" s="12" t="inlineStr">
        <is>
          <t>Duct bank</t>
        </is>
      </c>
      <c r="T5879" s="15" t="n">
        <v>433</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K-I-0001</t>
        </is>
      </c>
      <c r="B5880" s="12" t="inlineStr">
        <is>
          <t>K</t>
        </is>
      </c>
      <c r="C5880" s="12" t="inlineStr">
        <is>
          <t>Fuel supply (adjacent market)</t>
        </is>
      </c>
      <c r="D5880" s="12" t="inlineStr">
        <is>
          <t>Analog instrument to JB JB-T-H2-AI01: 12 x 1 pr (field cables)</t>
        </is>
      </c>
      <c r="E5880" s="12" t="inlineStr">
        <is>
          <t>T-H2</t>
        </is>
      </c>
      <c r="F5880" s="12" t="inlineStr">
        <is>
          <t>H2 19: T-H2 230/13.8 kV (about 40 MVA)</t>
        </is>
      </c>
      <c r="G5880" s="12" t="inlineStr">
        <is>
          <t>JB-T-H2-AI01</t>
        </is>
      </c>
      <c r="H5880" s="12" t="inlineStr">
        <is>
          <t>H2 19: T-H2 230/13.8 kV (about 40 MVA)</t>
        </is>
      </c>
      <c r="I5880" s="12" t="inlineStr">
        <is>
          <t>Instrumentation</t>
        </is>
      </c>
      <c r="J5880" s="12" t="inlineStr">
        <is>
          <t>Instrumentation ITC / PLTC, IS, #18 shielded pairs, blue jacket</t>
        </is>
      </c>
      <c r="K5880" s="12" t="inlineStr">
        <is>
          <t>ITC|1 pr|16</t>
        </is>
      </c>
      <c r="L5880" s="12" t="inlineStr">
        <is>
          <t>1 pr</t>
        </is>
      </c>
      <c r="M5880" s="12" t="inlineStr">
        <is>
          <t>16</t>
        </is>
      </c>
      <c r="N5880" s="12" t="n">
        <v>12</v>
      </c>
      <c r="O5880" s="12" t="n">
        <v>1</v>
      </c>
      <c r="P5880" s="12" t="n"/>
      <c r="Q5880" s="12" t="n"/>
      <c r="R5880" s="12" t="n"/>
      <c r="S5880" s="12" t="inlineStr">
        <is>
          <t>Tray / conduit</t>
        </is>
      </c>
      <c r="T5880" s="15" t="n">
        <v>80</v>
      </c>
      <c r="U5880" s="15" t="n">
        <v>10</v>
      </c>
      <c r="V5880" s="15">
        <f>ROUNDUP((T5880+U5880+2*'Read Me'!$B$13)*(1+'Read Me'!$B$12),-1)</f>
        <v/>
      </c>
      <c r="W5880" s="15">
        <f>V5880*N5880*O5880</f>
        <v/>
      </c>
      <c r="X5880" s="12">
        <f>IF(LEFT(I5880,2)="MV",2*N5880*IF(L5880="1/C",O5880,1),0)</f>
        <v/>
      </c>
      <c r="Y5880" s="12">
        <f>IF(OR(LEFT(K5880,4)="LVAX",LEFT(K5880,6)="MV15AX",LEFT(K5880,4)="CTAX",LEFT(K5880,2)="W|"),2*N5880*O5880,0)</f>
        <v/>
      </c>
      <c r="Z5880" s="12" t="inlineStr">
        <is>
          <t>device-to-JB field wiring, one cable per device</t>
        </is>
      </c>
      <c r="AA5880" s="12">
        <f>N5880*O5880</f>
        <v/>
      </c>
    </row>
    <row r="5881">
      <c r="A5881" s="12" t="inlineStr">
        <is>
          <t>K-I-0002</t>
        </is>
      </c>
      <c r="B5881" s="12" t="inlineStr">
        <is>
          <t>K</t>
        </is>
      </c>
      <c r="C5881" s="12" t="inlineStr">
        <is>
          <t>Fuel supply (adjacent market)</t>
        </is>
      </c>
      <c r="D5881" s="12" t="inlineStr">
        <is>
          <t>Home run JB-T-H2-AI01 to the control / marshalling room</t>
        </is>
      </c>
      <c r="E5881" s="12" t="inlineStr"/>
      <c r="F5881" s="12" t="inlineStr">
        <is>
          <t>H2 20: 13.8 kV e-house</t>
        </is>
      </c>
      <c r="G5881" s="12" t="inlineStr">
        <is>
          <t>JB-T-H2-AI01</t>
        </is>
      </c>
      <c r="H5881" s="12" t="inlineStr">
        <is>
          <t>H2 19: T-H2 230/13.8 kV (about 40 MVA)</t>
        </is>
      </c>
      <c r="I5881" s="12" t="inlineStr">
        <is>
          <t>Instrumentation</t>
        </is>
      </c>
      <c r="J5881" s="12" t="inlineStr">
        <is>
          <t>Instrumentation ITC / PLTC, IS, #18 shielded pairs, blue jacket</t>
        </is>
      </c>
      <c r="K5881" s="12" t="inlineStr">
        <is>
          <t>ITC|24 pr|18</t>
        </is>
      </c>
      <c r="L5881" s="12" t="inlineStr">
        <is>
          <t>24 pr</t>
        </is>
      </c>
      <c r="M5881" s="12" t="inlineStr">
        <is>
          <t>18</t>
        </is>
      </c>
      <c r="N5881" s="12" t="n">
        <v>1</v>
      </c>
      <c r="O5881" s="12" t="n">
        <v>1</v>
      </c>
      <c r="P5881" s="12" t="n"/>
      <c r="Q5881" s="12" t="n"/>
      <c r="R5881" s="12" t="n"/>
      <c r="S5881" s="12" t="inlineStr">
        <is>
          <t>Duct bank</t>
        </is>
      </c>
      <c r="T5881" s="15" t="n">
        <v>35</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K-I-0003</t>
        </is>
      </c>
      <c r="B5882" s="12" t="inlineStr">
        <is>
          <t>K</t>
        </is>
      </c>
      <c r="C5882" s="12" t="inlineStr">
        <is>
          <t>Fuel supply (adjacent market)</t>
        </is>
      </c>
      <c r="D5882" s="12" t="inlineStr">
        <is>
          <t>Discrete device to JB JB-T-H2-DI01: 12 x 1 pr (field cables)</t>
        </is>
      </c>
      <c r="E5882" s="12" t="inlineStr">
        <is>
          <t>T-H2</t>
        </is>
      </c>
      <c r="F5882" s="12" t="inlineStr">
        <is>
          <t>H2 19: T-H2 230/13.8 kV (about 40 MVA)</t>
        </is>
      </c>
      <c r="G5882" s="12" t="inlineStr">
        <is>
          <t>JB-T-H2-DI01</t>
        </is>
      </c>
      <c r="H5882" s="12" t="inlineStr">
        <is>
          <t>H2 19: T-H2 230/13.8 kV (about 40 MVA)</t>
        </is>
      </c>
      <c r="I5882" s="12" t="inlineStr">
        <is>
          <t>Instrumentation</t>
        </is>
      </c>
      <c r="J5882" s="12" t="inlineStr">
        <is>
          <t>Instrumentation ITC / PLTC, IS, #18 shielded pairs, blue jacket</t>
        </is>
      </c>
      <c r="K5882" s="12" t="inlineStr">
        <is>
          <t>ITC|1 pr|16</t>
        </is>
      </c>
      <c r="L5882" s="12" t="inlineStr">
        <is>
          <t>1 pr</t>
        </is>
      </c>
      <c r="M5882" s="12" t="inlineStr">
        <is>
          <t>16</t>
        </is>
      </c>
      <c r="N5882" s="12" t="n">
        <v>12</v>
      </c>
      <c r="O5882" s="12" t="n">
        <v>1</v>
      </c>
      <c r="P5882" s="12" t="n"/>
      <c r="Q5882" s="12" t="n"/>
      <c r="R5882" s="12" t="n"/>
      <c r="S5882" s="12" t="inlineStr">
        <is>
          <t>Tray / conduit</t>
        </is>
      </c>
      <c r="T5882" s="15" t="n">
        <v>80</v>
      </c>
      <c r="U5882" s="15" t="n">
        <v>10</v>
      </c>
      <c r="V5882" s="15">
        <f>ROUNDUP((T5882+U5882+2*'Read Me'!$B$13)*(1+'Read Me'!$B$12),-1)</f>
        <v/>
      </c>
      <c r="W5882" s="15">
        <f>V5882*N5882*O5882</f>
        <v/>
      </c>
      <c r="X5882" s="12">
        <f>IF(LEFT(I5882,2)="MV",2*N5882*IF(L5882="1/C",O5882,1),0)</f>
        <v/>
      </c>
      <c r="Y5882" s="12">
        <f>IF(OR(LEFT(K5882,4)="LVAX",LEFT(K5882,6)="MV15AX",LEFT(K5882,4)="CTAX",LEFT(K5882,2)="W|"),2*N5882*O5882,0)</f>
        <v/>
      </c>
      <c r="Z5882" s="12" t="inlineStr">
        <is>
          <t>device-to-JB field wiring, one cable per device</t>
        </is>
      </c>
      <c r="AA5882" s="12">
        <f>N5882*O5882</f>
        <v/>
      </c>
    </row>
    <row r="5883">
      <c r="A5883" s="12" t="inlineStr">
        <is>
          <t>K-I-0004</t>
        </is>
      </c>
      <c r="B5883" s="12" t="inlineStr">
        <is>
          <t>K</t>
        </is>
      </c>
      <c r="C5883" s="12" t="inlineStr">
        <is>
          <t>Fuel supply (adjacent market)</t>
        </is>
      </c>
      <c r="D5883" s="12" t="inlineStr">
        <is>
          <t>Home run JB-T-H2-DI01 to the control / marshalling room</t>
        </is>
      </c>
      <c r="E5883" s="12" t="inlineStr"/>
      <c r="F5883" s="12" t="inlineStr">
        <is>
          <t>H2 20: 13.8 kV e-house</t>
        </is>
      </c>
      <c r="G5883" s="12" t="inlineStr">
        <is>
          <t>JB-T-H2-DI01</t>
        </is>
      </c>
      <c r="H5883" s="12" t="inlineStr">
        <is>
          <t>H2 19: T-H2 230/13.8 kV (about 40 MVA)</t>
        </is>
      </c>
      <c r="I5883" s="12" t="inlineStr">
        <is>
          <t>Instrumentation</t>
        </is>
      </c>
      <c r="J5883" s="12" t="inlineStr">
        <is>
          <t>Instrumentation ITC / PLTC, IS, #18 shielded pairs, blue jacket</t>
        </is>
      </c>
      <c r="K5883" s="12" t="inlineStr">
        <is>
          <t>ITC|24 pr|18</t>
        </is>
      </c>
      <c r="L5883" s="12" t="inlineStr">
        <is>
          <t>24 pr</t>
        </is>
      </c>
      <c r="M5883" s="12" t="inlineStr">
        <is>
          <t>18</t>
        </is>
      </c>
      <c r="N5883" s="12" t="n">
        <v>1</v>
      </c>
      <c r="O5883" s="12" t="n">
        <v>1</v>
      </c>
      <c r="P5883" s="12" t="n"/>
      <c r="Q5883" s="12" t="n"/>
      <c r="R5883" s="12" t="n"/>
      <c r="S5883" s="12" t="inlineStr">
        <is>
          <t>Duct bank</t>
        </is>
      </c>
      <c r="T5883" s="15" t="n">
        <v>35</v>
      </c>
      <c r="U5883" s="15" t="n">
        <v>32</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K-I-0005</t>
        </is>
      </c>
      <c r="B5884" s="12" t="inlineStr">
        <is>
          <t>K</t>
        </is>
      </c>
      <c r="C5884" s="12" t="inlineStr">
        <is>
          <t>Fuel supply (adjacent market)</t>
        </is>
      </c>
      <c r="D5884" s="12" t="inlineStr">
        <is>
          <t>Analog instrument to JB JB-H2 20: 13.8 kV e-h-AI01: 12 x 1 pr (field cables)</t>
        </is>
      </c>
      <c r="E5884" s="12" t="inlineStr"/>
      <c r="F5884" s="12" t="inlineStr">
        <is>
          <t>H2 20: 13.8 kV e-house</t>
        </is>
      </c>
      <c r="G5884" s="12" t="inlineStr">
        <is>
          <t>JB-H2 20: 13.8 kV e-h-AI01</t>
        </is>
      </c>
      <c r="H5884" s="12" t="inlineStr">
        <is>
          <t>H2 20: 13.8 kV e-house</t>
        </is>
      </c>
      <c r="I5884" s="12" t="inlineStr">
        <is>
          <t>Instrumentation</t>
        </is>
      </c>
      <c r="J5884" s="12" t="inlineStr">
        <is>
          <t>Instrumentation ITC / PLTC, IS, #18 shielded pairs, blue jacket</t>
        </is>
      </c>
      <c r="K5884" s="12" t="inlineStr">
        <is>
          <t>ITC|1 pr|16</t>
        </is>
      </c>
      <c r="L5884" s="12" t="inlineStr">
        <is>
          <t>1 pr</t>
        </is>
      </c>
      <c r="M5884" s="12" t="inlineStr">
        <is>
          <t>16</t>
        </is>
      </c>
      <c r="N5884" s="12" t="n">
        <v>12</v>
      </c>
      <c r="O5884" s="12" t="n">
        <v>1</v>
      </c>
      <c r="P5884" s="12" t="n"/>
      <c r="Q5884" s="12" t="n"/>
      <c r="R5884" s="12" t="n"/>
      <c r="S5884" s="12" t="inlineStr">
        <is>
          <t>Tray / conduit</t>
        </is>
      </c>
      <c r="T5884" s="15" t="n">
        <v>69</v>
      </c>
      <c r="U5884" s="15" t="n">
        <v>10</v>
      </c>
      <c r="V5884" s="15">
        <f>ROUNDUP((T5884+U5884+2*'Read Me'!$B$13)*(1+'Read Me'!$B$12),-1)</f>
        <v/>
      </c>
      <c r="W5884" s="15">
        <f>V5884*N5884*O5884</f>
        <v/>
      </c>
      <c r="X5884" s="12">
        <f>IF(LEFT(I5884,2)="MV",2*N5884*IF(L5884="1/C",O5884,1),0)</f>
        <v/>
      </c>
      <c r="Y5884" s="12">
        <f>IF(OR(LEFT(K5884,4)="LVAX",LEFT(K5884,6)="MV15AX",LEFT(K5884,4)="CTAX",LEFT(K5884,2)="W|"),2*N5884*O5884,0)</f>
        <v/>
      </c>
      <c r="Z5884" s="12" t="inlineStr">
        <is>
          <t>device-to-JB field wiring, one cable per device</t>
        </is>
      </c>
      <c r="AA5884" s="12">
        <f>N5884*O5884</f>
        <v/>
      </c>
    </row>
    <row r="5885">
      <c r="A5885" s="12" t="inlineStr">
        <is>
          <t>K-I-0006</t>
        </is>
      </c>
      <c r="B5885" s="12" t="inlineStr">
        <is>
          <t>K</t>
        </is>
      </c>
      <c r="C5885" s="12" t="inlineStr">
        <is>
          <t>Fuel supply (adjacent market)</t>
        </is>
      </c>
      <c r="D5885" s="12" t="inlineStr">
        <is>
          <t>Home run JB-H2 20: 13.8 kV e-h-AI01 to the control / marshalling room</t>
        </is>
      </c>
      <c r="E5885" s="12" t="inlineStr"/>
      <c r="F5885" s="12" t="inlineStr">
        <is>
          <t>H2 20: 13.8 kV e-house</t>
        </is>
      </c>
      <c r="G5885" s="12" t="inlineStr">
        <is>
          <t>JB-H2 20: 13.8 kV e-h-AI01</t>
        </is>
      </c>
      <c r="H5885" s="12" t="inlineStr">
        <is>
          <t>H2 20: 13.8 kV e-house</t>
        </is>
      </c>
      <c r="I5885" s="12" t="inlineStr">
        <is>
          <t>Instrumentation</t>
        </is>
      </c>
      <c r="J5885" s="12" t="inlineStr">
        <is>
          <t>Instrumentation ITC / PLTC, IS, #18 shielded pairs, blue jacket</t>
        </is>
      </c>
      <c r="K5885" s="12" t="inlineStr">
        <is>
          <t>ITC|24 pr|18</t>
        </is>
      </c>
      <c r="L5885" s="12" t="inlineStr">
        <is>
          <t>24 pr</t>
        </is>
      </c>
      <c r="M5885" s="12" t="inlineStr">
        <is>
          <t>18</t>
        </is>
      </c>
      <c r="N5885" s="12" t="n">
        <v>1</v>
      </c>
      <c r="O5885" s="12" t="n">
        <v>1</v>
      </c>
      <c r="P5885" s="12" t="n"/>
      <c r="Q5885" s="12" t="n"/>
      <c r="R5885" s="12" t="n"/>
      <c r="S5885" s="12" t="inlineStr">
        <is>
          <t>Tray</t>
        </is>
      </c>
      <c r="T5885" s="15" t="n">
        <v>0</v>
      </c>
      <c r="U5885" s="15" t="n">
        <v>32</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K-I-0007</t>
        </is>
      </c>
      <c r="B5886" s="12" t="inlineStr">
        <is>
          <t>K</t>
        </is>
      </c>
      <c r="C5886" s="12" t="inlineStr">
        <is>
          <t>Fuel supply (adjacent market)</t>
        </is>
      </c>
      <c r="D5886" s="12" t="inlineStr">
        <is>
          <t>Discrete device to JB JB-H2 20: 13.8 kV e-h-DI01: 12 x 1 pr (field cables)</t>
        </is>
      </c>
      <c r="E5886" s="12" t="inlineStr"/>
      <c r="F5886" s="12" t="inlineStr">
        <is>
          <t>H2 20: 13.8 kV e-house</t>
        </is>
      </c>
      <c r="G5886" s="12" t="inlineStr">
        <is>
          <t>JB-H2 20: 13.8 kV e-h-DI01</t>
        </is>
      </c>
      <c r="H5886" s="12" t="inlineStr">
        <is>
          <t>H2 20: 13.8 kV e-house</t>
        </is>
      </c>
      <c r="I5886" s="12" t="inlineStr">
        <is>
          <t>Instrumentation</t>
        </is>
      </c>
      <c r="J5886" s="12" t="inlineStr">
        <is>
          <t>Instrumentation ITC / PLTC, IS, #18 shielded pairs, blue jacket</t>
        </is>
      </c>
      <c r="K5886" s="12" t="inlineStr">
        <is>
          <t>ITC|1 pr|16</t>
        </is>
      </c>
      <c r="L5886" s="12" t="inlineStr">
        <is>
          <t>1 pr</t>
        </is>
      </c>
      <c r="M5886" s="12" t="inlineStr">
        <is>
          <t>16</t>
        </is>
      </c>
      <c r="N5886" s="12" t="n">
        <v>12</v>
      </c>
      <c r="O5886" s="12" t="n">
        <v>1</v>
      </c>
      <c r="P5886" s="12" t="n"/>
      <c r="Q5886" s="12" t="n"/>
      <c r="R5886" s="12" t="n"/>
      <c r="S5886" s="12" t="inlineStr">
        <is>
          <t>Tray / conduit</t>
        </is>
      </c>
      <c r="T5886" s="15" t="n">
        <v>69</v>
      </c>
      <c r="U5886" s="15" t="n">
        <v>10</v>
      </c>
      <c r="V5886" s="15">
        <f>ROUNDUP((T5886+U5886+2*'Read Me'!$B$13)*(1+'Read Me'!$B$12),-1)</f>
        <v/>
      </c>
      <c r="W5886" s="15">
        <f>V5886*N5886*O5886</f>
        <v/>
      </c>
      <c r="X5886" s="12">
        <f>IF(LEFT(I5886,2)="MV",2*N5886*IF(L5886="1/C",O5886,1),0)</f>
        <v/>
      </c>
      <c r="Y5886" s="12">
        <f>IF(OR(LEFT(K5886,4)="LVAX",LEFT(K5886,6)="MV15AX",LEFT(K5886,4)="CTAX",LEFT(K5886,2)="W|"),2*N5886*O5886,0)</f>
        <v/>
      </c>
      <c r="Z5886" s="12" t="inlineStr">
        <is>
          <t>device-to-JB field wiring, one cable per device</t>
        </is>
      </c>
      <c r="AA5886" s="12">
        <f>N5886*O5886</f>
        <v/>
      </c>
    </row>
    <row r="5887">
      <c r="A5887" s="12" t="inlineStr">
        <is>
          <t>K-I-0008</t>
        </is>
      </c>
      <c r="B5887" s="12" t="inlineStr">
        <is>
          <t>K</t>
        </is>
      </c>
      <c r="C5887" s="12" t="inlineStr">
        <is>
          <t>Fuel supply (adjacent market)</t>
        </is>
      </c>
      <c r="D5887" s="12" t="inlineStr">
        <is>
          <t>Home run JB-H2 20: 13.8 kV e-h-DI01 to the control / marshalling room</t>
        </is>
      </c>
      <c r="E5887" s="12" t="inlineStr"/>
      <c r="F5887" s="12" t="inlineStr">
        <is>
          <t>H2 20: 13.8 kV e-house</t>
        </is>
      </c>
      <c r="G5887" s="12" t="inlineStr">
        <is>
          <t>JB-H2 20: 13.8 kV e-h-DI01</t>
        </is>
      </c>
      <c r="H5887" s="12" t="inlineStr">
        <is>
          <t>H2 20: 13.8 kV e-house</t>
        </is>
      </c>
      <c r="I5887" s="12" t="inlineStr">
        <is>
          <t>Instrumentation</t>
        </is>
      </c>
      <c r="J5887" s="12" t="inlineStr">
        <is>
          <t>Instrumentation ITC / PLTC, IS, #18 shielded pairs, blue jacket</t>
        </is>
      </c>
      <c r="K5887" s="12" t="inlineStr">
        <is>
          <t>ITC|24 pr|18</t>
        </is>
      </c>
      <c r="L5887" s="12" t="inlineStr">
        <is>
          <t>24 pr</t>
        </is>
      </c>
      <c r="M5887" s="12" t="inlineStr">
        <is>
          <t>18</t>
        </is>
      </c>
      <c r="N5887" s="12" t="n">
        <v>1</v>
      </c>
      <c r="O5887" s="12" t="n">
        <v>1</v>
      </c>
      <c r="P5887" s="12" t="n"/>
      <c r="Q5887" s="12" t="n"/>
      <c r="R5887" s="12" t="n"/>
      <c r="S5887" s="12" t="inlineStr">
        <is>
          <t>Tray</t>
        </is>
      </c>
      <c r="T5887" s="15" t="n">
        <v>0</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K-I-0009</t>
        </is>
      </c>
      <c r="B5888" s="12" t="inlineStr">
        <is>
          <t>K</t>
        </is>
      </c>
      <c r="C5888" s="12" t="inlineStr">
        <is>
          <t>Fuel supply (adjacent market)</t>
        </is>
      </c>
      <c r="D5888" s="12" t="inlineStr">
        <is>
          <t>Analog instrument to JB JB-H2 21: rectifier t-AI01: 12 x 1 pr (field cables)</t>
        </is>
      </c>
      <c r="E5888" s="12" t="inlineStr"/>
      <c r="F5888" s="12" t="inlineStr">
        <is>
          <t>H2 21: rectifier transformer 1 (7 MVA)</t>
        </is>
      </c>
      <c r="G5888" s="12" t="inlineStr">
        <is>
          <t>JB-H2 21: rectifier t-AI01</t>
        </is>
      </c>
      <c r="H5888" s="12" t="inlineStr">
        <is>
          <t>H2 21: rectifier transformer 1 (7 MVA)</t>
        </is>
      </c>
      <c r="I5888" s="12" t="inlineStr">
        <is>
          <t>Instrumentation</t>
        </is>
      </c>
      <c r="J5888" s="12" t="inlineStr">
        <is>
          <t>Instrumentation ITC / PLTC, IS, #18 shielded pairs, blue jacket</t>
        </is>
      </c>
      <c r="K5888" s="12" t="inlineStr">
        <is>
          <t>ITC|1 pr|16</t>
        </is>
      </c>
      <c r="L5888" s="12" t="inlineStr">
        <is>
          <t>1 pr</t>
        </is>
      </c>
      <c r="M5888" s="12" t="inlineStr">
        <is>
          <t>16</t>
        </is>
      </c>
      <c r="N5888" s="12" t="n">
        <v>12</v>
      </c>
      <c r="O5888" s="12" t="n">
        <v>1</v>
      </c>
      <c r="P5888" s="12" t="n"/>
      <c r="Q5888" s="12" t="n"/>
      <c r="R5888" s="12" t="n"/>
      <c r="S5888" s="12" t="inlineStr">
        <is>
          <t>Tray / conduit</t>
        </is>
      </c>
      <c r="T5888" s="15" t="n">
        <v>41</v>
      </c>
      <c r="U5888" s="15" t="n">
        <v>10</v>
      </c>
      <c r="V5888" s="15">
        <f>ROUNDUP((T5888+U5888+2*'Read Me'!$B$13)*(1+'Read Me'!$B$12),-1)</f>
        <v/>
      </c>
      <c r="W5888" s="15">
        <f>V5888*N5888*O5888</f>
        <v/>
      </c>
      <c r="X5888" s="12">
        <f>IF(LEFT(I5888,2)="MV",2*N5888*IF(L5888="1/C",O5888,1),0)</f>
        <v/>
      </c>
      <c r="Y5888" s="12">
        <f>IF(OR(LEFT(K5888,4)="LVAX",LEFT(K5888,6)="MV15AX",LEFT(K5888,4)="CTAX",LEFT(K5888,2)="W|"),2*N5888*O5888,0)</f>
        <v/>
      </c>
      <c r="Z5888" s="12" t="inlineStr">
        <is>
          <t>device-to-JB field wiring, one cable per device</t>
        </is>
      </c>
      <c r="AA5888" s="12">
        <f>N5888*O5888</f>
        <v/>
      </c>
    </row>
    <row r="5889">
      <c r="A5889" s="12" t="inlineStr">
        <is>
          <t>K-I-0010</t>
        </is>
      </c>
      <c r="B5889" s="12" t="inlineStr">
        <is>
          <t>K</t>
        </is>
      </c>
      <c r="C5889" s="12" t="inlineStr">
        <is>
          <t>Fuel supply (adjacent market)</t>
        </is>
      </c>
      <c r="D5889" s="12" t="inlineStr">
        <is>
          <t>Home run JB-H2 21: rectifier t-AI01 to the control / marshalling room</t>
        </is>
      </c>
      <c r="E5889" s="12" t="inlineStr"/>
      <c r="F5889" s="12" t="inlineStr">
        <is>
          <t>H2 20: 13.8 kV e-house</t>
        </is>
      </c>
      <c r="G5889" s="12" t="inlineStr">
        <is>
          <t>JB-H2 21: rectifier t-AI01</t>
        </is>
      </c>
      <c r="H5889" s="12" t="inlineStr">
        <is>
          <t>H2 21: rectifier transformer 1 (7 MVA)</t>
        </is>
      </c>
      <c r="I5889" s="12" t="inlineStr">
        <is>
          <t>Instrumentation</t>
        </is>
      </c>
      <c r="J5889" s="12" t="inlineStr">
        <is>
          <t>Instrumentation ITC / PLTC, IS, #18 shielded pairs, blue jacket</t>
        </is>
      </c>
      <c r="K5889" s="12" t="inlineStr">
        <is>
          <t>ITC|24 pr|18</t>
        </is>
      </c>
      <c r="L5889" s="12" t="inlineStr">
        <is>
          <t>24 pr</t>
        </is>
      </c>
      <c r="M5889" s="12" t="inlineStr">
        <is>
          <t>18</t>
        </is>
      </c>
      <c r="N5889" s="12" t="n">
        <v>1</v>
      </c>
      <c r="O5889" s="12" t="n">
        <v>1</v>
      </c>
      <c r="P5889" s="12" t="n"/>
      <c r="Q5889" s="12" t="n"/>
      <c r="R5889" s="12" t="n"/>
      <c r="S5889" s="12" t="inlineStr">
        <is>
          <t>Duct bank</t>
        </is>
      </c>
      <c r="T5889" s="15" t="n">
        <v>356</v>
      </c>
      <c r="U5889" s="15" t="n">
        <v>48</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K-I-0011</t>
        </is>
      </c>
      <c r="B5890" s="12" t="inlineStr">
        <is>
          <t>K</t>
        </is>
      </c>
      <c r="C5890" s="12" t="inlineStr">
        <is>
          <t>Fuel supply (adjacent market)</t>
        </is>
      </c>
      <c r="D5890" s="12" t="inlineStr">
        <is>
          <t>Discrete device to JB JB-H2 21: rectifier t-DI01: 12 x 1 pr (field cables)</t>
        </is>
      </c>
      <c r="E5890" s="12" t="inlineStr"/>
      <c r="F5890" s="12" t="inlineStr">
        <is>
          <t>H2 21: rectifier transformer 1 (7 MVA)</t>
        </is>
      </c>
      <c r="G5890" s="12" t="inlineStr">
        <is>
          <t>JB-H2 21: rectifier t-DI01</t>
        </is>
      </c>
      <c r="H5890" s="12" t="inlineStr">
        <is>
          <t>H2 21: rectifier transformer 1 (7 MVA)</t>
        </is>
      </c>
      <c r="I5890" s="12" t="inlineStr">
        <is>
          <t>Instrumentation</t>
        </is>
      </c>
      <c r="J5890" s="12" t="inlineStr">
        <is>
          <t>Instrumentation ITC / PLTC, IS, #18 shielded pairs, blue jacket</t>
        </is>
      </c>
      <c r="K5890" s="12" t="inlineStr">
        <is>
          <t>ITC|1 pr|16</t>
        </is>
      </c>
      <c r="L5890" s="12" t="inlineStr">
        <is>
          <t>1 pr</t>
        </is>
      </c>
      <c r="M5890" s="12" t="inlineStr">
        <is>
          <t>16</t>
        </is>
      </c>
      <c r="N5890" s="12" t="n">
        <v>12</v>
      </c>
      <c r="O5890" s="12" t="n">
        <v>1</v>
      </c>
      <c r="P5890" s="12" t="n"/>
      <c r="Q5890" s="12" t="n"/>
      <c r="R5890" s="12" t="n"/>
      <c r="S5890" s="12" t="inlineStr">
        <is>
          <t>Tray / conduit</t>
        </is>
      </c>
      <c r="T5890" s="15" t="n">
        <v>41</v>
      </c>
      <c r="U5890" s="15" t="n">
        <v>10</v>
      </c>
      <c r="V5890" s="15">
        <f>ROUNDUP((T5890+U5890+2*'Read Me'!$B$13)*(1+'Read Me'!$B$12),-1)</f>
        <v/>
      </c>
      <c r="W5890" s="15">
        <f>V5890*N5890*O5890</f>
        <v/>
      </c>
      <c r="X5890" s="12">
        <f>IF(LEFT(I5890,2)="MV",2*N5890*IF(L5890="1/C",O5890,1),0)</f>
        <v/>
      </c>
      <c r="Y5890" s="12">
        <f>IF(OR(LEFT(K5890,4)="LVAX",LEFT(K5890,6)="MV15AX",LEFT(K5890,4)="CTAX",LEFT(K5890,2)="W|"),2*N5890*O5890,0)</f>
        <v/>
      </c>
      <c r="Z5890" s="12" t="inlineStr">
        <is>
          <t>device-to-JB field wiring, one cable per device</t>
        </is>
      </c>
      <c r="AA5890" s="12">
        <f>N5890*O5890</f>
        <v/>
      </c>
    </row>
    <row r="5891">
      <c r="A5891" s="12" t="inlineStr">
        <is>
          <t>K-I-0012</t>
        </is>
      </c>
      <c r="B5891" s="12" t="inlineStr">
        <is>
          <t>K</t>
        </is>
      </c>
      <c r="C5891" s="12" t="inlineStr">
        <is>
          <t>Fuel supply (adjacent market)</t>
        </is>
      </c>
      <c r="D5891" s="12" t="inlineStr">
        <is>
          <t>Home run JB-H2 21: rectifier t-DI01 to the control / marshalling room</t>
        </is>
      </c>
      <c r="E5891" s="12" t="inlineStr"/>
      <c r="F5891" s="12" t="inlineStr">
        <is>
          <t>H2 20: 13.8 kV e-house</t>
        </is>
      </c>
      <c r="G5891" s="12" t="inlineStr">
        <is>
          <t>JB-H2 21: rectifier t-DI01</t>
        </is>
      </c>
      <c r="H5891" s="12" t="inlineStr">
        <is>
          <t>H2 21: rectifier transformer 1 (7 MVA)</t>
        </is>
      </c>
      <c r="I5891" s="12" t="inlineStr">
        <is>
          <t>Instrumentation</t>
        </is>
      </c>
      <c r="J5891" s="12" t="inlineStr">
        <is>
          <t>Instrumentation ITC / PLTC, IS, #18 shielded pairs, blue jacket</t>
        </is>
      </c>
      <c r="K5891" s="12" t="inlineStr">
        <is>
          <t>ITC|24 pr|18</t>
        </is>
      </c>
      <c r="L5891" s="12" t="inlineStr">
        <is>
          <t>24 pr</t>
        </is>
      </c>
      <c r="M5891" s="12" t="inlineStr">
        <is>
          <t>18</t>
        </is>
      </c>
      <c r="N5891" s="12" t="n">
        <v>1</v>
      </c>
      <c r="O5891" s="12" t="n">
        <v>1</v>
      </c>
      <c r="P5891" s="12" t="n"/>
      <c r="Q5891" s="12" t="n"/>
      <c r="R5891" s="12" t="n"/>
      <c r="S5891" s="12" t="inlineStr">
        <is>
          <t>Duct bank</t>
        </is>
      </c>
      <c r="T5891" s="15" t="n">
        <v>356</v>
      </c>
      <c r="U5891" s="15" t="n">
        <v>48</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K-I-0013</t>
        </is>
      </c>
      <c r="B5892" s="12" t="inlineStr">
        <is>
          <t>K</t>
        </is>
      </c>
      <c r="C5892" s="12" t="inlineStr">
        <is>
          <t>Fuel supply (adjacent market)</t>
        </is>
      </c>
      <c r="D5892" s="12" t="inlineStr">
        <is>
          <t>Analog instrument to JB JB-H2 21: rectifier t-AI01: 12 x 1 pr (field cables)</t>
        </is>
      </c>
      <c r="E5892" s="12" t="inlineStr"/>
      <c r="F5892" s="12" t="inlineStr">
        <is>
          <t>H2 21: rectifier transformer 2 (7 MVA)</t>
        </is>
      </c>
      <c r="G5892" s="12" t="inlineStr">
        <is>
          <t>JB-H2 21: rectifier t-AI01</t>
        </is>
      </c>
      <c r="H5892" s="12" t="inlineStr">
        <is>
          <t>H2 21: rectifier transformer 2 (7 MVA)</t>
        </is>
      </c>
      <c r="I5892" s="12" t="inlineStr">
        <is>
          <t>Instrumentation</t>
        </is>
      </c>
      <c r="J5892" s="12" t="inlineStr">
        <is>
          <t>Instrumentation ITC / PLTC, IS, #18 shielded pairs, blue jacket</t>
        </is>
      </c>
      <c r="K5892" s="12" t="inlineStr">
        <is>
          <t>ITC|1 pr|16</t>
        </is>
      </c>
      <c r="L5892" s="12" t="inlineStr">
        <is>
          <t>1 pr</t>
        </is>
      </c>
      <c r="M5892" s="12" t="inlineStr">
        <is>
          <t>16</t>
        </is>
      </c>
      <c r="N5892" s="12" t="n">
        <v>12</v>
      </c>
      <c r="O5892" s="12" t="n">
        <v>1</v>
      </c>
      <c r="P5892" s="12" t="n"/>
      <c r="Q5892" s="12" t="n"/>
      <c r="R5892" s="12" t="n"/>
      <c r="S5892" s="12" t="inlineStr">
        <is>
          <t>Tray / conduit</t>
        </is>
      </c>
      <c r="T5892" s="15" t="n">
        <v>41</v>
      </c>
      <c r="U5892" s="15" t="n">
        <v>10</v>
      </c>
      <c r="V5892" s="15">
        <f>ROUNDUP((T5892+U5892+2*'Read Me'!$B$13)*(1+'Read Me'!$B$12),-1)</f>
        <v/>
      </c>
      <c r="W5892" s="15">
        <f>V5892*N5892*O5892</f>
        <v/>
      </c>
      <c r="X5892" s="12">
        <f>IF(LEFT(I5892,2)="MV",2*N5892*IF(L5892="1/C",O5892,1),0)</f>
        <v/>
      </c>
      <c r="Y5892" s="12">
        <f>IF(OR(LEFT(K5892,4)="LVAX",LEFT(K5892,6)="MV15AX",LEFT(K5892,4)="CTAX",LEFT(K5892,2)="W|"),2*N5892*O5892,0)</f>
        <v/>
      </c>
      <c r="Z5892" s="12" t="inlineStr">
        <is>
          <t>device-to-JB field wiring, one cable per device</t>
        </is>
      </c>
      <c r="AA5892" s="12">
        <f>N5892*O5892</f>
        <v/>
      </c>
    </row>
    <row r="5893">
      <c r="A5893" s="12" t="inlineStr">
        <is>
          <t>K-I-0014</t>
        </is>
      </c>
      <c r="B5893" s="12" t="inlineStr">
        <is>
          <t>K</t>
        </is>
      </c>
      <c r="C5893" s="12" t="inlineStr">
        <is>
          <t>Fuel supply (adjacent market)</t>
        </is>
      </c>
      <c r="D5893" s="12" t="inlineStr">
        <is>
          <t>Home run JB-H2 21: rectifier t-AI01 to the control / marshalling room</t>
        </is>
      </c>
      <c r="E5893" s="12" t="inlineStr"/>
      <c r="F5893" s="12" t="inlineStr">
        <is>
          <t>H2 20: 13.8 kV e-house</t>
        </is>
      </c>
      <c r="G5893" s="12" t="inlineStr">
        <is>
          <t>JB-H2 21: rectifier t-AI01</t>
        </is>
      </c>
      <c r="H5893" s="12" t="inlineStr">
        <is>
          <t>H2 21: rectifier transformer 2 (7 MVA)</t>
        </is>
      </c>
      <c r="I5893" s="12" t="inlineStr">
        <is>
          <t>Instrumentation</t>
        </is>
      </c>
      <c r="J5893" s="12" t="inlineStr">
        <is>
          <t>Instrumentation ITC / PLTC, IS, #18 shielded pairs, blue jacket</t>
        </is>
      </c>
      <c r="K5893" s="12" t="inlineStr">
        <is>
          <t>ITC|24 pr|18</t>
        </is>
      </c>
      <c r="L5893" s="12" t="inlineStr">
        <is>
          <t>24 pr</t>
        </is>
      </c>
      <c r="M5893" s="12" t="inlineStr">
        <is>
          <t>18</t>
        </is>
      </c>
      <c r="N5893" s="12" t="n">
        <v>1</v>
      </c>
      <c r="O5893" s="12" t="n">
        <v>1</v>
      </c>
      <c r="P5893" s="12" t="n"/>
      <c r="Q5893" s="12" t="n"/>
      <c r="R5893" s="12" t="n"/>
      <c r="S5893" s="12" t="inlineStr">
        <is>
          <t>Duct bank</t>
        </is>
      </c>
      <c r="T5893" s="15" t="n">
        <v>356</v>
      </c>
      <c r="U5893" s="15" t="n">
        <v>32</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K-I-0015</t>
        </is>
      </c>
      <c r="B5894" s="12" t="inlineStr">
        <is>
          <t>K</t>
        </is>
      </c>
      <c r="C5894" s="12" t="inlineStr">
        <is>
          <t>Fuel supply (adjacent market)</t>
        </is>
      </c>
      <c r="D5894" s="12" t="inlineStr">
        <is>
          <t>Discrete device to JB JB-H2 21: rectifier t-DI01: 12 x 1 pr (field cables)</t>
        </is>
      </c>
      <c r="E5894" s="12" t="inlineStr"/>
      <c r="F5894" s="12" t="inlineStr">
        <is>
          <t>H2 21: rectifier transformer 2 (7 MVA)</t>
        </is>
      </c>
      <c r="G5894" s="12" t="inlineStr">
        <is>
          <t>JB-H2 21: rectifier t-DI01</t>
        </is>
      </c>
      <c r="H5894" s="12" t="inlineStr">
        <is>
          <t>H2 21: rectifier transformer 2 (7 MVA)</t>
        </is>
      </c>
      <c r="I5894" s="12" t="inlineStr">
        <is>
          <t>Instrumentation</t>
        </is>
      </c>
      <c r="J5894" s="12" t="inlineStr">
        <is>
          <t>Instrumentation ITC / PLTC, IS, #18 shielded pairs, blue jacket</t>
        </is>
      </c>
      <c r="K5894" s="12" t="inlineStr">
        <is>
          <t>ITC|1 pr|16</t>
        </is>
      </c>
      <c r="L5894" s="12" t="inlineStr">
        <is>
          <t>1 pr</t>
        </is>
      </c>
      <c r="M5894" s="12" t="inlineStr">
        <is>
          <t>16</t>
        </is>
      </c>
      <c r="N5894" s="12" t="n">
        <v>12</v>
      </c>
      <c r="O5894" s="12" t="n">
        <v>1</v>
      </c>
      <c r="P5894" s="12" t="n"/>
      <c r="Q5894" s="12" t="n"/>
      <c r="R5894" s="12" t="n"/>
      <c r="S5894" s="12" t="inlineStr">
        <is>
          <t>Tray / conduit</t>
        </is>
      </c>
      <c r="T5894" s="15" t="n">
        <v>41</v>
      </c>
      <c r="U5894" s="15" t="n">
        <v>10</v>
      </c>
      <c r="V5894" s="15">
        <f>ROUNDUP((T5894+U5894+2*'Read Me'!$B$13)*(1+'Read Me'!$B$12),-1)</f>
        <v/>
      </c>
      <c r="W5894" s="15">
        <f>V5894*N5894*O5894</f>
        <v/>
      </c>
      <c r="X5894" s="12">
        <f>IF(LEFT(I5894,2)="MV",2*N5894*IF(L5894="1/C",O5894,1),0)</f>
        <v/>
      </c>
      <c r="Y5894" s="12">
        <f>IF(OR(LEFT(K5894,4)="LVAX",LEFT(K5894,6)="MV15AX",LEFT(K5894,4)="CTAX",LEFT(K5894,2)="W|"),2*N5894*O5894,0)</f>
        <v/>
      </c>
      <c r="Z5894" s="12" t="inlineStr">
        <is>
          <t>device-to-JB field wiring, one cable per device</t>
        </is>
      </c>
      <c r="AA5894" s="12">
        <f>N5894*O5894</f>
        <v/>
      </c>
    </row>
    <row r="5895">
      <c r="A5895" s="12" t="inlineStr">
        <is>
          <t>K-I-0016</t>
        </is>
      </c>
      <c r="B5895" s="12" t="inlineStr">
        <is>
          <t>K</t>
        </is>
      </c>
      <c r="C5895" s="12" t="inlineStr">
        <is>
          <t>Fuel supply (adjacent market)</t>
        </is>
      </c>
      <c r="D5895" s="12" t="inlineStr">
        <is>
          <t>Home run JB-H2 21: rectifier t-DI01 to the control / marshalling room</t>
        </is>
      </c>
      <c r="E5895" s="12" t="inlineStr"/>
      <c r="F5895" s="12" t="inlineStr">
        <is>
          <t>H2 20: 13.8 kV e-house</t>
        </is>
      </c>
      <c r="G5895" s="12" t="inlineStr">
        <is>
          <t>JB-H2 21: rectifier t-DI01</t>
        </is>
      </c>
      <c r="H5895" s="12" t="inlineStr">
        <is>
          <t>H2 21: rectifier transformer 2 (7 MVA)</t>
        </is>
      </c>
      <c r="I5895" s="12" t="inlineStr">
        <is>
          <t>Instrumentation</t>
        </is>
      </c>
      <c r="J5895" s="12" t="inlineStr">
        <is>
          <t>Instrumentation ITC / PLTC, IS, #18 shielded pairs, blue jacket</t>
        </is>
      </c>
      <c r="K5895" s="12" t="inlineStr">
        <is>
          <t>ITC|24 pr|18</t>
        </is>
      </c>
      <c r="L5895" s="12" t="inlineStr">
        <is>
          <t>24 pr</t>
        </is>
      </c>
      <c r="M5895" s="12" t="inlineStr">
        <is>
          <t>18</t>
        </is>
      </c>
      <c r="N5895" s="12" t="n">
        <v>1</v>
      </c>
      <c r="O5895" s="12" t="n">
        <v>1</v>
      </c>
      <c r="P5895" s="12" t="n"/>
      <c r="Q5895" s="12" t="n"/>
      <c r="R5895" s="12" t="n"/>
      <c r="S5895" s="12" t="inlineStr">
        <is>
          <t>Duct bank</t>
        </is>
      </c>
      <c r="T5895" s="15" t="n">
        <v>356</v>
      </c>
      <c r="U5895" s="15" t="n">
        <v>32</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K-I-0017</t>
        </is>
      </c>
      <c r="B5896" s="12" t="inlineStr">
        <is>
          <t>K</t>
        </is>
      </c>
      <c r="C5896" s="12" t="inlineStr">
        <is>
          <t>Fuel supply (adjacent market)</t>
        </is>
      </c>
      <c r="D5896" s="12" t="inlineStr">
        <is>
          <t>Analog instrument to JB JB-H2 21: rectifier t-AI01: 12 x 1 pr (field cables)</t>
        </is>
      </c>
      <c r="E5896" s="12" t="inlineStr"/>
      <c r="F5896" s="12" t="inlineStr">
        <is>
          <t>H2 21: rectifier transformer 3 (7 MVA)</t>
        </is>
      </c>
      <c r="G5896" s="12" t="inlineStr">
        <is>
          <t>JB-H2 21: rectifier t-AI01</t>
        </is>
      </c>
      <c r="H5896" s="12" t="inlineStr">
        <is>
          <t>H2 21: rectifier transformer 3 (7 MVA)</t>
        </is>
      </c>
      <c r="I5896" s="12" t="inlineStr">
        <is>
          <t>Instrumentation</t>
        </is>
      </c>
      <c r="J5896" s="12" t="inlineStr">
        <is>
          <t>Instrumentation ITC / PLTC, IS, #18 shielded pairs, blue jacket</t>
        </is>
      </c>
      <c r="K5896" s="12" t="inlineStr">
        <is>
          <t>ITC|1 pr|16</t>
        </is>
      </c>
      <c r="L5896" s="12" t="inlineStr">
        <is>
          <t>1 pr</t>
        </is>
      </c>
      <c r="M5896" s="12" t="inlineStr">
        <is>
          <t>16</t>
        </is>
      </c>
      <c r="N5896" s="12" t="n">
        <v>12</v>
      </c>
      <c r="O5896" s="12" t="n">
        <v>1</v>
      </c>
      <c r="P5896" s="12" t="n"/>
      <c r="Q5896" s="12" t="n"/>
      <c r="R5896" s="12" t="n"/>
      <c r="S5896" s="12" t="inlineStr">
        <is>
          <t>Tray / conduit</t>
        </is>
      </c>
      <c r="T5896" s="15" t="n">
        <v>41</v>
      </c>
      <c r="U5896" s="15" t="n">
        <v>10</v>
      </c>
      <c r="V5896" s="15">
        <f>ROUNDUP((T5896+U5896+2*'Read Me'!$B$13)*(1+'Read Me'!$B$12),-1)</f>
        <v/>
      </c>
      <c r="W5896" s="15">
        <f>V5896*N5896*O5896</f>
        <v/>
      </c>
      <c r="X5896" s="12">
        <f>IF(LEFT(I5896,2)="MV",2*N5896*IF(L5896="1/C",O5896,1),0)</f>
        <v/>
      </c>
      <c r="Y5896" s="12">
        <f>IF(OR(LEFT(K5896,4)="LVAX",LEFT(K5896,6)="MV15AX",LEFT(K5896,4)="CTAX",LEFT(K5896,2)="W|"),2*N5896*O5896,0)</f>
        <v/>
      </c>
      <c r="Z5896" s="12" t="inlineStr">
        <is>
          <t>device-to-JB field wiring, one cable per device</t>
        </is>
      </c>
      <c r="AA5896" s="12">
        <f>N5896*O5896</f>
        <v/>
      </c>
    </row>
    <row r="5897">
      <c r="A5897" s="12" t="inlineStr">
        <is>
          <t>K-I-0018</t>
        </is>
      </c>
      <c r="B5897" s="12" t="inlineStr">
        <is>
          <t>K</t>
        </is>
      </c>
      <c r="C5897" s="12" t="inlineStr">
        <is>
          <t>Fuel supply (adjacent market)</t>
        </is>
      </c>
      <c r="D5897" s="12" t="inlineStr">
        <is>
          <t>Home run JB-H2 21: rectifier t-AI01 to the control / marshalling room</t>
        </is>
      </c>
      <c r="E5897" s="12" t="inlineStr"/>
      <c r="F5897" s="12" t="inlineStr">
        <is>
          <t>H2 20: 13.8 kV e-house</t>
        </is>
      </c>
      <c r="G5897" s="12" t="inlineStr">
        <is>
          <t>JB-H2 21: rectifier t-AI01</t>
        </is>
      </c>
      <c r="H5897" s="12" t="inlineStr">
        <is>
          <t>H2 21: rectifier transformer 3 (7 MVA)</t>
        </is>
      </c>
      <c r="I5897" s="12" t="inlineStr">
        <is>
          <t>Instrumentation</t>
        </is>
      </c>
      <c r="J5897" s="12" t="inlineStr">
        <is>
          <t>Instrumentation ITC / PLTC, IS, #18 shielded pairs, blue jacket</t>
        </is>
      </c>
      <c r="K5897" s="12" t="inlineStr">
        <is>
          <t>ITC|24 pr|18</t>
        </is>
      </c>
      <c r="L5897" s="12" t="inlineStr">
        <is>
          <t>24 pr</t>
        </is>
      </c>
      <c r="M5897" s="12" t="inlineStr">
        <is>
          <t>18</t>
        </is>
      </c>
      <c r="N5897" s="12" t="n">
        <v>1</v>
      </c>
      <c r="O5897" s="12" t="n">
        <v>1</v>
      </c>
      <c r="P5897" s="12" t="n"/>
      <c r="Q5897" s="12" t="n"/>
      <c r="R5897" s="12" t="n"/>
      <c r="S5897" s="12" t="inlineStr">
        <is>
          <t>Duct bank</t>
        </is>
      </c>
      <c r="T5897" s="15" t="n">
        <v>334</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K-I-0019</t>
        </is>
      </c>
      <c r="B5898" s="12" t="inlineStr">
        <is>
          <t>K</t>
        </is>
      </c>
      <c r="C5898" s="12" t="inlineStr">
        <is>
          <t>Fuel supply (adjacent market)</t>
        </is>
      </c>
      <c r="D5898" s="12" t="inlineStr">
        <is>
          <t>Discrete device to JB JB-H2 21: rectifier t-DI01: 12 x 1 pr (field cables)</t>
        </is>
      </c>
      <c r="E5898" s="12" t="inlineStr"/>
      <c r="F5898" s="12" t="inlineStr">
        <is>
          <t>H2 21: rectifier transformer 3 (7 MVA)</t>
        </is>
      </c>
      <c r="G5898" s="12" t="inlineStr">
        <is>
          <t>JB-H2 21: rectifier t-DI01</t>
        </is>
      </c>
      <c r="H5898" s="12" t="inlineStr">
        <is>
          <t>H2 21: rectifier transformer 3 (7 MVA)</t>
        </is>
      </c>
      <c r="I5898" s="12" t="inlineStr">
        <is>
          <t>Instrumentation</t>
        </is>
      </c>
      <c r="J5898" s="12" t="inlineStr">
        <is>
          <t>Instrumentation ITC / PLTC, IS, #18 shielded pairs, blue jacket</t>
        </is>
      </c>
      <c r="K5898" s="12" t="inlineStr">
        <is>
          <t>ITC|1 pr|16</t>
        </is>
      </c>
      <c r="L5898" s="12" t="inlineStr">
        <is>
          <t>1 pr</t>
        </is>
      </c>
      <c r="M5898" s="12" t="inlineStr">
        <is>
          <t>16</t>
        </is>
      </c>
      <c r="N5898" s="12" t="n">
        <v>12</v>
      </c>
      <c r="O5898" s="12" t="n">
        <v>1</v>
      </c>
      <c r="P5898" s="12" t="n"/>
      <c r="Q5898" s="12" t="n"/>
      <c r="R5898" s="12" t="n"/>
      <c r="S5898" s="12" t="inlineStr">
        <is>
          <t>Tray / conduit</t>
        </is>
      </c>
      <c r="T5898" s="15" t="n">
        <v>41</v>
      </c>
      <c r="U5898" s="15" t="n">
        <v>10</v>
      </c>
      <c r="V5898" s="15">
        <f>ROUNDUP((T5898+U5898+2*'Read Me'!$B$13)*(1+'Read Me'!$B$12),-1)</f>
        <v/>
      </c>
      <c r="W5898" s="15">
        <f>V5898*N5898*O5898</f>
        <v/>
      </c>
      <c r="X5898" s="12">
        <f>IF(LEFT(I5898,2)="MV",2*N5898*IF(L5898="1/C",O5898,1),0)</f>
        <v/>
      </c>
      <c r="Y5898" s="12">
        <f>IF(OR(LEFT(K5898,4)="LVAX",LEFT(K5898,6)="MV15AX",LEFT(K5898,4)="CTAX",LEFT(K5898,2)="W|"),2*N5898*O5898,0)</f>
        <v/>
      </c>
      <c r="Z5898" s="12" t="inlineStr">
        <is>
          <t>device-to-JB field wiring, one cable per device</t>
        </is>
      </c>
      <c r="AA5898" s="12">
        <f>N5898*O5898</f>
        <v/>
      </c>
    </row>
    <row r="5899">
      <c r="A5899" s="12" t="inlineStr">
        <is>
          <t>K-I-0020</t>
        </is>
      </c>
      <c r="B5899" s="12" t="inlineStr">
        <is>
          <t>K</t>
        </is>
      </c>
      <c r="C5899" s="12" t="inlineStr">
        <is>
          <t>Fuel supply (adjacent market)</t>
        </is>
      </c>
      <c r="D5899" s="12" t="inlineStr">
        <is>
          <t>Home run JB-H2 21: rectifier t-DI01 to the control / marshalling room</t>
        </is>
      </c>
      <c r="E5899" s="12" t="inlineStr"/>
      <c r="F5899" s="12" t="inlineStr">
        <is>
          <t>H2 20: 13.8 kV e-house</t>
        </is>
      </c>
      <c r="G5899" s="12" t="inlineStr">
        <is>
          <t>JB-H2 21: rectifier t-DI01</t>
        </is>
      </c>
      <c r="H5899" s="12" t="inlineStr">
        <is>
          <t>H2 21: rectifier transformer 3 (7 MVA)</t>
        </is>
      </c>
      <c r="I5899" s="12" t="inlineStr">
        <is>
          <t>Instrumentation</t>
        </is>
      </c>
      <c r="J5899" s="12" t="inlineStr">
        <is>
          <t>Instrumentation ITC / PLTC, IS, #18 shielded pairs, blue jacket</t>
        </is>
      </c>
      <c r="K5899" s="12" t="inlineStr">
        <is>
          <t>ITC|24 pr|18</t>
        </is>
      </c>
      <c r="L5899" s="12" t="inlineStr">
        <is>
          <t>24 pr</t>
        </is>
      </c>
      <c r="M5899" s="12" t="inlineStr">
        <is>
          <t>18</t>
        </is>
      </c>
      <c r="N5899" s="12" t="n">
        <v>1</v>
      </c>
      <c r="O5899" s="12" t="n">
        <v>1</v>
      </c>
      <c r="P5899" s="12" t="n"/>
      <c r="Q5899" s="12" t="n"/>
      <c r="R5899" s="12" t="n"/>
      <c r="S5899" s="12" t="inlineStr">
        <is>
          <t>Duct bank</t>
        </is>
      </c>
      <c r="T5899" s="15" t="n">
        <v>334</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K-I-0021</t>
        </is>
      </c>
      <c r="B5900" s="12" t="inlineStr">
        <is>
          <t>K</t>
        </is>
      </c>
      <c r="C5900" s="12" t="inlineStr">
        <is>
          <t>Fuel supply (adjacent market)</t>
        </is>
      </c>
      <c r="D5900" s="12" t="inlineStr">
        <is>
          <t>Analog instrument to JB JB-H2 21: rectifier t-AI01: 12 x 1 pr (field cables)</t>
        </is>
      </c>
      <c r="E5900" s="12" t="inlineStr"/>
      <c r="F5900" s="12" t="inlineStr">
        <is>
          <t>H2 21: rectifier transformer 4 (7 MVA)</t>
        </is>
      </c>
      <c r="G5900" s="12" t="inlineStr">
        <is>
          <t>JB-H2 21: rectifier t-AI01</t>
        </is>
      </c>
      <c r="H5900" s="12" t="inlineStr">
        <is>
          <t>H2 21: rectifier transformer 4 (7 MVA)</t>
        </is>
      </c>
      <c r="I5900" s="12" t="inlineStr">
        <is>
          <t>Instrumentation</t>
        </is>
      </c>
      <c r="J5900" s="12" t="inlineStr">
        <is>
          <t>Instrumentation ITC / PLTC, IS, #18 shielded pairs, blue jacket</t>
        </is>
      </c>
      <c r="K5900" s="12" t="inlineStr">
        <is>
          <t>ITC|1 pr|16</t>
        </is>
      </c>
      <c r="L5900" s="12" t="inlineStr">
        <is>
          <t>1 pr</t>
        </is>
      </c>
      <c r="M5900" s="12" t="inlineStr">
        <is>
          <t>16</t>
        </is>
      </c>
      <c r="N5900" s="12" t="n">
        <v>12</v>
      </c>
      <c r="O5900" s="12" t="n">
        <v>1</v>
      </c>
      <c r="P5900" s="12" t="n"/>
      <c r="Q5900" s="12" t="n"/>
      <c r="R5900" s="12" t="n"/>
      <c r="S5900" s="12" t="inlineStr">
        <is>
          <t>Tray / conduit</t>
        </is>
      </c>
      <c r="T5900" s="15" t="n">
        <v>41</v>
      </c>
      <c r="U5900" s="15" t="n">
        <v>10</v>
      </c>
      <c r="V5900" s="15">
        <f>ROUNDUP((T5900+U5900+2*'Read Me'!$B$13)*(1+'Read Me'!$B$12),-1)</f>
        <v/>
      </c>
      <c r="W5900" s="15">
        <f>V5900*N5900*O5900</f>
        <v/>
      </c>
      <c r="X5900" s="12">
        <f>IF(LEFT(I5900,2)="MV",2*N5900*IF(L5900="1/C",O5900,1),0)</f>
        <v/>
      </c>
      <c r="Y5900" s="12">
        <f>IF(OR(LEFT(K5900,4)="LVAX",LEFT(K5900,6)="MV15AX",LEFT(K5900,4)="CTAX",LEFT(K5900,2)="W|"),2*N5900*O5900,0)</f>
        <v/>
      </c>
      <c r="Z5900" s="12" t="inlineStr">
        <is>
          <t>device-to-JB field wiring, one cable per device</t>
        </is>
      </c>
      <c r="AA5900" s="12">
        <f>N5900*O5900</f>
        <v/>
      </c>
    </row>
    <row r="5901">
      <c r="A5901" s="12" t="inlineStr">
        <is>
          <t>K-I-0022</t>
        </is>
      </c>
      <c r="B5901" s="12" t="inlineStr">
        <is>
          <t>K</t>
        </is>
      </c>
      <c r="C5901" s="12" t="inlineStr">
        <is>
          <t>Fuel supply (adjacent market)</t>
        </is>
      </c>
      <c r="D5901" s="12" t="inlineStr">
        <is>
          <t>Home run JB-H2 21: rectifier t-AI01 to the control / marshalling room</t>
        </is>
      </c>
      <c r="E5901" s="12" t="inlineStr"/>
      <c r="F5901" s="12" t="inlineStr">
        <is>
          <t>H2 20: 13.8 kV e-house</t>
        </is>
      </c>
      <c r="G5901" s="12" t="inlineStr">
        <is>
          <t>JB-H2 21: rectifier t-AI01</t>
        </is>
      </c>
      <c r="H5901" s="12" t="inlineStr">
        <is>
          <t>H2 21: rectifier transformer 4 (7 MVA)</t>
        </is>
      </c>
      <c r="I5901" s="12" t="inlineStr">
        <is>
          <t>Instrumentation</t>
        </is>
      </c>
      <c r="J5901" s="12" t="inlineStr">
        <is>
          <t>Instrumentation ITC / PLTC, IS, #18 shielded pairs, blue jacket</t>
        </is>
      </c>
      <c r="K5901" s="12" t="inlineStr">
        <is>
          <t>ITC|24 pr|18</t>
        </is>
      </c>
      <c r="L5901" s="12" t="inlineStr">
        <is>
          <t>24 pr</t>
        </is>
      </c>
      <c r="M5901" s="12" t="inlineStr">
        <is>
          <t>18</t>
        </is>
      </c>
      <c r="N5901" s="12" t="n">
        <v>1</v>
      </c>
      <c r="O5901" s="12" t="n">
        <v>1</v>
      </c>
      <c r="P5901" s="12" t="n"/>
      <c r="Q5901" s="12" t="n"/>
      <c r="R5901" s="12" t="n"/>
      <c r="S5901" s="12" t="inlineStr">
        <is>
          <t>Duct bank</t>
        </is>
      </c>
      <c r="T5901" s="15" t="n">
        <v>312</v>
      </c>
      <c r="U5901" s="15" t="n">
        <v>32</v>
      </c>
      <c r="V5901" s="15">
        <f>ROUNDUP((T5901+U5901+2*'Read Me'!$B$13)*(1+'Read Me'!$B$12),-1)</f>
        <v/>
      </c>
      <c r="W5901" s="15">
        <f>V5901*N5901*O5901</f>
        <v/>
      </c>
      <c r="X5901" s="12">
        <f>IF(LEFT(I5901,2)="MV",2*N5901*IF(L5901="1/C",O5901,1),0)</f>
        <v/>
      </c>
      <c r="Y5901" s="12">
        <f>IF(OR(LEFT(K5901,4)="LVAX",LEFT(K5901,6)="MV15AX",LEFT(K5901,4)="CTAX",LEFT(K5901,2)="W|"),2*N5901*O5901,0)</f>
        <v/>
      </c>
      <c r="Z5901" s="12" t="inlineStr"/>
      <c r="AA5901" s="12">
        <f>N5901*O5901</f>
        <v/>
      </c>
    </row>
    <row r="5902">
      <c r="A5902" s="12" t="inlineStr">
        <is>
          <t>K-I-0023</t>
        </is>
      </c>
      <c r="B5902" s="12" t="inlineStr">
        <is>
          <t>K</t>
        </is>
      </c>
      <c r="C5902" s="12" t="inlineStr">
        <is>
          <t>Fuel supply (adjacent market)</t>
        </is>
      </c>
      <c r="D5902" s="12" t="inlineStr">
        <is>
          <t>Discrete device to JB JB-H2 21: rectifier t-DI01: 12 x 1 pr (field cables)</t>
        </is>
      </c>
      <c r="E5902" s="12" t="inlineStr"/>
      <c r="F5902" s="12" t="inlineStr">
        <is>
          <t>H2 21: rectifier transformer 4 (7 MVA)</t>
        </is>
      </c>
      <c r="G5902" s="12" t="inlineStr">
        <is>
          <t>JB-H2 21: rectifier t-DI01</t>
        </is>
      </c>
      <c r="H5902" s="12" t="inlineStr">
        <is>
          <t>H2 21: rectifier transformer 4 (7 MVA)</t>
        </is>
      </c>
      <c r="I5902" s="12" t="inlineStr">
        <is>
          <t>Instrumentation</t>
        </is>
      </c>
      <c r="J5902" s="12" t="inlineStr">
        <is>
          <t>Instrumentation ITC / PLTC, IS, #18 shielded pairs, blue jacket</t>
        </is>
      </c>
      <c r="K5902" s="12" t="inlineStr">
        <is>
          <t>ITC|1 pr|16</t>
        </is>
      </c>
      <c r="L5902" s="12" t="inlineStr">
        <is>
          <t>1 pr</t>
        </is>
      </c>
      <c r="M5902" s="12" t="inlineStr">
        <is>
          <t>16</t>
        </is>
      </c>
      <c r="N5902" s="12" t="n">
        <v>12</v>
      </c>
      <c r="O5902" s="12" t="n">
        <v>1</v>
      </c>
      <c r="P5902" s="12" t="n"/>
      <c r="Q5902" s="12" t="n"/>
      <c r="R5902" s="12" t="n"/>
      <c r="S5902" s="12" t="inlineStr">
        <is>
          <t>Tray / conduit</t>
        </is>
      </c>
      <c r="T5902" s="15" t="n">
        <v>41</v>
      </c>
      <c r="U5902" s="15" t="n">
        <v>10</v>
      </c>
      <c r="V5902" s="15">
        <f>ROUNDUP((T5902+U5902+2*'Read Me'!$B$13)*(1+'Read Me'!$B$12),-1)</f>
        <v/>
      </c>
      <c r="W5902" s="15">
        <f>V5902*N5902*O5902</f>
        <v/>
      </c>
      <c r="X5902" s="12">
        <f>IF(LEFT(I5902,2)="MV",2*N5902*IF(L5902="1/C",O5902,1),0)</f>
        <v/>
      </c>
      <c r="Y5902" s="12">
        <f>IF(OR(LEFT(K5902,4)="LVAX",LEFT(K5902,6)="MV15AX",LEFT(K5902,4)="CTAX",LEFT(K5902,2)="W|"),2*N5902*O5902,0)</f>
        <v/>
      </c>
      <c r="Z5902" s="12" t="inlineStr">
        <is>
          <t>device-to-JB field wiring, one cable per device</t>
        </is>
      </c>
      <c r="AA5902" s="12">
        <f>N5902*O5902</f>
        <v/>
      </c>
    </row>
    <row r="5903">
      <c r="A5903" s="12" t="inlineStr">
        <is>
          <t>K-I-0024</t>
        </is>
      </c>
      <c r="B5903" s="12" t="inlineStr">
        <is>
          <t>K</t>
        </is>
      </c>
      <c r="C5903" s="12" t="inlineStr">
        <is>
          <t>Fuel supply (adjacent market)</t>
        </is>
      </c>
      <c r="D5903" s="12" t="inlineStr">
        <is>
          <t>Home run JB-H2 21: rectifier t-DI01 to the control / marshalling room</t>
        </is>
      </c>
      <c r="E5903" s="12" t="inlineStr"/>
      <c r="F5903" s="12" t="inlineStr">
        <is>
          <t>H2 20: 13.8 kV e-house</t>
        </is>
      </c>
      <c r="G5903" s="12" t="inlineStr">
        <is>
          <t>JB-H2 21: rectifier t-DI01</t>
        </is>
      </c>
      <c r="H5903" s="12" t="inlineStr">
        <is>
          <t>H2 21: rectifier transformer 4 (7 MVA)</t>
        </is>
      </c>
      <c r="I5903" s="12" t="inlineStr">
        <is>
          <t>Instrumentation</t>
        </is>
      </c>
      <c r="J5903" s="12" t="inlineStr">
        <is>
          <t>Instrumentation ITC / PLTC, IS, #18 shielded pairs, blue jacket</t>
        </is>
      </c>
      <c r="K5903" s="12" t="inlineStr">
        <is>
          <t>ITC|24 pr|18</t>
        </is>
      </c>
      <c r="L5903" s="12" t="inlineStr">
        <is>
          <t>24 pr</t>
        </is>
      </c>
      <c r="M5903" s="12" t="inlineStr">
        <is>
          <t>18</t>
        </is>
      </c>
      <c r="N5903" s="12" t="n">
        <v>1</v>
      </c>
      <c r="O5903" s="12" t="n">
        <v>1</v>
      </c>
      <c r="P5903" s="12" t="n"/>
      <c r="Q5903" s="12" t="n"/>
      <c r="R5903" s="12" t="n"/>
      <c r="S5903" s="12" t="inlineStr">
        <is>
          <t>Duct bank</t>
        </is>
      </c>
      <c r="T5903" s="15" t="n">
        <v>312</v>
      </c>
      <c r="U5903" s="15" t="n">
        <v>32</v>
      </c>
      <c r="V5903" s="15">
        <f>ROUNDUP((T5903+U5903+2*'Read Me'!$B$13)*(1+'Read Me'!$B$12),-1)</f>
        <v/>
      </c>
      <c r="W5903" s="15">
        <f>V5903*N5903*O5903</f>
        <v/>
      </c>
      <c r="X5903" s="12">
        <f>IF(LEFT(I5903,2)="MV",2*N5903*IF(L5903="1/C",O5903,1),0)</f>
        <v/>
      </c>
      <c r="Y5903" s="12">
        <f>IF(OR(LEFT(K5903,4)="LVAX",LEFT(K5903,6)="MV15AX",LEFT(K5903,4)="CTAX",LEFT(K5903,2)="W|"),2*N5903*O5903,0)</f>
        <v/>
      </c>
      <c r="Z5903" s="12" t="inlineStr"/>
      <c r="AA5903" s="12">
        <f>N5903*O5903</f>
        <v/>
      </c>
    </row>
    <row r="5904">
      <c r="A5904" s="12" t="inlineStr">
        <is>
          <t>K-I-0025</t>
        </is>
      </c>
      <c r="B5904" s="12" t="inlineStr">
        <is>
          <t>K</t>
        </is>
      </c>
      <c r="C5904" s="12" t="inlineStr">
        <is>
          <t>Fuel supply (adjacent market)</t>
        </is>
      </c>
      <c r="D5904" s="12" t="inlineStr">
        <is>
          <t>Analog instrument to JB JB-H2 21: rectifier t-AI01: 12 x 1 pr (field cables)</t>
        </is>
      </c>
      <c r="E5904" s="12" t="inlineStr"/>
      <c r="F5904" s="12" t="inlineStr">
        <is>
          <t>H2 21: rectifier transformer 5 (7 MVA)</t>
        </is>
      </c>
      <c r="G5904" s="12" t="inlineStr">
        <is>
          <t>JB-H2 21: rectifier t-AI01</t>
        </is>
      </c>
      <c r="H5904" s="12" t="inlineStr">
        <is>
          <t>H2 21: rectifier transformer 5 (7 MVA)</t>
        </is>
      </c>
      <c r="I5904" s="12" t="inlineStr">
        <is>
          <t>Instrumentation</t>
        </is>
      </c>
      <c r="J5904" s="12" t="inlineStr">
        <is>
          <t>Instrumentation ITC / PLTC, IS, #18 shielded pairs, blue jacket</t>
        </is>
      </c>
      <c r="K5904" s="12" t="inlineStr">
        <is>
          <t>ITC|1 pr|16</t>
        </is>
      </c>
      <c r="L5904" s="12" t="inlineStr">
        <is>
          <t>1 pr</t>
        </is>
      </c>
      <c r="M5904" s="12" t="inlineStr">
        <is>
          <t>16</t>
        </is>
      </c>
      <c r="N5904" s="12" t="n">
        <v>12</v>
      </c>
      <c r="O5904" s="12" t="n">
        <v>1</v>
      </c>
      <c r="P5904" s="12" t="n"/>
      <c r="Q5904" s="12" t="n"/>
      <c r="R5904" s="12" t="n"/>
      <c r="S5904" s="12" t="inlineStr">
        <is>
          <t>Tray / conduit</t>
        </is>
      </c>
      <c r="T5904" s="15" t="n">
        <v>41</v>
      </c>
      <c r="U5904" s="15" t="n">
        <v>10</v>
      </c>
      <c r="V5904" s="15">
        <f>ROUNDUP((T5904+U5904+2*'Read Me'!$B$13)*(1+'Read Me'!$B$12),-1)</f>
        <v/>
      </c>
      <c r="W5904" s="15">
        <f>V5904*N5904*O5904</f>
        <v/>
      </c>
      <c r="X5904" s="12">
        <f>IF(LEFT(I5904,2)="MV",2*N5904*IF(L5904="1/C",O5904,1),0)</f>
        <v/>
      </c>
      <c r="Y5904" s="12">
        <f>IF(OR(LEFT(K5904,4)="LVAX",LEFT(K5904,6)="MV15AX",LEFT(K5904,4)="CTAX",LEFT(K5904,2)="W|"),2*N5904*O5904,0)</f>
        <v/>
      </c>
      <c r="Z5904" s="12" t="inlineStr">
        <is>
          <t>device-to-JB field wiring, one cable per device</t>
        </is>
      </c>
      <c r="AA5904" s="12">
        <f>N5904*O5904</f>
        <v/>
      </c>
    </row>
    <row r="5905">
      <c r="A5905" s="12" t="inlineStr">
        <is>
          <t>K-I-0026</t>
        </is>
      </c>
      <c r="B5905" s="12" t="inlineStr">
        <is>
          <t>K</t>
        </is>
      </c>
      <c r="C5905" s="12" t="inlineStr">
        <is>
          <t>Fuel supply (adjacent market)</t>
        </is>
      </c>
      <c r="D5905" s="12" t="inlineStr">
        <is>
          <t>Home run JB-H2 21: rectifier t-AI01 to the control / marshalling room</t>
        </is>
      </c>
      <c r="E5905" s="12" t="inlineStr"/>
      <c r="F5905" s="12" t="inlineStr">
        <is>
          <t>H2 20: 13.8 kV e-house</t>
        </is>
      </c>
      <c r="G5905" s="12" t="inlineStr">
        <is>
          <t>JB-H2 21: rectifier t-AI01</t>
        </is>
      </c>
      <c r="H5905" s="12" t="inlineStr">
        <is>
          <t>H2 21: rectifier transformer 5 (7 MVA)</t>
        </is>
      </c>
      <c r="I5905" s="12" t="inlineStr">
        <is>
          <t>Instrumentation</t>
        </is>
      </c>
      <c r="J5905" s="12" t="inlineStr">
        <is>
          <t>Instrumentation ITC / PLTC, IS, #18 shielded pairs, blue jacket</t>
        </is>
      </c>
      <c r="K5905" s="12" t="inlineStr">
        <is>
          <t>ITC|24 pr|18</t>
        </is>
      </c>
      <c r="L5905" s="12" t="inlineStr">
        <is>
          <t>24 pr</t>
        </is>
      </c>
      <c r="M5905" s="12" t="inlineStr">
        <is>
          <t>18</t>
        </is>
      </c>
      <c r="N5905" s="12" t="n">
        <v>1</v>
      </c>
      <c r="O5905" s="12" t="n">
        <v>1</v>
      </c>
      <c r="P5905" s="12" t="n"/>
      <c r="Q5905" s="12" t="n"/>
      <c r="R5905" s="12" t="n"/>
      <c r="S5905" s="12" t="inlineStr">
        <is>
          <t>Duct bank</t>
        </is>
      </c>
      <c r="T5905" s="15" t="n">
        <v>254</v>
      </c>
      <c r="U5905" s="15" t="n">
        <v>32</v>
      </c>
      <c r="V5905" s="15">
        <f>ROUNDUP((T5905+U5905+2*'Read Me'!$B$13)*(1+'Read Me'!$B$12),-1)</f>
        <v/>
      </c>
      <c r="W5905" s="15">
        <f>V5905*N5905*O5905</f>
        <v/>
      </c>
      <c r="X5905" s="12">
        <f>IF(LEFT(I5905,2)="MV",2*N5905*IF(L5905="1/C",O5905,1),0)</f>
        <v/>
      </c>
      <c r="Y5905" s="12">
        <f>IF(OR(LEFT(K5905,4)="LVAX",LEFT(K5905,6)="MV15AX",LEFT(K5905,4)="CTAX",LEFT(K5905,2)="W|"),2*N5905*O5905,0)</f>
        <v/>
      </c>
      <c r="Z5905" s="12" t="inlineStr"/>
      <c r="AA5905" s="12">
        <f>N5905*O5905</f>
        <v/>
      </c>
    </row>
    <row r="5906">
      <c r="A5906" s="12" t="inlineStr">
        <is>
          <t>K-I-0027</t>
        </is>
      </c>
      <c r="B5906" s="12" t="inlineStr">
        <is>
          <t>K</t>
        </is>
      </c>
      <c r="C5906" s="12" t="inlineStr">
        <is>
          <t>Fuel supply (adjacent market)</t>
        </is>
      </c>
      <c r="D5906" s="12" t="inlineStr">
        <is>
          <t>Discrete device to JB JB-H2 21: rectifier t-DI01: 12 x 1 pr (field cables)</t>
        </is>
      </c>
      <c r="E5906" s="12" t="inlineStr"/>
      <c r="F5906" s="12" t="inlineStr">
        <is>
          <t>H2 21: rectifier transformer 5 (7 MVA)</t>
        </is>
      </c>
      <c r="G5906" s="12" t="inlineStr">
        <is>
          <t>JB-H2 21: rectifier t-DI01</t>
        </is>
      </c>
      <c r="H5906" s="12" t="inlineStr">
        <is>
          <t>H2 21: rectifier transformer 5 (7 MVA)</t>
        </is>
      </c>
      <c r="I5906" s="12" t="inlineStr">
        <is>
          <t>Instrumentation</t>
        </is>
      </c>
      <c r="J5906" s="12" t="inlineStr">
        <is>
          <t>Instrumentation ITC / PLTC, IS, #18 shielded pairs, blue jacket</t>
        </is>
      </c>
      <c r="K5906" s="12" t="inlineStr">
        <is>
          <t>ITC|1 pr|16</t>
        </is>
      </c>
      <c r="L5906" s="12" t="inlineStr">
        <is>
          <t>1 pr</t>
        </is>
      </c>
      <c r="M5906" s="12" t="inlineStr">
        <is>
          <t>16</t>
        </is>
      </c>
      <c r="N5906" s="12" t="n">
        <v>12</v>
      </c>
      <c r="O5906" s="12" t="n">
        <v>1</v>
      </c>
      <c r="P5906" s="12" t="n"/>
      <c r="Q5906" s="12" t="n"/>
      <c r="R5906" s="12" t="n"/>
      <c r="S5906" s="12" t="inlineStr">
        <is>
          <t>Tray / conduit</t>
        </is>
      </c>
      <c r="T5906" s="15" t="n">
        <v>41</v>
      </c>
      <c r="U5906" s="15" t="n">
        <v>10</v>
      </c>
      <c r="V5906" s="15">
        <f>ROUNDUP((T5906+U5906+2*'Read Me'!$B$13)*(1+'Read Me'!$B$12),-1)</f>
        <v/>
      </c>
      <c r="W5906" s="15">
        <f>V5906*N5906*O5906</f>
        <v/>
      </c>
      <c r="X5906" s="12">
        <f>IF(LEFT(I5906,2)="MV",2*N5906*IF(L5906="1/C",O5906,1),0)</f>
        <v/>
      </c>
      <c r="Y5906" s="12">
        <f>IF(OR(LEFT(K5906,4)="LVAX",LEFT(K5906,6)="MV15AX",LEFT(K5906,4)="CTAX",LEFT(K5906,2)="W|"),2*N5906*O5906,0)</f>
        <v/>
      </c>
      <c r="Z5906" s="12" t="inlineStr">
        <is>
          <t>device-to-JB field wiring, one cable per device</t>
        </is>
      </c>
      <c r="AA5906" s="12">
        <f>N5906*O5906</f>
        <v/>
      </c>
    </row>
    <row r="5907">
      <c r="A5907" s="12" t="inlineStr">
        <is>
          <t>K-I-0028</t>
        </is>
      </c>
      <c r="B5907" s="12" t="inlineStr">
        <is>
          <t>K</t>
        </is>
      </c>
      <c r="C5907" s="12" t="inlineStr">
        <is>
          <t>Fuel supply (adjacent market)</t>
        </is>
      </c>
      <c r="D5907" s="12" t="inlineStr">
        <is>
          <t>Home run JB-H2 21: rectifier t-DI01 to the control / marshalling room</t>
        </is>
      </c>
      <c r="E5907" s="12" t="inlineStr"/>
      <c r="F5907" s="12" t="inlineStr">
        <is>
          <t>H2 20: 13.8 kV e-house</t>
        </is>
      </c>
      <c r="G5907" s="12" t="inlineStr">
        <is>
          <t>JB-H2 21: rectifier t-DI01</t>
        </is>
      </c>
      <c r="H5907" s="12" t="inlineStr">
        <is>
          <t>H2 21: rectifier transformer 5 (7 MVA)</t>
        </is>
      </c>
      <c r="I5907" s="12" t="inlineStr">
        <is>
          <t>Instrumentation</t>
        </is>
      </c>
      <c r="J5907" s="12" t="inlineStr">
        <is>
          <t>Instrumentation ITC / PLTC, IS, #18 shielded pairs, blue jacket</t>
        </is>
      </c>
      <c r="K5907" s="12" t="inlineStr">
        <is>
          <t>ITC|24 pr|18</t>
        </is>
      </c>
      <c r="L5907" s="12" t="inlineStr">
        <is>
          <t>24 pr</t>
        </is>
      </c>
      <c r="M5907" s="12" t="inlineStr">
        <is>
          <t>18</t>
        </is>
      </c>
      <c r="N5907" s="12" t="n">
        <v>1</v>
      </c>
      <c r="O5907" s="12" t="n">
        <v>1</v>
      </c>
      <c r="P5907" s="12" t="n"/>
      <c r="Q5907" s="12" t="n"/>
      <c r="R5907" s="12" t="n"/>
      <c r="S5907" s="12" t="inlineStr">
        <is>
          <t>Duct bank</t>
        </is>
      </c>
      <c r="T5907" s="15" t="n">
        <v>254</v>
      </c>
      <c r="U5907" s="15" t="n">
        <v>32</v>
      </c>
      <c r="V5907" s="15">
        <f>ROUNDUP((T5907+U5907+2*'Read Me'!$B$13)*(1+'Read Me'!$B$12),-1)</f>
        <v/>
      </c>
      <c r="W5907" s="15">
        <f>V5907*N5907*O5907</f>
        <v/>
      </c>
      <c r="X5907" s="12">
        <f>IF(LEFT(I5907,2)="MV",2*N5907*IF(L5907="1/C",O5907,1),0)</f>
        <v/>
      </c>
      <c r="Y5907" s="12">
        <f>IF(OR(LEFT(K5907,4)="LVAX",LEFT(K5907,6)="MV15AX",LEFT(K5907,4)="CTAX",LEFT(K5907,2)="W|"),2*N5907*O5907,0)</f>
        <v/>
      </c>
      <c r="Z5907" s="12" t="inlineStr"/>
      <c r="AA5907" s="12">
        <f>N5907*O5907</f>
        <v/>
      </c>
    </row>
    <row r="5908">
      <c r="A5908" s="12" t="inlineStr">
        <is>
          <t>K-I-0029</t>
        </is>
      </c>
      <c r="B5908" s="12" t="inlineStr">
        <is>
          <t>K</t>
        </is>
      </c>
      <c r="C5908" s="12" t="inlineStr">
        <is>
          <t>Fuel supply (adjacent market)</t>
        </is>
      </c>
      <c r="D5908" s="12" t="inlineStr">
        <is>
          <t>Analog instrument to JB JB-H2-EL-AI01: 12 x 1 pr (field cables)</t>
        </is>
      </c>
      <c r="E5908" s="12" t="inlineStr">
        <is>
          <t>H2-EL</t>
        </is>
      </c>
      <c r="F5908" s="12" t="inlineStr">
        <is>
          <t>H2 22: electrolyzer building (5 x HyLYZER-1000 + 5 rectifiers)</t>
        </is>
      </c>
      <c r="G5908" s="12" t="inlineStr">
        <is>
          <t>JB-H2-EL-AI01</t>
        </is>
      </c>
      <c r="H5908" s="12" t="inlineStr">
        <is>
          <t>H2 22: electrolyzer building (5 x HyLYZER-1000 + 5 rectifiers)</t>
        </is>
      </c>
      <c r="I5908" s="12" t="inlineStr">
        <is>
          <t>Instrumentation</t>
        </is>
      </c>
      <c r="J5908" s="12" t="inlineStr">
        <is>
          <t>Instrumentation ITC / PLTC, IS, #18 shielded pairs, blue jacket</t>
        </is>
      </c>
      <c r="K5908" s="12" t="inlineStr">
        <is>
          <t>ITC|1 pr|16</t>
        </is>
      </c>
      <c r="L5908" s="12" t="inlineStr">
        <is>
          <t>1 pr</t>
        </is>
      </c>
      <c r="M5908" s="12" t="inlineStr">
        <is>
          <t>16</t>
        </is>
      </c>
      <c r="N5908" s="12" t="n">
        <v>12</v>
      </c>
      <c r="O5908" s="12" t="n">
        <v>1</v>
      </c>
      <c r="P5908" s="12" t="n"/>
      <c r="Q5908" s="12" t="n"/>
      <c r="R5908" s="12" t="n"/>
      <c r="S5908" s="12" t="inlineStr">
        <is>
          <t>Tray / conduit</t>
        </is>
      </c>
      <c r="T5908" s="15" t="n">
        <v>157</v>
      </c>
      <c r="U5908" s="15" t="n">
        <v>10</v>
      </c>
      <c r="V5908" s="15">
        <f>ROUNDUP((T5908+U5908+2*'Read Me'!$B$13)*(1+'Read Me'!$B$12),-1)</f>
        <v/>
      </c>
      <c r="W5908" s="15">
        <f>V5908*N5908*O5908</f>
        <v/>
      </c>
      <c r="X5908" s="12">
        <f>IF(LEFT(I5908,2)="MV",2*N5908*IF(L5908="1/C",O5908,1),0)</f>
        <v/>
      </c>
      <c r="Y5908" s="12">
        <f>IF(OR(LEFT(K5908,4)="LVAX",LEFT(K5908,6)="MV15AX",LEFT(K5908,4)="CTAX",LEFT(K5908,2)="W|"),2*N5908*O5908,0)</f>
        <v/>
      </c>
      <c r="Z5908" s="12" t="inlineStr">
        <is>
          <t>device-to-JB field wiring, one cable per device</t>
        </is>
      </c>
      <c r="AA5908" s="12">
        <f>N5908*O5908</f>
        <v/>
      </c>
    </row>
    <row r="5909">
      <c r="A5909" s="12" t="inlineStr">
        <is>
          <t>K-I-0030</t>
        </is>
      </c>
      <c r="B5909" s="12" t="inlineStr">
        <is>
          <t>K</t>
        </is>
      </c>
      <c r="C5909" s="12" t="inlineStr">
        <is>
          <t>Fuel supply (adjacent market)</t>
        </is>
      </c>
      <c r="D5909" s="12" t="inlineStr">
        <is>
          <t>Home run JB-H2-EL-AI01 to the control / marshalling room</t>
        </is>
      </c>
      <c r="E5909" s="12" t="inlineStr"/>
      <c r="F5909" s="12" t="inlineStr">
        <is>
          <t>H2 20: 13.8 kV e-house</t>
        </is>
      </c>
      <c r="G5909" s="12" t="inlineStr">
        <is>
          <t>JB-H2-EL-AI01</t>
        </is>
      </c>
      <c r="H5909" s="12" t="inlineStr">
        <is>
          <t>H2 22: electrolyzer building (5 x HyLYZER-1000 + 5 rectifiers)</t>
        </is>
      </c>
      <c r="I5909" s="12" t="inlineStr">
        <is>
          <t>Instrumentation</t>
        </is>
      </c>
      <c r="J5909" s="12" t="inlineStr">
        <is>
          <t>Instrumentation ITC / PLTC, IS, #18 shielded pairs, blue jacket</t>
        </is>
      </c>
      <c r="K5909" s="12" t="inlineStr">
        <is>
          <t>ITC|24 pr|18</t>
        </is>
      </c>
      <c r="L5909" s="12" t="inlineStr">
        <is>
          <t>24 pr</t>
        </is>
      </c>
      <c r="M5909" s="12" t="inlineStr">
        <is>
          <t>18</t>
        </is>
      </c>
      <c r="N5909" s="12" t="n">
        <v>1</v>
      </c>
      <c r="O5909" s="12" t="n">
        <v>1</v>
      </c>
      <c r="P5909" s="12" t="n"/>
      <c r="Q5909" s="12" t="n"/>
      <c r="R5909" s="12" t="n"/>
      <c r="S5909" s="12" t="inlineStr">
        <is>
          <t>Duct bank</t>
        </is>
      </c>
      <c r="T5909" s="15" t="n">
        <v>346</v>
      </c>
      <c r="U5909" s="15" t="n">
        <v>32</v>
      </c>
      <c r="V5909" s="15">
        <f>ROUNDUP((T5909+U5909+2*'Read Me'!$B$13)*(1+'Read Me'!$B$12),-1)</f>
        <v/>
      </c>
      <c r="W5909" s="15">
        <f>V5909*N5909*O5909</f>
        <v/>
      </c>
      <c r="X5909" s="12">
        <f>IF(LEFT(I5909,2)="MV",2*N5909*IF(L5909="1/C",O5909,1),0)</f>
        <v/>
      </c>
      <c r="Y5909" s="12">
        <f>IF(OR(LEFT(K5909,4)="LVAX",LEFT(K5909,6)="MV15AX",LEFT(K5909,4)="CTAX",LEFT(K5909,2)="W|"),2*N5909*O5909,0)</f>
        <v/>
      </c>
      <c r="Z5909" s="12" t="inlineStr"/>
      <c r="AA5909" s="12">
        <f>N5909*O5909</f>
        <v/>
      </c>
    </row>
    <row r="5910">
      <c r="A5910" s="12" t="inlineStr">
        <is>
          <t>K-I-0031</t>
        </is>
      </c>
      <c r="B5910" s="12" t="inlineStr">
        <is>
          <t>K</t>
        </is>
      </c>
      <c r="C5910" s="12" t="inlineStr">
        <is>
          <t>Fuel supply (adjacent market)</t>
        </is>
      </c>
      <c r="D5910" s="12" t="inlineStr">
        <is>
          <t>Discrete device to JB JB-H2-EL-DI01: 12 x 1 pr (field cables)</t>
        </is>
      </c>
      <c r="E5910" s="12" t="inlineStr">
        <is>
          <t>H2-EL</t>
        </is>
      </c>
      <c r="F5910" s="12" t="inlineStr">
        <is>
          <t>H2 22: electrolyzer building (5 x HyLYZER-1000 + 5 rectifiers)</t>
        </is>
      </c>
      <c r="G5910" s="12" t="inlineStr">
        <is>
          <t>JB-H2-EL-DI01</t>
        </is>
      </c>
      <c r="H5910" s="12" t="inlineStr">
        <is>
          <t>H2 22: electrolyzer building (5 x HyLYZER-1000 + 5 rectifiers)</t>
        </is>
      </c>
      <c r="I5910" s="12" t="inlineStr">
        <is>
          <t>Instrumentation</t>
        </is>
      </c>
      <c r="J5910" s="12" t="inlineStr">
        <is>
          <t>Instrumentation ITC / PLTC, IS, #18 shielded pairs, blue jacket</t>
        </is>
      </c>
      <c r="K5910" s="12" t="inlineStr">
        <is>
          <t>ITC|1 pr|16</t>
        </is>
      </c>
      <c r="L5910" s="12" t="inlineStr">
        <is>
          <t>1 pr</t>
        </is>
      </c>
      <c r="M5910" s="12" t="inlineStr">
        <is>
          <t>16</t>
        </is>
      </c>
      <c r="N5910" s="12" t="n">
        <v>12</v>
      </c>
      <c r="O5910" s="12" t="n">
        <v>1</v>
      </c>
      <c r="P5910" s="12" t="n"/>
      <c r="Q5910" s="12" t="n"/>
      <c r="R5910" s="12" t="n"/>
      <c r="S5910" s="12" t="inlineStr">
        <is>
          <t>Tray / conduit</t>
        </is>
      </c>
      <c r="T5910" s="15" t="n">
        <v>157</v>
      </c>
      <c r="U5910" s="15" t="n">
        <v>10</v>
      </c>
      <c r="V5910" s="15">
        <f>ROUNDUP((T5910+U5910+2*'Read Me'!$B$13)*(1+'Read Me'!$B$12),-1)</f>
        <v/>
      </c>
      <c r="W5910" s="15">
        <f>V5910*N5910*O5910</f>
        <v/>
      </c>
      <c r="X5910" s="12">
        <f>IF(LEFT(I5910,2)="MV",2*N5910*IF(L5910="1/C",O5910,1),0)</f>
        <v/>
      </c>
      <c r="Y5910" s="12">
        <f>IF(OR(LEFT(K5910,4)="LVAX",LEFT(K5910,6)="MV15AX",LEFT(K5910,4)="CTAX",LEFT(K5910,2)="W|"),2*N5910*O5910,0)</f>
        <v/>
      </c>
      <c r="Z5910" s="12" t="inlineStr">
        <is>
          <t>device-to-JB field wiring, one cable per device</t>
        </is>
      </c>
      <c r="AA5910" s="12">
        <f>N5910*O5910</f>
        <v/>
      </c>
    </row>
    <row r="5911">
      <c r="A5911" s="12" t="inlineStr">
        <is>
          <t>K-I-0032</t>
        </is>
      </c>
      <c r="B5911" s="12" t="inlineStr">
        <is>
          <t>K</t>
        </is>
      </c>
      <c r="C5911" s="12" t="inlineStr">
        <is>
          <t>Fuel supply (adjacent market)</t>
        </is>
      </c>
      <c r="D5911" s="12" t="inlineStr">
        <is>
          <t>Home run JB-H2-EL-DI01 to the control / marshalling room</t>
        </is>
      </c>
      <c r="E5911" s="12" t="inlineStr"/>
      <c r="F5911" s="12" t="inlineStr">
        <is>
          <t>H2 20: 13.8 kV e-house</t>
        </is>
      </c>
      <c r="G5911" s="12" t="inlineStr">
        <is>
          <t>JB-H2-EL-DI01</t>
        </is>
      </c>
      <c r="H5911" s="12" t="inlineStr">
        <is>
          <t>H2 22: electrolyzer building (5 x HyLYZER-1000 + 5 rectifiers)</t>
        </is>
      </c>
      <c r="I5911" s="12" t="inlineStr">
        <is>
          <t>Instrumentation</t>
        </is>
      </c>
      <c r="J5911" s="12" t="inlineStr">
        <is>
          <t>Instrumentation ITC / PLTC, IS, #18 shielded pairs, blue jacket</t>
        </is>
      </c>
      <c r="K5911" s="12" t="inlineStr">
        <is>
          <t>ITC|24 pr|18</t>
        </is>
      </c>
      <c r="L5911" s="12" t="inlineStr">
        <is>
          <t>24 pr</t>
        </is>
      </c>
      <c r="M5911" s="12" t="inlineStr">
        <is>
          <t>18</t>
        </is>
      </c>
      <c r="N5911" s="12" t="n">
        <v>1</v>
      </c>
      <c r="O5911" s="12" t="n">
        <v>1</v>
      </c>
      <c r="P5911" s="12" t="n"/>
      <c r="Q5911" s="12" t="n"/>
      <c r="R5911" s="12" t="n"/>
      <c r="S5911" s="12" t="inlineStr">
        <is>
          <t>Duct bank</t>
        </is>
      </c>
      <c r="T5911" s="15" t="n">
        <v>346</v>
      </c>
      <c r="U5911" s="15" t="n">
        <v>32</v>
      </c>
      <c r="V5911" s="15">
        <f>ROUNDUP((T5911+U5911+2*'Read Me'!$B$13)*(1+'Read Me'!$B$12),-1)</f>
        <v/>
      </c>
      <c r="W5911" s="15">
        <f>V5911*N5911*O5911</f>
        <v/>
      </c>
      <c r="X5911" s="12">
        <f>IF(LEFT(I5911,2)="MV",2*N5911*IF(L5911="1/C",O5911,1),0)</f>
        <v/>
      </c>
      <c r="Y5911" s="12">
        <f>IF(OR(LEFT(K5911,4)="LVAX",LEFT(K5911,6)="MV15AX",LEFT(K5911,4)="CTAX",LEFT(K5911,2)="W|"),2*N5911*O5911,0)</f>
        <v/>
      </c>
      <c r="Z5911" s="12" t="inlineStr"/>
      <c r="AA5911" s="12">
        <f>N5911*O5911</f>
        <v/>
      </c>
    </row>
    <row r="5912">
      <c r="A5912" s="12" t="inlineStr">
        <is>
          <t>K-I-0033</t>
        </is>
      </c>
      <c r="B5912" s="12" t="inlineStr">
        <is>
          <t>K</t>
        </is>
      </c>
      <c r="C5912" s="12" t="inlineStr">
        <is>
          <t>Fuel supply (adjacent market)</t>
        </is>
      </c>
      <c r="D5912" s="12" t="inlineStr">
        <is>
          <t>Analog instrument to JB JB-H2 23: dry coolers-AI01: 12 x 1 pr (field cables)</t>
        </is>
      </c>
      <c r="E5912" s="12" t="inlineStr"/>
      <c r="F5912" s="12" t="inlineStr">
        <is>
          <t>H2 23: dry coolers</t>
        </is>
      </c>
      <c r="G5912" s="12" t="inlineStr">
        <is>
          <t>JB-H2 23: dry coolers-AI01</t>
        </is>
      </c>
      <c r="H5912" s="12" t="inlineStr">
        <is>
          <t>H2 23: dry coolers</t>
        </is>
      </c>
      <c r="I5912" s="12" t="inlineStr">
        <is>
          <t>Instrumentation</t>
        </is>
      </c>
      <c r="J5912" s="12" t="inlineStr">
        <is>
          <t>Instrumentation ITC / PLTC, IS, #18 shielded pairs, blue jacket</t>
        </is>
      </c>
      <c r="K5912" s="12" t="inlineStr">
        <is>
          <t>ITC|1 pr|16</t>
        </is>
      </c>
      <c r="L5912" s="12" t="inlineStr">
        <is>
          <t>1 pr</t>
        </is>
      </c>
      <c r="M5912" s="12" t="inlineStr">
        <is>
          <t>16</t>
        </is>
      </c>
      <c r="N5912" s="12" t="n">
        <v>12</v>
      </c>
      <c r="O5912" s="12" t="n">
        <v>1</v>
      </c>
      <c r="P5912" s="12" t="n"/>
      <c r="Q5912" s="12" t="n"/>
      <c r="R5912" s="12" t="n"/>
      <c r="S5912" s="12" t="inlineStr">
        <is>
          <t>Tray / conduit</t>
        </is>
      </c>
      <c r="T5912" s="15" t="n">
        <v>111</v>
      </c>
      <c r="U5912" s="15" t="n">
        <v>10</v>
      </c>
      <c r="V5912" s="15">
        <f>ROUNDUP((T5912+U5912+2*'Read Me'!$B$13)*(1+'Read Me'!$B$12),-1)</f>
        <v/>
      </c>
      <c r="W5912" s="15">
        <f>V5912*N5912*O5912</f>
        <v/>
      </c>
      <c r="X5912" s="12">
        <f>IF(LEFT(I5912,2)="MV",2*N5912*IF(L5912="1/C",O5912,1),0)</f>
        <v/>
      </c>
      <c r="Y5912" s="12">
        <f>IF(OR(LEFT(K5912,4)="LVAX",LEFT(K5912,6)="MV15AX",LEFT(K5912,4)="CTAX",LEFT(K5912,2)="W|"),2*N5912*O5912,0)</f>
        <v/>
      </c>
      <c r="Z5912" s="12" t="inlineStr">
        <is>
          <t>device-to-JB field wiring, one cable per device</t>
        </is>
      </c>
      <c r="AA5912" s="12">
        <f>N5912*O5912</f>
        <v/>
      </c>
    </row>
    <row r="5913">
      <c r="A5913" s="12" t="inlineStr">
        <is>
          <t>K-I-0034</t>
        </is>
      </c>
      <c r="B5913" s="12" t="inlineStr">
        <is>
          <t>K</t>
        </is>
      </c>
      <c r="C5913" s="12" t="inlineStr">
        <is>
          <t>Fuel supply (adjacent market)</t>
        </is>
      </c>
      <c r="D5913" s="12" t="inlineStr">
        <is>
          <t>Home run JB-H2 23: dry coolers-AI01 to the control / marshalling room</t>
        </is>
      </c>
      <c r="E5913" s="12" t="inlineStr"/>
      <c r="F5913" s="12" t="inlineStr">
        <is>
          <t>H2 20: 13.8 kV e-house</t>
        </is>
      </c>
      <c r="G5913" s="12" t="inlineStr">
        <is>
          <t>JB-H2 23: dry coolers-AI01</t>
        </is>
      </c>
      <c r="H5913" s="12" t="inlineStr">
        <is>
          <t>H2 23: dry coolers</t>
        </is>
      </c>
      <c r="I5913" s="12" t="inlineStr">
        <is>
          <t>Instrumentation</t>
        </is>
      </c>
      <c r="J5913" s="12" t="inlineStr">
        <is>
          <t>Instrumentation ITC / PLTC, IS, #18 shielded pairs, blue jacket</t>
        </is>
      </c>
      <c r="K5913" s="12" t="inlineStr">
        <is>
          <t>ITC|24 pr|18</t>
        </is>
      </c>
      <c r="L5913" s="12" t="inlineStr">
        <is>
          <t>24 pr</t>
        </is>
      </c>
      <c r="M5913" s="12" t="inlineStr">
        <is>
          <t>18</t>
        </is>
      </c>
      <c r="N5913" s="12" t="n">
        <v>1</v>
      </c>
      <c r="O5913" s="12" t="n">
        <v>1</v>
      </c>
      <c r="P5913" s="12" t="n"/>
      <c r="Q5913" s="12" t="n"/>
      <c r="R5913" s="12" t="n"/>
      <c r="S5913" s="12" t="inlineStr">
        <is>
          <t>Duct bank</t>
        </is>
      </c>
      <c r="T5913" s="15" t="n">
        <v>100</v>
      </c>
      <c r="U5913" s="15" t="n">
        <v>32</v>
      </c>
      <c r="V5913" s="15">
        <f>ROUNDUP((T5913+U5913+2*'Read Me'!$B$13)*(1+'Read Me'!$B$12),-1)</f>
        <v/>
      </c>
      <c r="W5913" s="15">
        <f>V5913*N5913*O5913</f>
        <v/>
      </c>
      <c r="X5913" s="12">
        <f>IF(LEFT(I5913,2)="MV",2*N5913*IF(L5913="1/C",O5913,1),0)</f>
        <v/>
      </c>
      <c r="Y5913" s="12">
        <f>IF(OR(LEFT(K5913,4)="LVAX",LEFT(K5913,6)="MV15AX",LEFT(K5913,4)="CTAX",LEFT(K5913,2)="W|"),2*N5913*O5913,0)</f>
        <v/>
      </c>
      <c r="Z5913" s="12" t="inlineStr"/>
      <c r="AA5913" s="12">
        <f>N5913*O5913</f>
        <v/>
      </c>
    </row>
    <row r="5914">
      <c r="A5914" s="12" t="inlineStr">
        <is>
          <t>K-I-0035</t>
        </is>
      </c>
      <c r="B5914" s="12" t="inlineStr">
        <is>
          <t>K</t>
        </is>
      </c>
      <c r="C5914" s="12" t="inlineStr">
        <is>
          <t>Fuel supply (adjacent market)</t>
        </is>
      </c>
      <c r="D5914" s="12" t="inlineStr">
        <is>
          <t>Discrete device to JB JB-H2 23: dry coolers-DI01: 12 x 1 pr (field cables)</t>
        </is>
      </c>
      <c r="E5914" s="12" t="inlineStr"/>
      <c r="F5914" s="12" t="inlineStr">
        <is>
          <t>H2 23: dry coolers</t>
        </is>
      </c>
      <c r="G5914" s="12" t="inlineStr">
        <is>
          <t>JB-H2 23: dry coolers-DI01</t>
        </is>
      </c>
      <c r="H5914" s="12" t="inlineStr">
        <is>
          <t>H2 23: dry coolers</t>
        </is>
      </c>
      <c r="I5914" s="12" t="inlineStr">
        <is>
          <t>Instrumentation</t>
        </is>
      </c>
      <c r="J5914" s="12" t="inlineStr">
        <is>
          <t>Instrumentation ITC / PLTC, IS, #18 shielded pairs, blue jacket</t>
        </is>
      </c>
      <c r="K5914" s="12" t="inlineStr">
        <is>
          <t>ITC|1 pr|16</t>
        </is>
      </c>
      <c r="L5914" s="12" t="inlineStr">
        <is>
          <t>1 pr</t>
        </is>
      </c>
      <c r="M5914" s="12" t="inlineStr">
        <is>
          <t>16</t>
        </is>
      </c>
      <c r="N5914" s="12" t="n">
        <v>12</v>
      </c>
      <c r="O5914" s="12" t="n">
        <v>1</v>
      </c>
      <c r="P5914" s="12" t="n"/>
      <c r="Q5914" s="12" t="n"/>
      <c r="R5914" s="12" t="n"/>
      <c r="S5914" s="12" t="inlineStr">
        <is>
          <t>Tray / conduit</t>
        </is>
      </c>
      <c r="T5914" s="15" t="n">
        <v>111</v>
      </c>
      <c r="U5914" s="15" t="n">
        <v>10</v>
      </c>
      <c r="V5914" s="15">
        <f>ROUNDUP((T5914+U5914+2*'Read Me'!$B$13)*(1+'Read Me'!$B$12),-1)</f>
        <v/>
      </c>
      <c r="W5914" s="15">
        <f>V5914*N5914*O5914</f>
        <v/>
      </c>
      <c r="X5914" s="12">
        <f>IF(LEFT(I5914,2)="MV",2*N5914*IF(L5914="1/C",O5914,1),0)</f>
        <v/>
      </c>
      <c r="Y5914" s="12">
        <f>IF(OR(LEFT(K5914,4)="LVAX",LEFT(K5914,6)="MV15AX",LEFT(K5914,4)="CTAX",LEFT(K5914,2)="W|"),2*N5914*O5914,0)</f>
        <v/>
      </c>
      <c r="Z5914" s="12" t="inlineStr">
        <is>
          <t>device-to-JB field wiring, one cable per device</t>
        </is>
      </c>
      <c r="AA5914" s="12">
        <f>N5914*O5914</f>
        <v/>
      </c>
    </row>
    <row r="5915">
      <c r="A5915" s="12" t="inlineStr">
        <is>
          <t>K-I-0036</t>
        </is>
      </c>
      <c r="B5915" s="12" t="inlineStr">
        <is>
          <t>K</t>
        </is>
      </c>
      <c r="C5915" s="12" t="inlineStr">
        <is>
          <t>Fuel supply (adjacent market)</t>
        </is>
      </c>
      <c r="D5915" s="12" t="inlineStr">
        <is>
          <t>Home run JB-H2 23: dry coolers-DI01 to the control / marshalling room</t>
        </is>
      </c>
      <c r="E5915" s="12" t="inlineStr"/>
      <c r="F5915" s="12" t="inlineStr">
        <is>
          <t>H2 20: 13.8 kV e-house</t>
        </is>
      </c>
      <c r="G5915" s="12" t="inlineStr">
        <is>
          <t>JB-H2 23: dry coolers-DI01</t>
        </is>
      </c>
      <c r="H5915" s="12" t="inlineStr">
        <is>
          <t>H2 23: dry coolers</t>
        </is>
      </c>
      <c r="I5915" s="12" t="inlineStr">
        <is>
          <t>Instrumentation</t>
        </is>
      </c>
      <c r="J5915" s="12" t="inlineStr">
        <is>
          <t>Instrumentation ITC / PLTC, IS, #18 shielded pairs, blue jacket</t>
        </is>
      </c>
      <c r="K5915" s="12" t="inlineStr">
        <is>
          <t>ITC|24 pr|18</t>
        </is>
      </c>
      <c r="L5915" s="12" t="inlineStr">
        <is>
          <t>24 pr</t>
        </is>
      </c>
      <c r="M5915" s="12" t="inlineStr">
        <is>
          <t>18</t>
        </is>
      </c>
      <c r="N5915" s="12" t="n">
        <v>1</v>
      </c>
      <c r="O5915" s="12" t="n">
        <v>1</v>
      </c>
      <c r="P5915" s="12" t="n"/>
      <c r="Q5915" s="12" t="n"/>
      <c r="R5915" s="12" t="n"/>
      <c r="S5915" s="12" t="inlineStr">
        <is>
          <t>Duct bank</t>
        </is>
      </c>
      <c r="T5915" s="15" t="n">
        <v>100</v>
      </c>
      <c r="U5915" s="15" t="n">
        <v>32</v>
      </c>
      <c r="V5915" s="15">
        <f>ROUNDUP((T5915+U5915+2*'Read Me'!$B$13)*(1+'Read Me'!$B$12),-1)</f>
        <v/>
      </c>
      <c r="W5915" s="15">
        <f>V5915*N5915*O5915</f>
        <v/>
      </c>
      <c r="X5915" s="12">
        <f>IF(LEFT(I5915,2)="MV",2*N5915*IF(L5915="1/C",O5915,1),0)</f>
        <v/>
      </c>
      <c r="Y5915" s="12">
        <f>IF(OR(LEFT(K5915,4)="LVAX",LEFT(K5915,6)="MV15AX",LEFT(K5915,4)="CTAX",LEFT(K5915,2)="W|"),2*N5915*O5915,0)</f>
        <v/>
      </c>
      <c r="Z5915" s="12" t="inlineStr"/>
      <c r="AA5915" s="12">
        <f>N5915*O5915</f>
        <v/>
      </c>
    </row>
    <row r="5916">
      <c r="A5916" s="12" t="inlineStr">
        <is>
          <t>K-I-0037</t>
        </is>
      </c>
      <c r="B5916" s="12" t="inlineStr">
        <is>
          <t>K</t>
        </is>
      </c>
      <c r="C5916" s="12" t="inlineStr">
        <is>
          <t>Fuel supply (adjacent market)</t>
        </is>
      </c>
      <c r="D5916" s="12" t="inlineStr">
        <is>
          <t>Analog instrument to JB JB-H2 24: water purif-AI01: 12 x 1 pr (field cables)</t>
        </is>
      </c>
      <c r="E5916" s="12" t="inlineStr"/>
      <c r="F5916" s="12" t="inlineStr">
        <is>
          <t>H2 24: water purification (RO / EDI)</t>
        </is>
      </c>
      <c r="G5916" s="12" t="inlineStr">
        <is>
          <t>JB-H2 24: water purif-AI01</t>
        </is>
      </c>
      <c r="H5916" s="12" t="inlineStr">
        <is>
          <t>H2 24: water purification (RO / EDI)</t>
        </is>
      </c>
      <c r="I5916" s="12" t="inlineStr">
        <is>
          <t>Instrumentation</t>
        </is>
      </c>
      <c r="J5916" s="12" t="inlineStr">
        <is>
          <t>Instrumentation ITC / PLTC, IS, #18 shielded pairs, blue jacket</t>
        </is>
      </c>
      <c r="K5916" s="12" t="inlineStr">
        <is>
          <t>ITC|1 pr|16</t>
        </is>
      </c>
      <c r="L5916" s="12" t="inlineStr">
        <is>
          <t>1 pr</t>
        </is>
      </c>
      <c r="M5916" s="12" t="inlineStr">
        <is>
          <t>16</t>
        </is>
      </c>
      <c r="N5916" s="12" t="n">
        <v>12</v>
      </c>
      <c r="O5916" s="12" t="n">
        <v>1</v>
      </c>
      <c r="P5916" s="12" t="n"/>
      <c r="Q5916" s="12" t="n"/>
      <c r="R5916" s="12" t="n"/>
      <c r="S5916" s="12" t="inlineStr">
        <is>
          <t>Tray / conduit</t>
        </is>
      </c>
      <c r="T5916" s="15" t="n">
        <v>60</v>
      </c>
      <c r="U5916" s="15" t="n">
        <v>10</v>
      </c>
      <c r="V5916" s="15">
        <f>ROUNDUP((T5916+U5916+2*'Read Me'!$B$13)*(1+'Read Me'!$B$12),-1)</f>
        <v/>
      </c>
      <c r="W5916" s="15">
        <f>V5916*N5916*O5916</f>
        <v/>
      </c>
      <c r="X5916" s="12">
        <f>IF(LEFT(I5916,2)="MV",2*N5916*IF(L5916="1/C",O5916,1),0)</f>
        <v/>
      </c>
      <c r="Y5916" s="12">
        <f>IF(OR(LEFT(K5916,4)="LVAX",LEFT(K5916,6)="MV15AX",LEFT(K5916,4)="CTAX",LEFT(K5916,2)="W|"),2*N5916*O5916,0)</f>
        <v/>
      </c>
      <c r="Z5916" s="12" t="inlineStr">
        <is>
          <t>device-to-JB field wiring, one cable per device</t>
        </is>
      </c>
      <c r="AA5916" s="12">
        <f>N5916*O5916</f>
        <v/>
      </c>
    </row>
    <row r="5917">
      <c r="A5917" s="12" t="inlineStr">
        <is>
          <t>K-I-0038</t>
        </is>
      </c>
      <c r="B5917" s="12" t="inlineStr">
        <is>
          <t>K</t>
        </is>
      </c>
      <c r="C5917" s="12" t="inlineStr">
        <is>
          <t>Fuel supply (adjacent market)</t>
        </is>
      </c>
      <c r="D5917" s="12" t="inlineStr">
        <is>
          <t>Home run JB-H2 24: water purif-AI01 to the control / marshalling room</t>
        </is>
      </c>
      <c r="E5917" s="12" t="inlineStr"/>
      <c r="F5917" s="12" t="inlineStr">
        <is>
          <t>H2 20: 13.8 kV e-house</t>
        </is>
      </c>
      <c r="G5917" s="12" t="inlineStr">
        <is>
          <t>JB-H2 24: water purif-AI01</t>
        </is>
      </c>
      <c r="H5917" s="12" t="inlineStr">
        <is>
          <t>H2 24: water purification (RO / EDI)</t>
        </is>
      </c>
      <c r="I5917" s="12" t="inlineStr">
        <is>
          <t>Instrumentation</t>
        </is>
      </c>
      <c r="J5917" s="12" t="inlineStr">
        <is>
          <t>Instrumentation ITC / PLTC, IS, #18 shielded pairs, blue jacket</t>
        </is>
      </c>
      <c r="K5917" s="12" t="inlineStr">
        <is>
          <t>ITC|24 pr|18</t>
        </is>
      </c>
      <c r="L5917" s="12" t="inlineStr">
        <is>
          <t>24 pr</t>
        </is>
      </c>
      <c r="M5917" s="12" t="inlineStr">
        <is>
          <t>18</t>
        </is>
      </c>
      <c r="N5917" s="12" t="n">
        <v>1</v>
      </c>
      <c r="O5917" s="12" t="n">
        <v>1</v>
      </c>
      <c r="P5917" s="12" t="n"/>
      <c r="Q5917" s="12" t="n"/>
      <c r="R5917" s="12" t="n"/>
      <c r="S5917" s="12" t="inlineStr">
        <is>
          <t>Duct bank</t>
        </is>
      </c>
      <c r="T5917" s="15" t="n">
        <v>146</v>
      </c>
      <c r="U5917" s="15" t="n">
        <v>32</v>
      </c>
      <c r="V5917" s="15">
        <f>ROUNDUP((T5917+U5917+2*'Read Me'!$B$13)*(1+'Read Me'!$B$12),-1)</f>
        <v/>
      </c>
      <c r="W5917" s="15">
        <f>V5917*N5917*O5917</f>
        <v/>
      </c>
      <c r="X5917" s="12">
        <f>IF(LEFT(I5917,2)="MV",2*N5917*IF(L5917="1/C",O5917,1),0)</f>
        <v/>
      </c>
      <c r="Y5917" s="12">
        <f>IF(OR(LEFT(K5917,4)="LVAX",LEFT(K5917,6)="MV15AX",LEFT(K5917,4)="CTAX",LEFT(K5917,2)="W|"),2*N5917*O5917,0)</f>
        <v/>
      </c>
      <c r="Z5917" s="12" t="inlineStr"/>
      <c r="AA5917" s="12">
        <f>N5917*O5917</f>
        <v/>
      </c>
    </row>
    <row r="5918">
      <c r="A5918" s="12" t="inlineStr">
        <is>
          <t>K-I-0039</t>
        </is>
      </c>
      <c r="B5918" s="12" t="inlineStr">
        <is>
          <t>K</t>
        </is>
      </c>
      <c r="C5918" s="12" t="inlineStr">
        <is>
          <t>Fuel supply (adjacent market)</t>
        </is>
      </c>
      <c r="D5918" s="12" t="inlineStr">
        <is>
          <t>Discrete device to JB JB-H2 24: water purif-DI01: 12 x 1 pr (field cables)</t>
        </is>
      </c>
      <c r="E5918" s="12" t="inlineStr"/>
      <c r="F5918" s="12" t="inlineStr">
        <is>
          <t>H2 24: water purification (RO / EDI)</t>
        </is>
      </c>
      <c r="G5918" s="12" t="inlineStr">
        <is>
          <t>JB-H2 24: water purif-DI01</t>
        </is>
      </c>
      <c r="H5918" s="12" t="inlineStr">
        <is>
          <t>H2 24: water purification (RO / EDI)</t>
        </is>
      </c>
      <c r="I5918" s="12" t="inlineStr">
        <is>
          <t>Instrumentation</t>
        </is>
      </c>
      <c r="J5918" s="12" t="inlineStr">
        <is>
          <t>Instrumentation ITC / PLTC, IS, #18 shielded pairs, blue jacket</t>
        </is>
      </c>
      <c r="K5918" s="12" t="inlineStr">
        <is>
          <t>ITC|1 pr|16</t>
        </is>
      </c>
      <c r="L5918" s="12" t="inlineStr">
        <is>
          <t>1 pr</t>
        </is>
      </c>
      <c r="M5918" s="12" t="inlineStr">
        <is>
          <t>16</t>
        </is>
      </c>
      <c r="N5918" s="12" t="n">
        <v>12</v>
      </c>
      <c r="O5918" s="12" t="n">
        <v>1</v>
      </c>
      <c r="P5918" s="12" t="n"/>
      <c r="Q5918" s="12" t="n"/>
      <c r="R5918" s="12" t="n"/>
      <c r="S5918" s="12" t="inlineStr">
        <is>
          <t>Tray / conduit</t>
        </is>
      </c>
      <c r="T5918" s="15" t="n">
        <v>60</v>
      </c>
      <c r="U5918" s="15" t="n">
        <v>10</v>
      </c>
      <c r="V5918" s="15">
        <f>ROUNDUP((T5918+U5918+2*'Read Me'!$B$13)*(1+'Read Me'!$B$12),-1)</f>
        <v/>
      </c>
      <c r="W5918" s="15">
        <f>V5918*N5918*O5918</f>
        <v/>
      </c>
      <c r="X5918" s="12">
        <f>IF(LEFT(I5918,2)="MV",2*N5918*IF(L5918="1/C",O5918,1),0)</f>
        <v/>
      </c>
      <c r="Y5918" s="12">
        <f>IF(OR(LEFT(K5918,4)="LVAX",LEFT(K5918,6)="MV15AX",LEFT(K5918,4)="CTAX",LEFT(K5918,2)="W|"),2*N5918*O5918,0)</f>
        <v/>
      </c>
      <c r="Z5918" s="12" t="inlineStr">
        <is>
          <t>device-to-JB field wiring, one cable per device</t>
        </is>
      </c>
      <c r="AA5918" s="12">
        <f>N5918*O5918</f>
        <v/>
      </c>
    </row>
    <row r="5919">
      <c r="A5919" s="12" t="inlineStr">
        <is>
          <t>K-I-0040</t>
        </is>
      </c>
      <c r="B5919" s="12" t="inlineStr">
        <is>
          <t>K</t>
        </is>
      </c>
      <c r="C5919" s="12" t="inlineStr">
        <is>
          <t>Fuel supply (adjacent market)</t>
        </is>
      </c>
      <c r="D5919" s="12" t="inlineStr">
        <is>
          <t>Home run JB-H2 24: water purif-DI01 to the control / marshalling room</t>
        </is>
      </c>
      <c r="E5919" s="12" t="inlineStr"/>
      <c r="F5919" s="12" t="inlineStr">
        <is>
          <t>H2 20: 13.8 kV e-house</t>
        </is>
      </c>
      <c r="G5919" s="12" t="inlineStr">
        <is>
          <t>JB-H2 24: water purif-DI01</t>
        </is>
      </c>
      <c r="H5919" s="12" t="inlineStr">
        <is>
          <t>H2 24: water purification (RO / EDI)</t>
        </is>
      </c>
      <c r="I5919" s="12" t="inlineStr">
        <is>
          <t>Instrumentation</t>
        </is>
      </c>
      <c r="J5919" s="12" t="inlineStr">
        <is>
          <t>Instrumentation ITC / PLTC, IS, #18 shielded pairs, blue jacket</t>
        </is>
      </c>
      <c r="K5919" s="12" t="inlineStr">
        <is>
          <t>ITC|24 pr|18</t>
        </is>
      </c>
      <c r="L5919" s="12" t="inlineStr">
        <is>
          <t>24 pr</t>
        </is>
      </c>
      <c r="M5919" s="12" t="inlineStr">
        <is>
          <t>18</t>
        </is>
      </c>
      <c r="N5919" s="12" t="n">
        <v>1</v>
      </c>
      <c r="O5919" s="12" t="n">
        <v>1</v>
      </c>
      <c r="P5919" s="12" t="n"/>
      <c r="Q5919" s="12" t="n"/>
      <c r="R5919" s="12" t="n"/>
      <c r="S5919" s="12" t="inlineStr">
        <is>
          <t>Duct bank</t>
        </is>
      </c>
      <c r="T5919" s="15" t="n">
        <v>146</v>
      </c>
      <c r="U5919" s="15" t="n">
        <v>32</v>
      </c>
      <c r="V5919" s="15">
        <f>ROUNDUP((T5919+U5919+2*'Read Me'!$B$13)*(1+'Read Me'!$B$12),-1)</f>
        <v/>
      </c>
      <c r="W5919" s="15">
        <f>V5919*N5919*O5919</f>
        <v/>
      </c>
      <c r="X5919" s="12">
        <f>IF(LEFT(I5919,2)="MV",2*N5919*IF(L5919="1/C",O5919,1),0)</f>
        <v/>
      </c>
      <c r="Y5919" s="12">
        <f>IF(OR(LEFT(K5919,4)="LVAX",LEFT(K5919,6)="MV15AX",LEFT(K5919,4)="CTAX",LEFT(K5919,2)="W|"),2*N5919*O5919,0)</f>
        <v/>
      </c>
      <c r="Z5919" s="12" t="inlineStr"/>
      <c r="AA5919" s="12">
        <f>N5919*O5919</f>
        <v/>
      </c>
    </row>
    <row r="5920">
      <c r="A5920" s="12" t="inlineStr">
        <is>
          <t>K-I-0041</t>
        </is>
      </c>
      <c r="B5920" s="12" t="inlineStr">
        <is>
          <t>K</t>
        </is>
      </c>
      <c r="C5920" s="12" t="inlineStr">
        <is>
          <t>Fuel supply (adjacent market)</t>
        </is>
      </c>
      <c r="D5920" s="12" t="inlineStr">
        <is>
          <t>Analog instrument to JB JB-H2 25: H2 dryer / -AI01: 12 x 1 pr (field cables)</t>
        </is>
      </c>
      <c r="E5920" s="12" t="inlineStr"/>
      <c r="F5920" s="12" t="inlineStr">
        <is>
          <t>H2 25: H2 dryer / purification</t>
        </is>
      </c>
      <c r="G5920" s="12" t="inlineStr">
        <is>
          <t>JB-H2 25: H2 dryer / -AI01</t>
        </is>
      </c>
      <c r="H5920" s="12" t="inlineStr">
        <is>
          <t>H2 25: H2 dryer / purification</t>
        </is>
      </c>
      <c r="I5920" s="12" t="inlineStr">
        <is>
          <t>Instrumentation</t>
        </is>
      </c>
      <c r="J5920" s="12" t="inlineStr">
        <is>
          <t>Instrumentation ITC / PLTC, IS, #18 shielded pairs, blue jacket</t>
        </is>
      </c>
      <c r="K5920" s="12" t="inlineStr">
        <is>
          <t>ITC|1 pr|16</t>
        </is>
      </c>
      <c r="L5920" s="12" t="inlineStr">
        <is>
          <t>1 pr</t>
        </is>
      </c>
      <c r="M5920" s="12" t="inlineStr">
        <is>
          <t>16</t>
        </is>
      </c>
      <c r="N5920" s="12" t="n">
        <v>12</v>
      </c>
      <c r="O5920" s="12" t="n">
        <v>1</v>
      </c>
      <c r="P5920" s="12" t="n"/>
      <c r="Q5920" s="12" t="n"/>
      <c r="R5920" s="12" t="n"/>
      <c r="S5920" s="12" t="inlineStr">
        <is>
          <t>Tray / conduit</t>
        </is>
      </c>
      <c r="T5920" s="15" t="n">
        <v>60</v>
      </c>
      <c r="U5920" s="15" t="n">
        <v>10</v>
      </c>
      <c r="V5920" s="15">
        <f>ROUNDUP((T5920+U5920+2*'Read Me'!$B$13)*(1+'Read Me'!$B$12),-1)</f>
        <v/>
      </c>
      <c r="W5920" s="15">
        <f>V5920*N5920*O5920</f>
        <v/>
      </c>
      <c r="X5920" s="12">
        <f>IF(LEFT(I5920,2)="MV",2*N5920*IF(L5920="1/C",O5920,1),0)</f>
        <v/>
      </c>
      <c r="Y5920" s="12">
        <f>IF(OR(LEFT(K5920,4)="LVAX",LEFT(K5920,6)="MV15AX",LEFT(K5920,4)="CTAX",LEFT(K5920,2)="W|"),2*N5920*O5920,0)</f>
        <v/>
      </c>
      <c r="Z5920" s="12" t="inlineStr">
        <is>
          <t>device-to-JB field wiring, one cable per device</t>
        </is>
      </c>
      <c r="AA5920" s="12">
        <f>N5920*O5920</f>
        <v/>
      </c>
    </row>
    <row r="5921">
      <c r="A5921" s="12" t="inlineStr">
        <is>
          <t>K-I-0042</t>
        </is>
      </c>
      <c r="B5921" s="12" t="inlineStr">
        <is>
          <t>K</t>
        </is>
      </c>
      <c r="C5921" s="12" t="inlineStr">
        <is>
          <t>Fuel supply (adjacent market)</t>
        </is>
      </c>
      <c r="D5921" s="12" t="inlineStr">
        <is>
          <t>Home run JB-H2 25: H2 dryer / -AI01 to the control / marshalling room</t>
        </is>
      </c>
      <c r="E5921" s="12" t="inlineStr"/>
      <c r="F5921" s="12" t="inlineStr">
        <is>
          <t>H2 20: 13.8 kV e-house</t>
        </is>
      </c>
      <c r="G5921" s="12" t="inlineStr">
        <is>
          <t>JB-H2 25: H2 dryer / -AI01</t>
        </is>
      </c>
      <c r="H5921" s="12" t="inlineStr">
        <is>
          <t>H2 25: H2 dryer / purification</t>
        </is>
      </c>
      <c r="I5921" s="12" t="inlineStr">
        <is>
          <t>Instrumentation</t>
        </is>
      </c>
      <c r="J5921" s="12" t="inlineStr">
        <is>
          <t>Instrumentation ITC / PLTC, IS, #18 shielded pairs, blue jacket</t>
        </is>
      </c>
      <c r="K5921" s="12" t="inlineStr">
        <is>
          <t>ITC|24 pr|18</t>
        </is>
      </c>
      <c r="L5921" s="12" t="inlineStr">
        <is>
          <t>24 pr</t>
        </is>
      </c>
      <c r="M5921" s="12" t="inlineStr">
        <is>
          <t>18</t>
        </is>
      </c>
      <c r="N5921" s="12" t="n">
        <v>1</v>
      </c>
      <c r="O5921" s="12" t="n">
        <v>1</v>
      </c>
      <c r="P5921" s="12" t="n"/>
      <c r="Q5921" s="12" t="n"/>
      <c r="R5921" s="12" t="n"/>
      <c r="S5921" s="12" t="inlineStr">
        <is>
          <t>Duct bank</t>
        </is>
      </c>
      <c r="T5921" s="15" t="n">
        <v>0</v>
      </c>
      <c r="U5921" s="15" t="n">
        <v>49</v>
      </c>
      <c r="V5921" s="15">
        <f>ROUNDUP((T5921+U5921+2*'Read Me'!$B$13)*(1+'Read Me'!$B$12),-1)</f>
        <v/>
      </c>
      <c r="W5921" s="15">
        <f>V5921*N5921*O5921</f>
        <v/>
      </c>
      <c r="X5921" s="12">
        <f>IF(LEFT(I5921,2)="MV",2*N5921*IF(L5921="1/C",O5921,1),0)</f>
        <v/>
      </c>
      <c r="Y5921" s="12">
        <f>IF(OR(LEFT(K5921,4)="LVAX",LEFT(K5921,6)="MV15AX",LEFT(K5921,4)="CTAX",LEFT(K5921,2)="W|"),2*N5921*O5921,0)</f>
        <v/>
      </c>
      <c r="Z5921" s="12" t="inlineStr"/>
      <c r="AA5921" s="12">
        <f>N5921*O5921</f>
        <v/>
      </c>
    </row>
    <row r="5922">
      <c r="A5922" s="12" t="inlineStr">
        <is>
          <t>K-I-0043</t>
        </is>
      </c>
      <c r="B5922" s="12" t="inlineStr">
        <is>
          <t>K</t>
        </is>
      </c>
      <c r="C5922" s="12" t="inlineStr">
        <is>
          <t>Fuel supply (adjacent market)</t>
        </is>
      </c>
      <c r="D5922" s="12" t="inlineStr">
        <is>
          <t>Discrete device to JB JB-H2 25: H2 dryer / -DI01: 12 x 1 pr (field cables)</t>
        </is>
      </c>
      <c r="E5922" s="12" t="inlineStr"/>
      <c r="F5922" s="12" t="inlineStr">
        <is>
          <t>H2 25: H2 dryer / purification</t>
        </is>
      </c>
      <c r="G5922" s="12" t="inlineStr">
        <is>
          <t>JB-H2 25: H2 dryer / -DI01</t>
        </is>
      </c>
      <c r="H5922" s="12" t="inlineStr">
        <is>
          <t>H2 25: H2 dryer / purification</t>
        </is>
      </c>
      <c r="I5922" s="12" t="inlineStr">
        <is>
          <t>Instrumentation</t>
        </is>
      </c>
      <c r="J5922" s="12" t="inlineStr">
        <is>
          <t>Instrumentation ITC / PLTC, IS, #18 shielded pairs, blue jacket</t>
        </is>
      </c>
      <c r="K5922" s="12" t="inlineStr">
        <is>
          <t>ITC|1 pr|16</t>
        </is>
      </c>
      <c r="L5922" s="12" t="inlineStr">
        <is>
          <t>1 pr</t>
        </is>
      </c>
      <c r="M5922" s="12" t="inlineStr">
        <is>
          <t>16</t>
        </is>
      </c>
      <c r="N5922" s="12" t="n">
        <v>12</v>
      </c>
      <c r="O5922" s="12" t="n">
        <v>1</v>
      </c>
      <c r="P5922" s="12" t="n"/>
      <c r="Q5922" s="12" t="n"/>
      <c r="R5922" s="12" t="n"/>
      <c r="S5922" s="12" t="inlineStr">
        <is>
          <t>Tray / conduit</t>
        </is>
      </c>
      <c r="T5922" s="15" t="n">
        <v>60</v>
      </c>
      <c r="U5922" s="15" t="n">
        <v>10</v>
      </c>
      <c r="V5922" s="15">
        <f>ROUNDUP((T5922+U5922+2*'Read Me'!$B$13)*(1+'Read Me'!$B$12),-1)</f>
        <v/>
      </c>
      <c r="W5922" s="15">
        <f>V5922*N5922*O5922</f>
        <v/>
      </c>
      <c r="X5922" s="12">
        <f>IF(LEFT(I5922,2)="MV",2*N5922*IF(L5922="1/C",O5922,1),0)</f>
        <v/>
      </c>
      <c r="Y5922" s="12">
        <f>IF(OR(LEFT(K5922,4)="LVAX",LEFT(K5922,6)="MV15AX",LEFT(K5922,4)="CTAX",LEFT(K5922,2)="W|"),2*N5922*O5922,0)</f>
        <v/>
      </c>
      <c r="Z5922" s="12" t="inlineStr">
        <is>
          <t>device-to-JB field wiring, one cable per device</t>
        </is>
      </c>
      <c r="AA5922" s="12">
        <f>N5922*O5922</f>
        <v/>
      </c>
    </row>
    <row r="5923">
      <c r="A5923" s="12" t="inlineStr">
        <is>
          <t>K-I-0044</t>
        </is>
      </c>
      <c r="B5923" s="12" t="inlineStr">
        <is>
          <t>K</t>
        </is>
      </c>
      <c r="C5923" s="12" t="inlineStr">
        <is>
          <t>Fuel supply (adjacent market)</t>
        </is>
      </c>
      <c r="D5923" s="12" t="inlineStr">
        <is>
          <t>Home run JB-H2 25: H2 dryer / -DI01 to the control / marshalling room</t>
        </is>
      </c>
      <c r="E5923" s="12" t="inlineStr"/>
      <c r="F5923" s="12" t="inlineStr">
        <is>
          <t>H2 20: 13.8 kV e-house</t>
        </is>
      </c>
      <c r="G5923" s="12" t="inlineStr">
        <is>
          <t>JB-H2 25: H2 dryer / -DI01</t>
        </is>
      </c>
      <c r="H5923" s="12" t="inlineStr">
        <is>
          <t>H2 25: H2 dryer / purification</t>
        </is>
      </c>
      <c r="I5923" s="12" t="inlineStr">
        <is>
          <t>Instrumentation</t>
        </is>
      </c>
      <c r="J5923" s="12" t="inlineStr">
        <is>
          <t>Instrumentation ITC / PLTC, IS, #18 shielded pairs, blue jacket</t>
        </is>
      </c>
      <c r="K5923" s="12" t="inlineStr">
        <is>
          <t>ITC|24 pr|18</t>
        </is>
      </c>
      <c r="L5923" s="12" t="inlineStr">
        <is>
          <t>24 pr</t>
        </is>
      </c>
      <c r="M5923" s="12" t="inlineStr">
        <is>
          <t>18</t>
        </is>
      </c>
      <c r="N5923" s="12" t="n">
        <v>1</v>
      </c>
      <c r="O5923" s="12" t="n">
        <v>1</v>
      </c>
      <c r="P5923" s="12" t="n"/>
      <c r="Q5923" s="12" t="n"/>
      <c r="R5923" s="12" t="n"/>
      <c r="S5923" s="12" t="inlineStr">
        <is>
          <t>Duct bank</t>
        </is>
      </c>
      <c r="T5923" s="15" t="n">
        <v>0</v>
      </c>
      <c r="U5923" s="15" t="n">
        <v>49</v>
      </c>
      <c r="V5923" s="15">
        <f>ROUNDUP((T5923+U5923+2*'Read Me'!$B$13)*(1+'Read Me'!$B$12),-1)</f>
        <v/>
      </c>
      <c r="W5923" s="15">
        <f>V5923*N5923*O5923</f>
        <v/>
      </c>
      <c r="X5923" s="12">
        <f>IF(LEFT(I5923,2)="MV",2*N5923*IF(L5923="1/C",O5923,1),0)</f>
        <v/>
      </c>
      <c r="Y5923" s="12">
        <f>IF(OR(LEFT(K5923,4)="LVAX",LEFT(K5923,6)="MV15AX",LEFT(K5923,4)="CTAX",LEFT(K5923,2)="W|"),2*N5923*O5923,0)</f>
        <v/>
      </c>
      <c r="Z5923" s="12" t="inlineStr"/>
      <c r="AA5923" s="12">
        <f>N5923*O5923</f>
        <v/>
      </c>
    </row>
    <row r="5924">
      <c r="A5924" s="12" t="inlineStr">
        <is>
          <t>K-I-0045</t>
        </is>
      </c>
      <c r="B5924" s="12" t="inlineStr">
        <is>
          <t>K</t>
        </is>
      </c>
      <c r="C5924" s="12" t="inlineStr">
        <is>
          <t>Fuel supply (adjacent market)</t>
        </is>
      </c>
      <c r="D5924" s="12" t="inlineStr">
        <is>
          <t>Analog instrument to JB JB-H2 26: H2 compress-AI01: 12 x 1 pr (field cables)</t>
        </is>
      </c>
      <c r="E5924" s="12" t="inlineStr"/>
      <c r="F5924" s="12" t="inlineStr">
        <is>
          <t>H2 26: H2 compressor 1 (40 ft ISO)</t>
        </is>
      </c>
      <c r="G5924" s="12" t="inlineStr">
        <is>
          <t>JB-H2 26: H2 compress-AI01</t>
        </is>
      </c>
      <c r="H5924" s="12" t="inlineStr">
        <is>
          <t>H2 26: H2 compressor 1 (40 ft ISO)</t>
        </is>
      </c>
      <c r="I5924" s="12" t="inlineStr">
        <is>
          <t>Instrumentation</t>
        </is>
      </c>
      <c r="J5924" s="12" t="inlineStr">
        <is>
          <t>Instrumentation ITC / PLTC, IS, #18 shielded pairs, blue jacket</t>
        </is>
      </c>
      <c r="K5924" s="12" t="inlineStr">
        <is>
          <t>ITC|1 pr|16</t>
        </is>
      </c>
      <c r="L5924" s="12" t="inlineStr">
        <is>
          <t>1 pr</t>
        </is>
      </c>
      <c r="M5924" s="12" t="inlineStr">
        <is>
          <t>16</t>
        </is>
      </c>
      <c r="N5924" s="12" t="n">
        <v>12</v>
      </c>
      <c r="O5924" s="12" t="n">
        <v>1</v>
      </c>
      <c r="P5924" s="12" t="n"/>
      <c r="Q5924" s="12" t="n"/>
      <c r="R5924" s="12" t="n"/>
      <c r="S5924" s="12" t="inlineStr">
        <is>
          <t>Tray / conduit</t>
        </is>
      </c>
      <c r="T5924" s="15" t="n">
        <v>53</v>
      </c>
      <c r="U5924" s="15" t="n">
        <v>10</v>
      </c>
      <c r="V5924" s="15">
        <f>ROUNDUP((T5924+U5924+2*'Read Me'!$B$13)*(1+'Read Me'!$B$12),-1)</f>
        <v/>
      </c>
      <c r="W5924" s="15">
        <f>V5924*N5924*O5924</f>
        <v/>
      </c>
      <c r="X5924" s="12">
        <f>IF(LEFT(I5924,2)="MV",2*N5924*IF(L5924="1/C",O5924,1),0)</f>
        <v/>
      </c>
      <c r="Y5924" s="12">
        <f>IF(OR(LEFT(K5924,4)="LVAX",LEFT(K5924,6)="MV15AX",LEFT(K5924,4)="CTAX",LEFT(K5924,2)="W|"),2*N5924*O5924,0)</f>
        <v/>
      </c>
      <c r="Z5924" s="12" t="inlineStr">
        <is>
          <t>device-to-JB field wiring, one cable per device</t>
        </is>
      </c>
      <c r="AA5924" s="12">
        <f>N5924*O5924</f>
        <v/>
      </c>
    </row>
    <row r="5925">
      <c r="A5925" s="12" t="inlineStr">
        <is>
          <t>K-I-0046</t>
        </is>
      </c>
      <c r="B5925" s="12" t="inlineStr">
        <is>
          <t>K</t>
        </is>
      </c>
      <c r="C5925" s="12" t="inlineStr">
        <is>
          <t>Fuel supply (adjacent market)</t>
        </is>
      </c>
      <c r="D5925" s="12" t="inlineStr">
        <is>
          <t>Home run JB-H2 26: H2 compress-AI01 to the control / marshalling room</t>
        </is>
      </c>
      <c r="E5925" s="12" t="inlineStr"/>
      <c r="F5925" s="12" t="inlineStr">
        <is>
          <t>H2 20: 13.8 kV e-house</t>
        </is>
      </c>
      <c r="G5925" s="12" t="inlineStr">
        <is>
          <t>JB-H2 26: H2 compress-AI01</t>
        </is>
      </c>
      <c r="H5925" s="12" t="inlineStr">
        <is>
          <t>H2 26: H2 compressor 1 (40 ft ISO)</t>
        </is>
      </c>
      <c r="I5925" s="12" t="inlineStr">
        <is>
          <t>Instrumentation</t>
        </is>
      </c>
      <c r="J5925" s="12" t="inlineStr">
        <is>
          <t>Instrumentation ITC / PLTC, IS, #18 shielded pairs, blue jacket</t>
        </is>
      </c>
      <c r="K5925" s="12" t="inlineStr">
        <is>
          <t>ITC|24 pr|18</t>
        </is>
      </c>
      <c r="L5925" s="12" t="inlineStr">
        <is>
          <t>24 pr</t>
        </is>
      </c>
      <c r="M5925" s="12" t="inlineStr">
        <is>
          <t>18</t>
        </is>
      </c>
      <c r="N5925" s="12" t="n">
        <v>1</v>
      </c>
      <c r="O5925" s="12" t="n">
        <v>1</v>
      </c>
      <c r="P5925" s="12" t="n"/>
      <c r="Q5925" s="12" t="n"/>
      <c r="R5925" s="12" t="n"/>
      <c r="S5925" s="12" t="inlineStr">
        <is>
          <t>Duct bank</t>
        </is>
      </c>
      <c r="T5925" s="15" t="n">
        <v>50</v>
      </c>
      <c r="U5925" s="15" t="n">
        <v>32</v>
      </c>
      <c r="V5925" s="15">
        <f>ROUNDUP((T5925+U5925+2*'Read Me'!$B$13)*(1+'Read Me'!$B$12),-1)</f>
        <v/>
      </c>
      <c r="W5925" s="15">
        <f>V5925*N5925*O5925</f>
        <v/>
      </c>
      <c r="X5925" s="12">
        <f>IF(LEFT(I5925,2)="MV",2*N5925*IF(L5925="1/C",O5925,1),0)</f>
        <v/>
      </c>
      <c r="Y5925" s="12">
        <f>IF(OR(LEFT(K5925,4)="LVAX",LEFT(K5925,6)="MV15AX",LEFT(K5925,4)="CTAX",LEFT(K5925,2)="W|"),2*N5925*O5925,0)</f>
        <v/>
      </c>
      <c r="Z5925" s="12" t="inlineStr"/>
      <c r="AA5925" s="12">
        <f>N5925*O5925</f>
        <v/>
      </c>
    </row>
    <row r="5926">
      <c r="A5926" s="12" t="inlineStr">
        <is>
          <t>K-I-0047</t>
        </is>
      </c>
      <c r="B5926" s="12" t="inlineStr">
        <is>
          <t>K</t>
        </is>
      </c>
      <c r="C5926" s="12" t="inlineStr">
        <is>
          <t>Fuel supply (adjacent market)</t>
        </is>
      </c>
      <c r="D5926" s="12" t="inlineStr">
        <is>
          <t>Discrete device to JB JB-H2 26: H2 compress-DI01: 12 x 1 pr (field cables)</t>
        </is>
      </c>
      <c r="E5926" s="12" t="inlineStr"/>
      <c r="F5926" s="12" t="inlineStr">
        <is>
          <t>H2 26: H2 compressor 1 (40 ft ISO)</t>
        </is>
      </c>
      <c r="G5926" s="12" t="inlineStr">
        <is>
          <t>JB-H2 26: H2 compress-DI01</t>
        </is>
      </c>
      <c r="H5926" s="12" t="inlineStr">
        <is>
          <t>H2 26: H2 compressor 1 (40 ft ISO)</t>
        </is>
      </c>
      <c r="I5926" s="12" t="inlineStr">
        <is>
          <t>Instrumentation</t>
        </is>
      </c>
      <c r="J5926" s="12" t="inlineStr">
        <is>
          <t>Instrumentation ITC / PLTC, IS, #18 shielded pairs, blue jacket</t>
        </is>
      </c>
      <c r="K5926" s="12" t="inlineStr">
        <is>
          <t>ITC|1 pr|16</t>
        </is>
      </c>
      <c r="L5926" s="12" t="inlineStr">
        <is>
          <t>1 pr</t>
        </is>
      </c>
      <c r="M5926" s="12" t="inlineStr">
        <is>
          <t>16</t>
        </is>
      </c>
      <c r="N5926" s="12" t="n">
        <v>12</v>
      </c>
      <c r="O5926" s="12" t="n">
        <v>1</v>
      </c>
      <c r="P5926" s="12" t="n"/>
      <c r="Q5926" s="12" t="n"/>
      <c r="R5926" s="12" t="n"/>
      <c r="S5926" s="12" t="inlineStr">
        <is>
          <t>Tray / conduit</t>
        </is>
      </c>
      <c r="T5926" s="15" t="n">
        <v>53</v>
      </c>
      <c r="U5926" s="15" t="n">
        <v>10</v>
      </c>
      <c r="V5926" s="15">
        <f>ROUNDUP((T5926+U5926+2*'Read Me'!$B$13)*(1+'Read Me'!$B$12),-1)</f>
        <v/>
      </c>
      <c r="W5926" s="15">
        <f>V5926*N5926*O5926</f>
        <v/>
      </c>
      <c r="X5926" s="12">
        <f>IF(LEFT(I5926,2)="MV",2*N5926*IF(L5926="1/C",O5926,1),0)</f>
        <v/>
      </c>
      <c r="Y5926" s="12">
        <f>IF(OR(LEFT(K5926,4)="LVAX",LEFT(K5926,6)="MV15AX",LEFT(K5926,4)="CTAX",LEFT(K5926,2)="W|"),2*N5926*O5926,0)</f>
        <v/>
      </c>
      <c r="Z5926" s="12" t="inlineStr">
        <is>
          <t>device-to-JB field wiring, one cable per device</t>
        </is>
      </c>
      <c r="AA5926" s="12">
        <f>N5926*O5926</f>
        <v/>
      </c>
    </row>
    <row r="5927">
      <c r="A5927" s="12" t="inlineStr">
        <is>
          <t>K-I-0048</t>
        </is>
      </c>
      <c r="B5927" s="12" t="inlineStr">
        <is>
          <t>K</t>
        </is>
      </c>
      <c r="C5927" s="12" t="inlineStr">
        <is>
          <t>Fuel supply (adjacent market)</t>
        </is>
      </c>
      <c r="D5927" s="12" t="inlineStr">
        <is>
          <t>Home run JB-H2 26: H2 compress-DI01 to the control / marshalling room</t>
        </is>
      </c>
      <c r="E5927" s="12" t="inlineStr"/>
      <c r="F5927" s="12" t="inlineStr">
        <is>
          <t>H2 20: 13.8 kV e-house</t>
        </is>
      </c>
      <c r="G5927" s="12" t="inlineStr">
        <is>
          <t>JB-H2 26: H2 compress-DI01</t>
        </is>
      </c>
      <c r="H5927" s="12" t="inlineStr">
        <is>
          <t>H2 26: H2 compressor 1 (40 ft ISO)</t>
        </is>
      </c>
      <c r="I5927" s="12" t="inlineStr">
        <is>
          <t>Instrumentation</t>
        </is>
      </c>
      <c r="J5927" s="12" t="inlineStr">
        <is>
          <t>Instrumentation ITC / PLTC, IS, #18 shielded pairs, blue jacket</t>
        </is>
      </c>
      <c r="K5927" s="12" t="inlineStr">
        <is>
          <t>ITC|24 pr|18</t>
        </is>
      </c>
      <c r="L5927" s="12" t="inlineStr">
        <is>
          <t>24 pr</t>
        </is>
      </c>
      <c r="M5927" s="12" t="inlineStr">
        <is>
          <t>18</t>
        </is>
      </c>
      <c r="N5927" s="12" t="n">
        <v>1</v>
      </c>
      <c r="O5927" s="12" t="n">
        <v>1</v>
      </c>
      <c r="P5927" s="12" t="n"/>
      <c r="Q5927" s="12" t="n"/>
      <c r="R5927" s="12" t="n"/>
      <c r="S5927" s="12" t="inlineStr">
        <is>
          <t>Duct bank</t>
        </is>
      </c>
      <c r="T5927" s="15" t="n">
        <v>50</v>
      </c>
      <c r="U5927" s="15" t="n">
        <v>32</v>
      </c>
      <c r="V5927" s="15">
        <f>ROUNDUP((T5927+U5927+2*'Read Me'!$B$13)*(1+'Read Me'!$B$12),-1)</f>
        <v/>
      </c>
      <c r="W5927" s="15">
        <f>V5927*N5927*O5927</f>
        <v/>
      </c>
      <c r="X5927" s="12">
        <f>IF(LEFT(I5927,2)="MV",2*N5927*IF(L5927="1/C",O5927,1),0)</f>
        <v/>
      </c>
      <c r="Y5927" s="12">
        <f>IF(OR(LEFT(K5927,4)="LVAX",LEFT(K5927,6)="MV15AX",LEFT(K5927,4)="CTAX",LEFT(K5927,2)="W|"),2*N5927*O5927,0)</f>
        <v/>
      </c>
      <c r="Z5927" s="12" t="inlineStr"/>
      <c r="AA5927" s="12">
        <f>N5927*O5927</f>
        <v/>
      </c>
    </row>
    <row r="5928">
      <c r="A5928" s="12" t="inlineStr">
        <is>
          <t>K-I-0049</t>
        </is>
      </c>
      <c r="B5928" s="12" t="inlineStr">
        <is>
          <t>K</t>
        </is>
      </c>
      <c r="C5928" s="12" t="inlineStr">
        <is>
          <t>Fuel supply (adjacent market)</t>
        </is>
      </c>
      <c r="D5928" s="12" t="inlineStr">
        <is>
          <t>Analog instrument to JB JB-H2 26: H2 compress-AI01: 12 x 1 pr (field cables)</t>
        </is>
      </c>
      <c r="E5928" s="12" t="inlineStr"/>
      <c r="F5928" s="12" t="inlineStr">
        <is>
          <t>H2 26: H2 compressor 2 (40 ft ISO)</t>
        </is>
      </c>
      <c r="G5928" s="12" t="inlineStr">
        <is>
          <t>JB-H2 26: H2 compress-AI01</t>
        </is>
      </c>
      <c r="H5928" s="12" t="inlineStr">
        <is>
          <t>H2 26: H2 compressor 2 (40 ft ISO)</t>
        </is>
      </c>
      <c r="I5928" s="12" t="inlineStr">
        <is>
          <t>Instrumentation</t>
        </is>
      </c>
      <c r="J5928" s="12" t="inlineStr">
        <is>
          <t>Instrumentation ITC / PLTC, IS, #18 shielded pairs, blue jacket</t>
        </is>
      </c>
      <c r="K5928" s="12" t="inlineStr">
        <is>
          <t>ITC|1 pr|16</t>
        </is>
      </c>
      <c r="L5928" s="12" t="inlineStr">
        <is>
          <t>1 pr</t>
        </is>
      </c>
      <c r="M5928" s="12" t="inlineStr">
        <is>
          <t>16</t>
        </is>
      </c>
      <c r="N5928" s="12" t="n">
        <v>12</v>
      </c>
      <c r="O5928" s="12" t="n">
        <v>1</v>
      </c>
      <c r="P5928" s="12" t="n"/>
      <c r="Q5928" s="12" t="n"/>
      <c r="R5928" s="12" t="n"/>
      <c r="S5928" s="12" t="inlineStr">
        <is>
          <t>Tray / conduit</t>
        </is>
      </c>
      <c r="T5928" s="15" t="n">
        <v>53</v>
      </c>
      <c r="U5928" s="15" t="n">
        <v>10</v>
      </c>
      <c r="V5928" s="15">
        <f>ROUNDUP((T5928+U5928+2*'Read Me'!$B$13)*(1+'Read Me'!$B$12),-1)</f>
        <v/>
      </c>
      <c r="W5928" s="15">
        <f>V5928*N5928*O5928</f>
        <v/>
      </c>
      <c r="X5928" s="12">
        <f>IF(LEFT(I5928,2)="MV",2*N5928*IF(L5928="1/C",O5928,1),0)</f>
        <v/>
      </c>
      <c r="Y5928" s="12">
        <f>IF(OR(LEFT(K5928,4)="LVAX",LEFT(K5928,6)="MV15AX",LEFT(K5928,4)="CTAX",LEFT(K5928,2)="W|"),2*N5928*O5928,0)</f>
        <v/>
      </c>
      <c r="Z5928" s="12" t="inlineStr">
        <is>
          <t>device-to-JB field wiring, one cable per device</t>
        </is>
      </c>
      <c r="AA5928" s="12">
        <f>N5928*O5928</f>
        <v/>
      </c>
    </row>
    <row r="5929">
      <c r="A5929" s="12" t="inlineStr">
        <is>
          <t>K-I-0050</t>
        </is>
      </c>
      <c r="B5929" s="12" t="inlineStr">
        <is>
          <t>K</t>
        </is>
      </c>
      <c r="C5929" s="12" t="inlineStr">
        <is>
          <t>Fuel supply (adjacent market)</t>
        </is>
      </c>
      <c r="D5929" s="12" t="inlineStr">
        <is>
          <t>Home run JB-H2 26: H2 compress-AI01 to the control / marshalling room</t>
        </is>
      </c>
      <c r="E5929" s="12" t="inlineStr"/>
      <c r="F5929" s="12" t="inlineStr">
        <is>
          <t>H2 20: 13.8 kV e-house</t>
        </is>
      </c>
      <c r="G5929" s="12" t="inlineStr">
        <is>
          <t>JB-H2 26: H2 compress-AI01</t>
        </is>
      </c>
      <c r="H5929" s="12" t="inlineStr">
        <is>
          <t>H2 26: H2 compressor 2 (40 ft ISO)</t>
        </is>
      </c>
      <c r="I5929" s="12" t="inlineStr">
        <is>
          <t>Instrumentation</t>
        </is>
      </c>
      <c r="J5929" s="12" t="inlineStr">
        <is>
          <t>Instrumentation ITC / PLTC, IS, #18 shielded pairs, blue jacket</t>
        </is>
      </c>
      <c r="K5929" s="12" t="inlineStr">
        <is>
          <t>ITC|24 pr|18</t>
        </is>
      </c>
      <c r="L5929" s="12" t="inlineStr">
        <is>
          <t>24 pr</t>
        </is>
      </c>
      <c r="M5929" s="12" t="inlineStr">
        <is>
          <t>18</t>
        </is>
      </c>
      <c r="N5929" s="12" t="n">
        <v>1</v>
      </c>
      <c r="O5929" s="12" t="n">
        <v>1</v>
      </c>
      <c r="P5929" s="12" t="n"/>
      <c r="Q5929" s="12" t="n"/>
      <c r="R5929" s="12" t="n"/>
      <c r="S5929" s="12" t="inlineStr">
        <is>
          <t>Duct bank</t>
        </is>
      </c>
      <c r="T5929" s="15" t="n">
        <v>50</v>
      </c>
      <c r="U5929" s="15" t="n">
        <v>47</v>
      </c>
      <c r="V5929" s="15">
        <f>ROUNDUP((T5929+U5929+2*'Read Me'!$B$13)*(1+'Read Me'!$B$12),-1)</f>
        <v/>
      </c>
      <c r="W5929" s="15">
        <f>V5929*N5929*O5929</f>
        <v/>
      </c>
      <c r="X5929" s="12">
        <f>IF(LEFT(I5929,2)="MV",2*N5929*IF(L5929="1/C",O5929,1),0)</f>
        <v/>
      </c>
      <c r="Y5929" s="12">
        <f>IF(OR(LEFT(K5929,4)="LVAX",LEFT(K5929,6)="MV15AX",LEFT(K5929,4)="CTAX",LEFT(K5929,2)="W|"),2*N5929*O5929,0)</f>
        <v/>
      </c>
      <c r="Z5929" s="12" t="inlineStr"/>
      <c r="AA5929" s="12">
        <f>N5929*O5929</f>
        <v/>
      </c>
    </row>
    <row r="5930">
      <c r="A5930" s="12" t="inlineStr">
        <is>
          <t>K-I-0051</t>
        </is>
      </c>
      <c r="B5930" s="12" t="inlineStr">
        <is>
          <t>K</t>
        </is>
      </c>
      <c r="C5930" s="12" t="inlineStr">
        <is>
          <t>Fuel supply (adjacent market)</t>
        </is>
      </c>
      <c r="D5930" s="12" t="inlineStr">
        <is>
          <t>Discrete device to JB JB-H2 26: H2 compress-DI01: 12 x 1 pr (field cables)</t>
        </is>
      </c>
      <c r="E5930" s="12" t="inlineStr"/>
      <c r="F5930" s="12" t="inlineStr">
        <is>
          <t>H2 26: H2 compressor 2 (40 ft ISO)</t>
        </is>
      </c>
      <c r="G5930" s="12" t="inlineStr">
        <is>
          <t>JB-H2 26: H2 compress-DI01</t>
        </is>
      </c>
      <c r="H5930" s="12" t="inlineStr">
        <is>
          <t>H2 26: H2 compressor 2 (40 ft ISO)</t>
        </is>
      </c>
      <c r="I5930" s="12" t="inlineStr">
        <is>
          <t>Instrumentation</t>
        </is>
      </c>
      <c r="J5930" s="12" t="inlineStr">
        <is>
          <t>Instrumentation ITC / PLTC, IS, #18 shielded pairs, blue jacket</t>
        </is>
      </c>
      <c r="K5930" s="12" t="inlineStr">
        <is>
          <t>ITC|1 pr|16</t>
        </is>
      </c>
      <c r="L5930" s="12" t="inlineStr">
        <is>
          <t>1 pr</t>
        </is>
      </c>
      <c r="M5930" s="12" t="inlineStr">
        <is>
          <t>16</t>
        </is>
      </c>
      <c r="N5930" s="12" t="n">
        <v>12</v>
      </c>
      <c r="O5930" s="12" t="n">
        <v>1</v>
      </c>
      <c r="P5930" s="12" t="n"/>
      <c r="Q5930" s="12" t="n"/>
      <c r="R5930" s="12" t="n"/>
      <c r="S5930" s="12" t="inlineStr">
        <is>
          <t>Tray / conduit</t>
        </is>
      </c>
      <c r="T5930" s="15" t="n">
        <v>53</v>
      </c>
      <c r="U5930" s="15" t="n">
        <v>10</v>
      </c>
      <c r="V5930" s="15">
        <f>ROUNDUP((T5930+U5930+2*'Read Me'!$B$13)*(1+'Read Me'!$B$12),-1)</f>
        <v/>
      </c>
      <c r="W5930" s="15">
        <f>V5930*N5930*O5930</f>
        <v/>
      </c>
      <c r="X5930" s="12">
        <f>IF(LEFT(I5930,2)="MV",2*N5930*IF(L5930="1/C",O5930,1),0)</f>
        <v/>
      </c>
      <c r="Y5930" s="12">
        <f>IF(OR(LEFT(K5930,4)="LVAX",LEFT(K5930,6)="MV15AX",LEFT(K5930,4)="CTAX",LEFT(K5930,2)="W|"),2*N5930*O5930,0)</f>
        <v/>
      </c>
      <c r="Z5930" s="12" t="inlineStr">
        <is>
          <t>device-to-JB field wiring, one cable per device</t>
        </is>
      </c>
      <c r="AA5930" s="12">
        <f>N5930*O5930</f>
        <v/>
      </c>
    </row>
    <row r="5931">
      <c r="A5931" s="12" t="inlineStr">
        <is>
          <t>K-I-0052</t>
        </is>
      </c>
      <c r="B5931" s="12" t="inlineStr">
        <is>
          <t>K</t>
        </is>
      </c>
      <c r="C5931" s="12" t="inlineStr">
        <is>
          <t>Fuel supply (adjacent market)</t>
        </is>
      </c>
      <c r="D5931" s="12" t="inlineStr">
        <is>
          <t>Home run JB-H2 26: H2 compress-DI01 to the control / marshalling room</t>
        </is>
      </c>
      <c r="E5931" s="12" t="inlineStr"/>
      <c r="F5931" s="12" t="inlineStr">
        <is>
          <t>H2 20: 13.8 kV e-house</t>
        </is>
      </c>
      <c r="G5931" s="12" t="inlineStr">
        <is>
          <t>JB-H2 26: H2 compress-DI01</t>
        </is>
      </c>
      <c r="H5931" s="12" t="inlineStr">
        <is>
          <t>H2 26: H2 compressor 2 (40 ft ISO)</t>
        </is>
      </c>
      <c r="I5931" s="12" t="inlineStr">
        <is>
          <t>Instrumentation</t>
        </is>
      </c>
      <c r="J5931" s="12" t="inlineStr">
        <is>
          <t>Instrumentation ITC / PLTC, IS, #18 shielded pairs, blue jacket</t>
        </is>
      </c>
      <c r="K5931" s="12" t="inlineStr">
        <is>
          <t>ITC|24 pr|18</t>
        </is>
      </c>
      <c r="L5931" s="12" t="inlineStr">
        <is>
          <t>24 pr</t>
        </is>
      </c>
      <c r="M5931" s="12" t="inlineStr">
        <is>
          <t>18</t>
        </is>
      </c>
      <c r="N5931" s="12" t="n">
        <v>1</v>
      </c>
      <c r="O5931" s="12" t="n">
        <v>1</v>
      </c>
      <c r="P5931" s="12" t="n"/>
      <c r="Q5931" s="12" t="n"/>
      <c r="R5931" s="12" t="n"/>
      <c r="S5931" s="12" t="inlineStr">
        <is>
          <t>Duct bank</t>
        </is>
      </c>
      <c r="T5931" s="15" t="n">
        <v>50</v>
      </c>
      <c r="U5931" s="15" t="n">
        <v>47</v>
      </c>
      <c r="V5931" s="15">
        <f>ROUNDUP((T5931+U5931+2*'Read Me'!$B$13)*(1+'Read Me'!$B$12),-1)</f>
        <v/>
      </c>
      <c r="W5931" s="15">
        <f>V5931*N5931*O5931</f>
        <v/>
      </c>
      <c r="X5931" s="12">
        <f>IF(LEFT(I5931,2)="MV",2*N5931*IF(L5931="1/C",O5931,1),0)</f>
        <v/>
      </c>
      <c r="Y5931" s="12">
        <f>IF(OR(LEFT(K5931,4)="LVAX",LEFT(K5931,6)="MV15AX",LEFT(K5931,4)="CTAX",LEFT(K5931,2)="W|"),2*N5931*O5931,0)</f>
        <v/>
      </c>
      <c r="Z5931" s="12" t="inlineStr"/>
      <c r="AA5931" s="12">
        <f>N5931*O5931</f>
        <v/>
      </c>
    </row>
    <row r="5932">
      <c r="A5932" s="12" t="inlineStr">
        <is>
          <t>K-I-0053</t>
        </is>
      </c>
      <c r="B5932" s="12" t="inlineStr">
        <is>
          <t>K</t>
        </is>
      </c>
      <c r="C5932" s="12" t="inlineStr">
        <is>
          <t>Fuel supply (adjacent market)</t>
        </is>
      </c>
      <c r="D5932" s="12" t="inlineStr">
        <is>
          <t>Analog instrument to JB JB-H2 27: storage tub-AI01: 12 x 1 pr (field cables)</t>
        </is>
      </c>
      <c r="E5932" s="12" t="inlineStr"/>
      <c r="F5932" s="12" t="inlineStr">
        <is>
          <t>H2 27: storage tube bank (~40 ft tubes)</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ITC|1 pr|16</t>
        </is>
      </c>
      <c r="L5932" s="12" t="inlineStr">
        <is>
          <t>1 pr</t>
        </is>
      </c>
      <c r="M5932" s="12" t="inlineStr">
        <is>
          <t>16</t>
        </is>
      </c>
      <c r="N5932" s="12" t="n">
        <v>12</v>
      </c>
      <c r="O5932" s="12" t="n">
        <v>1</v>
      </c>
      <c r="P5932" s="12" t="n"/>
      <c r="Q5932" s="12" t="n"/>
      <c r="R5932" s="12" t="n"/>
      <c r="S5932" s="12" t="inlineStr">
        <is>
          <t>Tray / conduit</t>
        </is>
      </c>
      <c r="T5932" s="15" t="n">
        <v>54</v>
      </c>
      <c r="U5932" s="15" t="n">
        <v>10</v>
      </c>
      <c r="V5932" s="15">
        <f>ROUNDUP((T5932+U5932+2*'Read Me'!$B$13)*(1+'Read Me'!$B$12),-1)</f>
        <v/>
      </c>
      <c r="W5932" s="15">
        <f>V5932*N5932*O5932</f>
        <v/>
      </c>
      <c r="X5932" s="12">
        <f>IF(LEFT(I5932,2)="MV",2*N5932*IF(L5932="1/C",O5932,1),0)</f>
        <v/>
      </c>
      <c r="Y5932" s="12">
        <f>IF(OR(LEFT(K5932,4)="LVAX",LEFT(K5932,6)="MV15AX",LEFT(K5932,4)="CTAX",LEFT(K5932,2)="W|"),2*N5932*O5932,0)</f>
        <v/>
      </c>
      <c r="Z5932" s="12" t="inlineStr">
        <is>
          <t>device-to-JB field wiring, one cable per device</t>
        </is>
      </c>
      <c r="AA5932" s="12">
        <f>N5932*O5932</f>
        <v/>
      </c>
    </row>
    <row r="5933">
      <c r="A5933" s="12" t="inlineStr">
        <is>
          <t>K-I-0054</t>
        </is>
      </c>
      <c r="B5933" s="12" t="inlineStr">
        <is>
          <t>K</t>
        </is>
      </c>
      <c r="C5933" s="12" t="inlineStr">
        <is>
          <t>Fuel supply (adjacent market)</t>
        </is>
      </c>
      <c r="D5933" s="12" t="inlineStr">
        <is>
          <t>Home run JB-H2 27: storage tub-AI01 to the control / marshalling room</t>
        </is>
      </c>
      <c r="E5933" s="12" t="inlineStr"/>
      <c r="F5933" s="12" t="inlineStr">
        <is>
          <t>H2 20: 13.8 kV e-house</t>
        </is>
      </c>
      <c r="G5933" s="12" t="inlineStr">
        <is>
          <t>JB-H2 27: storage tub-AI01</t>
        </is>
      </c>
      <c r="H5933" s="12" t="inlineStr">
        <is>
          <t>H2 27: storage tube bank (~40 ft tubes)</t>
        </is>
      </c>
      <c r="I5933" s="12" t="inlineStr">
        <is>
          <t>Instrumentation</t>
        </is>
      </c>
      <c r="J5933" s="12" t="inlineStr">
        <is>
          <t>Instrumentation ITC / PLTC, IS, #18 shielded pairs, blue jacket</t>
        </is>
      </c>
      <c r="K5933" s="12" t="inlineStr">
        <is>
          <t>ITC|24 pr|18</t>
        </is>
      </c>
      <c r="L5933" s="12" t="inlineStr">
        <is>
          <t>24 pr</t>
        </is>
      </c>
      <c r="M5933" s="12" t="inlineStr">
        <is>
          <t>18</t>
        </is>
      </c>
      <c r="N5933" s="12" t="n">
        <v>1</v>
      </c>
      <c r="O5933" s="12" t="n">
        <v>1</v>
      </c>
      <c r="P5933" s="12" t="n"/>
      <c r="Q5933" s="12" t="n"/>
      <c r="R5933" s="12" t="n"/>
      <c r="S5933" s="12" t="inlineStr">
        <is>
          <t>Duct bank</t>
        </is>
      </c>
      <c r="T5933" s="15" t="n">
        <v>50</v>
      </c>
      <c r="U5933" s="15" t="n">
        <v>97</v>
      </c>
      <c r="V5933" s="15">
        <f>ROUNDUP((T5933+U5933+2*'Read Me'!$B$13)*(1+'Read Me'!$B$12),-1)</f>
        <v/>
      </c>
      <c r="W5933" s="15">
        <f>V5933*N5933*O5933</f>
        <v/>
      </c>
      <c r="X5933" s="12">
        <f>IF(LEFT(I5933,2)="MV",2*N5933*IF(L5933="1/C",O5933,1),0)</f>
        <v/>
      </c>
      <c r="Y5933" s="12">
        <f>IF(OR(LEFT(K5933,4)="LVAX",LEFT(K5933,6)="MV15AX",LEFT(K5933,4)="CTAX",LEFT(K5933,2)="W|"),2*N5933*O5933,0)</f>
        <v/>
      </c>
      <c r="Z5933" s="12" t="inlineStr"/>
      <c r="AA5933" s="12">
        <f>N5933*O5933</f>
        <v/>
      </c>
    </row>
    <row r="5934">
      <c r="A5934" s="12" t="inlineStr">
        <is>
          <t>K-I-0055</t>
        </is>
      </c>
      <c r="B5934" s="12" t="inlineStr">
        <is>
          <t>K</t>
        </is>
      </c>
      <c r="C5934" s="12" t="inlineStr">
        <is>
          <t>Fuel supply (adjacent market)</t>
        </is>
      </c>
      <c r="D5934" s="12" t="inlineStr">
        <is>
          <t>Discrete device to JB JB-H2 27: storage tub-DI01: 12 x 1 pr (field cables)</t>
        </is>
      </c>
      <c r="E5934" s="12" t="inlineStr"/>
      <c r="F5934" s="12" t="inlineStr">
        <is>
          <t>H2 27: storage tube bank (~40 ft tubes)</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ITC|1 pr|16</t>
        </is>
      </c>
      <c r="L5934" s="12" t="inlineStr">
        <is>
          <t>1 pr</t>
        </is>
      </c>
      <c r="M5934" s="12" t="inlineStr">
        <is>
          <t>16</t>
        </is>
      </c>
      <c r="N5934" s="12" t="n">
        <v>12</v>
      </c>
      <c r="O5934" s="12" t="n">
        <v>1</v>
      </c>
      <c r="P5934" s="12" t="n"/>
      <c r="Q5934" s="12" t="n"/>
      <c r="R5934" s="12" t="n"/>
      <c r="S5934" s="12" t="inlineStr">
        <is>
          <t>Tray / conduit</t>
        </is>
      </c>
      <c r="T5934" s="15" t="n">
        <v>54</v>
      </c>
      <c r="U5934" s="15" t="n">
        <v>10</v>
      </c>
      <c r="V5934" s="15">
        <f>ROUNDUP((T5934+U5934+2*'Read Me'!$B$13)*(1+'Read Me'!$B$12),-1)</f>
        <v/>
      </c>
      <c r="W5934" s="15">
        <f>V5934*N5934*O5934</f>
        <v/>
      </c>
      <c r="X5934" s="12">
        <f>IF(LEFT(I5934,2)="MV",2*N5934*IF(L5934="1/C",O5934,1),0)</f>
        <v/>
      </c>
      <c r="Y5934" s="12">
        <f>IF(OR(LEFT(K5934,4)="LVAX",LEFT(K5934,6)="MV15AX",LEFT(K5934,4)="CTAX",LEFT(K5934,2)="W|"),2*N5934*O5934,0)</f>
        <v/>
      </c>
      <c r="Z5934" s="12" t="inlineStr">
        <is>
          <t>device-to-JB field wiring, one cable per device</t>
        </is>
      </c>
      <c r="AA5934" s="12">
        <f>N5934*O5934</f>
        <v/>
      </c>
    </row>
    <row r="5935">
      <c r="A5935" s="12" t="inlineStr">
        <is>
          <t>K-I-0056</t>
        </is>
      </c>
      <c r="B5935" s="12" t="inlineStr">
        <is>
          <t>K</t>
        </is>
      </c>
      <c r="C5935" s="12" t="inlineStr">
        <is>
          <t>Fuel supply (adjacent market)</t>
        </is>
      </c>
      <c r="D5935" s="12" t="inlineStr">
        <is>
          <t>Home run JB-H2 27: storage tub-DI01 to the control / marshalling room</t>
        </is>
      </c>
      <c r="E5935" s="12" t="inlineStr"/>
      <c r="F5935" s="12" t="inlineStr">
        <is>
          <t>H2 20: 13.8 kV e-house</t>
        </is>
      </c>
      <c r="G5935" s="12" t="inlineStr">
        <is>
          <t>JB-H2 27: storage tub-DI01</t>
        </is>
      </c>
      <c r="H5935" s="12" t="inlineStr">
        <is>
          <t>H2 27: storage tube bank (~40 ft tubes)</t>
        </is>
      </c>
      <c r="I5935" s="12" t="inlineStr">
        <is>
          <t>Instrumentation</t>
        </is>
      </c>
      <c r="J5935" s="12" t="inlineStr">
        <is>
          <t>Instrumentation ITC / PLTC, IS, #18 shielded pairs, blue jacket</t>
        </is>
      </c>
      <c r="K5935" s="12" t="inlineStr">
        <is>
          <t>ITC|24 pr|18</t>
        </is>
      </c>
      <c r="L5935" s="12" t="inlineStr">
        <is>
          <t>24 pr</t>
        </is>
      </c>
      <c r="M5935" s="12" t="inlineStr">
        <is>
          <t>18</t>
        </is>
      </c>
      <c r="N5935" s="12" t="n">
        <v>1</v>
      </c>
      <c r="O5935" s="12" t="n">
        <v>1</v>
      </c>
      <c r="P5935" s="12" t="n"/>
      <c r="Q5935" s="12" t="n"/>
      <c r="R5935" s="12" t="n"/>
      <c r="S5935" s="12" t="inlineStr">
        <is>
          <t>Duct bank</t>
        </is>
      </c>
      <c r="T5935" s="15" t="n">
        <v>50</v>
      </c>
      <c r="U5935" s="15" t="n">
        <v>97</v>
      </c>
      <c r="V5935" s="15">
        <f>ROUNDUP((T5935+U5935+2*'Read Me'!$B$13)*(1+'Read Me'!$B$12),-1)</f>
        <v/>
      </c>
      <c r="W5935" s="15">
        <f>V5935*N5935*O5935</f>
        <v/>
      </c>
      <c r="X5935" s="12">
        <f>IF(LEFT(I5935,2)="MV",2*N5935*IF(L5935="1/C",O5935,1),0)</f>
        <v/>
      </c>
      <c r="Y5935" s="12">
        <f>IF(OR(LEFT(K5935,4)="LVAX",LEFT(K5935,6)="MV15AX",LEFT(K5935,4)="CTAX",LEFT(K5935,2)="W|"),2*N5935*O5935,0)</f>
        <v/>
      </c>
      <c r="Z5935" s="12" t="inlineStr"/>
      <c r="AA5935" s="12">
        <f>N5935*O5935</f>
        <v/>
      </c>
    </row>
    <row r="5936">
      <c r="A5936" s="12" t="inlineStr">
        <is>
          <t>K-I-0057</t>
        </is>
      </c>
      <c r="B5936" s="12" t="inlineStr">
        <is>
          <t>K</t>
        </is>
      </c>
      <c r="C5936" s="12" t="inlineStr">
        <is>
          <t>Fuel supply (adjacent market)</t>
        </is>
      </c>
      <c r="D5936" s="12" t="inlineStr">
        <is>
          <t>Analog instrument to JB JB-H2 27: storage tub-AI01: 12 x 1 pr (field cables)</t>
        </is>
      </c>
      <c r="E5936" s="12" t="inlineStr"/>
      <c r="F5936" s="12" t="inlineStr">
        <is>
          <t>H2 27: storage tube bank (~40 ft tubes)</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ITC|1 pr|16</t>
        </is>
      </c>
      <c r="L5936" s="12" t="inlineStr">
        <is>
          <t>1 pr</t>
        </is>
      </c>
      <c r="M5936" s="12" t="inlineStr">
        <is>
          <t>16</t>
        </is>
      </c>
      <c r="N5936" s="12" t="n">
        <v>12</v>
      </c>
      <c r="O5936" s="12" t="n">
        <v>1</v>
      </c>
      <c r="P5936" s="12" t="n"/>
      <c r="Q5936" s="12" t="n"/>
      <c r="R5936" s="12" t="n"/>
      <c r="S5936" s="12" t="inlineStr">
        <is>
          <t>Tray / conduit</t>
        </is>
      </c>
      <c r="T5936" s="15" t="n">
        <v>54</v>
      </c>
      <c r="U5936" s="15" t="n">
        <v>10</v>
      </c>
      <c r="V5936" s="15">
        <f>ROUNDUP((T5936+U5936+2*'Read Me'!$B$13)*(1+'Read Me'!$B$12),-1)</f>
        <v/>
      </c>
      <c r="W5936" s="15">
        <f>V5936*N5936*O5936</f>
        <v/>
      </c>
      <c r="X5936" s="12">
        <f>IF(LEFT(I5936,2)="MV",2*N5936*IF(L5936="1/C",O5936,1),0)</f>
        <v/>
      </c>
      <c r="Y5936" s="12">
        <f>IF(OR(LEFT(K5936,4)="LVAX",LEFT(K5936,6)="MV15AX",LEFT(K5936,4)="CTAX",LEFT(K5936,2)="W|"),2*N5936*O5936,0)</f>
        <v/>
      </c>
      <c r="Z5936" s="12" t="inlineStr">
        <is>
          <t>device-to-JB field wiring, one cable per device</t>
        </is>
      </c>
      <c r="AA5936" s="12">
        <f>N5936*O5936</f>
        <v/>
      </c>
    </row>
    <row r="5937">
      <c r="A5937" s="12" t="inlineStr">
        <is>
          <t>K-I-0058</t>
        </is>
      </c>
      <c r="B5937" s="12" t="inlineStr">
        <is>
          <t>K</t>
        </is>
      </c>
      <c r="C5937" s="12" t="inlineStr">
        <is>
          <t>Fuel supply (adjacent market)</t>
        </is>
      </c>
      <c r="D5937" s="12" t="inlineStr">
        <is>
          <t>Home run JB-H2 27: storage tub-AI01 to the control / marshalling room</t>
        </is>
      </c>
      <c r="E5937" s="12" t="inlineStr"/>
      <c r="F5937" s="12" t="inlineStr">
        <is>
          <t>H2 20: 13.8 kV e-house</t>
        </is>
      </c>
      <c r="G5937" s="12" t="inlineStr">
        <is>
          <t>JB-H2 27: storage tub-AI01</t>
        </is>
      </c>
      <c r="H5937" s="12" t="inlineStr">
        <is>
          <t>H2 27: storage tube bank (~40 ft tubes)</t>
        </is>
      </c>
      <c r="I5937" s="12" t="inlineStr">
        <is>
          <t>Instrumentation</t>
        </is>
      </c>
      <c r="J5937" s="12" t="inlineStr">
        <is>
          <t>Instrumentation ITC / PLTC, IS, #18 shielded pairs, blue jacket</t>
        </is>
      </c>
      <c r="K5937" s="12" t="inlineStr">
        <is>
          <t>ITC|24 pr|18</t>
        </is>
      </c>
      <c r="L5937" s="12" t="inlineStr">
        <is>
          <t>24 pr</t>
        </is>
      </c>
      <c r="M5937" s="12" t="inlineStr">
        <is>
          <t>18</t>
        </is>
      </c>
      <c r="N5937" s="12" t="n">
        <v>1</v>
      </c>
      <c r="O5937" s="12" t="n">
        <v>1</v>
      </c>
      <c r="P5937" s="12" t="n"/>
      <c r="Q5937" s="12" t="n"/>
      <c r="R5937" s="12" t="n"/>
      <c r="S5937" s="12" t="inlineStr">
        <is>
          <t>Duct bank</t>
        </is>
      </c>
      <c r="T5937" s="15" t="n">
        <v>50</v>
      </c>
      <c r="U5937" s="15" t="n">
        <v>117</v>
      </c>
      <c r="V5937" s="15">
        <f>ROUNDUP((T5937+U5937+2*'Read Me'!$B$13)*(1+'Read Me'!$B$12),-1)</f>
        <v/>
      </c>
      <c r="W5937" s="15">
        <f>V5937*N5937*O5937</f>
        <v/>
      </c>
      <c r="X5937" s="12">
        <f>IF(LEFT(I5937,2)="MV",2*N5937*IF(L5937="1/C",O5937,1),0)</f>
        <v/>
      </c>
      <c r="Y5937" s="12">
        <f>IF(OR(LEFT(K5937,4)="LVAX",LEFT(K5937,6)="MV15AX",LEFT(K5937,4)="CTAX",LEFT(K5937,2)="W|"),2*N5937*O5937,0)</f>
        <v/>
      </c>
      <c r="Z5937" s="12" t="inlineStr"/>
      <c r="AA5937" s="12">
        <f>N5937*O5937</f>
        <v/>
      </c>
    </row>
    <row r="5938">
      <c r="A5938" s="12" t="inlineStr">
        <is>
          <t>K-I-0059</t>
        </is>
      </c>
      <c r="B5938" s="12" t="inlineStr">
        <is>
          <t>K</t>
        </is>
      </c>
      <c r="C5938" s="12" t="inlineStr">
        <is>
          <t>Fuel supply (adjacent market)</t>
        </is>
      </c>
      <c r="D5938" s="12" t="inlineStr">
        <is>
          <t>Discrete device to JB JB-H2 27: storage tub-DI01: 12 x 1 pr (field cables)</t>
        </is>
      </c>
      <c r="E5938" s="12" t="inlineStr"/>
      <c r="F5938" s="12" t="inlineStr">
        <is>
          <t>H2 27: storage tube bank (~40 ft tubes)</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ITC|1 pr|16</t>
        </is>
      </c>
      <c r="L5938" s="12" t="inlineStr">
        <is>
          <t>1 pr</t>
        </is>
      </c>
      <c r="M5938" s="12" t="inlineStr">
        <is>
          <t>16</t>
        </is>
      </c>
      <c r="N5938" s="12" t="n">
        <v>12</v>
      </c>
      <c r="O5938" s="12" t="n">
        <v>1</v>
      </c>
      <c r="P5938" s="12" t="n"/>
      <c r="Q5938" s="12" t="n"/>
      <c r="R5938" s="12" t="n"/>
      <c r="S5938" s="12" t="inlineStr">
        <is>
          <t>Tray / conduit</t>
        </is>
      </c>
      <c r="T5938" s="15" t="n">
        <v>54</v>
      </c>
      <c r="U5938" s="15" t="n">
        <v>10</v>
      </c>
      <c r="V5938" s="15">
        <f>ROUNDUP((T5938+U5938+2*'Read Me'!$B$13)*(1+'Read Me'!$B$12),-1)</f>
        <v/>
      </c>
      <c r="W5938" s="15">
        <f>V5938*N5938*O5938</f>
        <v/>
      </c>
      <c r="X5938" s="12">
        <f>IF(LEFT(I5938,2)="MV",2*N5938*IF(L5938="1/C",O5938,1),0)</f>
        <v/>
      </c>
      <c r="Y5938" s="12">
        <f>IF(OR(LEFT(K5938,4)="LVAX",LEFT(K5938,6)="MV15AX",LEFT(K5938,4)="CTAX",LEFT(K5938,2)="W|"),2*N5938*O5938,0)</f>
        <v/>
      </c>
      <c r="Z5938" s="12" t="inlineStr">
        <is>
          <t>device-to-JB field wiring, one cable per device</t>
        </is>
      </c>
      <c r="AA5938" s="12">
        <f>N5938*O5938</f>
        <v/>
      </c>
    </row>
    <row r="5939">
      <c r="A5939" s="12" t="inlineStr">
        <is>
          <t>K-I-0060</t>
        </is>
      </c>
      <c r="B5939" s="12" t="inlineStr">
        <is>
          <t>K</t>
        </is>
      </c>
      <c r="C5939" s="12" t="inlineStr">
        <is>
          <t>Fuel supply (adjacent market)</t>
        </is>
      </c>
      <c r="D5939" s="12" t="inlineStr">
        <is>
          <t>Home run JB-H2 27: storage tub-DI01 to the control / marshalling room</t>
        </is>
      </c>
      <c r="E5939" s="12" t="inlineStr"/>
      <c r="F5939" s="12" t="inlineStr">
        <is>
          <t>H2 20: 13.8 kV e-house</t>
        </is>
      </c>
      <c r="G5939" s="12" t="inlineStr">
        <is>
          <t>JB-H2 27: storage tub-DI01</t>
        </is>
      </c>
      <c r="H5939" s="12" t="inlineStr">
        <is>
          <t>H2 27: storage tube bank (~40 ft tubes)</t>
        </is>
      </c>
      <c r="I5939" s="12" t="inlineStr">
        <is>
          <t>Instrumentation</t>
        </is>
      </c>
      <c r="J5939" s="12" t="inlineStr">
        <is>
          <t>Instrumentation ITC / PLTC, IS, #18 shielded pairs, blue jacket</t>
        </is>
      </c>
      <c r="K5939" s="12" t="inlineStr">
        <is>
          <t>ITC|24 pr|18</t>
        </is>
      </c>
      <c r="L5939" s="12" t="inlineStr">
        <is>
          <t>24 pr</t>
        </is>
      </c>
      <c r="M5939" s="12" t="inlineStr">
        <is>
          <t>18</t>
        </is>
      </c>
      <c r="N5939" s="12" t="n">
        <v>1</v>
      </c>
      <c r="O5939" s="12" t="n">
        <v>1</v>
      </c>
      <c r="P5939" s="12" t="n"/>
      <c r="Q5939" s="12" t="n"/>
      <c r="R5939" s="12" t="n"/>
      <c r="S5939" s="12" t="inlineStr">
        <is>
          <t>Duct bank</t>
        </is>
      </c>
      <c r="T5939" s="15" t="n">
        <v>50</v>
      </c>
      <c r="U5939" s="15" t="n">
        <v>117</v>
      </c>
      <c r="V5939" s="15">
        <f>ROUNDUP((T5939+U5939+2*'Read Me'!$B$13)*(1+'Read Me'!$B$12),-1)</f>
        <v/>
      </c>
      <c r="W5939" s="15">
        <f>V5939*N5939*O5939</f>
        <v/>
      </c>
      <c r="X5939" s="12">
        <f>IF(LEFT(I5939,2)="MV",2*N5939*IF(L5939="1/C",O5939,1),0)</f>
        <v/>
      </c>
      <c r="Y5939" s="12">
        <f>IF(OR(LEFT(K5939,4)="LVAX",LEFT(K5939,6)="MV15AX",LEFT(K5939,4)="CTAX",LEFT(K5939,2)="W|"),2*N5939*O5939,0)</f>
        <v/>
      </c>
      <c r="Z5939" s="12" t="inlineStr"/>
      <c r="AA5939" s="12">
        <f>N5939*O5939</f>
        <v/>
      </c>
    </row>
    <row r="5940">
      <c r="A5940" s="12" t="inlineStr">
        <is>
          <t>K-I-0061</t>
        </is>
      </c>
      <c r="B5940" s="12" t="inlineStr">
        <is>
          <t>K</t>
        </is>
      </c>
      <c r="C5940" s="12" t="inlineStr">
        <is>
          <t>Fuel supply (adjacent market)</t>
        </is>
      </c>
      <c r="D5940" s="12" t="inlineStr">
        <is>
          <t>Analog instrument to JB JB-H2 27: storage tub-AI01: 12 x 1 pr (field cables)</t>
        </is>
      </c>
      <c r="E5940" s="12" t="inlineStr"/>
      <c r="F5940" s="12" t="inlineStr">
        <is>
          <t>H2 27: storage tube bank (~40 ft tubes)</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ITC|1 pr|16</t>
        </is>
      </c>
      <c r="L5940" s="12" t="inlineStr">
        <is>
          <t>1 pr</t>
        </is>
      </c>
      <c r="M5940" s="12" t="inlineStr">
        <is>
          <t>16</t>
        </is>
      </c>
      <c r="N5940" s="12" t="n">
        <v>12</v>
      </c>
      <c r="O5940" s="12" t="n">
        <v>1</v>
      </c>
      <c r="P5940" s="12" t="n"/>
      <c r="Q5940" s="12" t="n"/>
      <c r="R5940" s="12" t="n"/>
      <c r="S5940" s="12" t="inlineStr">
        <is>
          <t>Tray / conduit</t>
        </is>
      </c>
      <c r="T5940" s="15" t="n">
        <v>54</v>
      </c>
      <c r="U5940" s="15" t="n">
        <v>10</v>
      </c>
      <c r="V5940" s="15">
        <f>ROUNDUP((T5940+U5940+2*'Read Me'!$B$13)*(1+'Read Me'!$B$12),-1)</f>
        <v/>
      </c>
      <c r="W5940" s="15">
        <f>V5940*N5940*O5940</f>
        <v/>
      </c>
      <c r="X5940" s="12">
        <f>IF(LEFT(I5940,2)="MV",2*N5940*IF(L5940="1/C",O5940,1),0)</f>
        <v/>
      </c>
      <c r="Y5940" s="12">
        <f>IF(OR(LEFT(K5940,4)="LVAX",LEFT(K5940,6)="MV15AX",LEFT(K5940,4)="CTAX",LEFT(K5940,2)="W|"),2*N5940*O5940,0)</f>
        <v/>
      </c>
      <c r="Z5940" s="12" t="inlineStr">
        <is>
          <t>device-to-JB field wiring, one cable per device</t>
        </is>
      </c>
      <c r="AA5940" s="12">
        <f>N5940*O5940</f>
        <v/>
      </c>
    </row>
    <row r="5941">
      <c r="A5941" s="12" t="inlineStr">
        <is>
          <t>K-I-0062</t>
        </is>
      </c>
      <c r="B5941" s="12" t="inlineStr">
        <is>
          <t>K</t>
        </is>
      </c>
      <c r="C5941" s="12" t="inlineStr">
        <is>
          <t>Fuel supply (adjacent market)</t>
        </is>
      </c>
      <c r="D5941" s="12" t="inlineStr">
        <is>
          <t>Home run JB-H2 27: storage tub-AI01 to the control / marshalling room</t>
        </is>
      </c>
      <c r="E5941" s="12" t="inlineStr"/>
      <c r="F5941" s="12" t="inlineStr">
        <is>
          <t>H2 20: 13.8 kV e-house</t>
        </is>
      </c>
      <c r="G5941" s="12" t="inlineStr">
        <is>
          <t>JB-H2 27: storage tub-AI01</t>
        </is>
      </c>
      <c r="H5941" s="12" t="inlineStr">
        <is>
          <t>H2 27: storage tube bank (~40 ft tubes)</t>
        </is>
      </c>
      <c r="I5941" s="12" t="inlineStr">
        <is>
          <t>Instrumentation</t>
        </is>
      </c>
      <c r="J5941" s="12" t="inlineStr">
        <is>
          <t>Instrumentation ITC / PLTC, IS, #18 shielded pairs, blue jacket</t>
        </is>
      </c>
      <c r="K5941" s="12" t="inlineStr">
        <is>
          <t>ITC|24 pr|18</t>
        </is>
      </c>
      <c r="L5941" s="12" t="inlineStr">
        <is>
          <t>24 pr</t>
        </is>
      </c>
      <c r="M5941" s="12" t="inlineStr">
        <is>
          <t>18</t>
        </is>
      </c>
      <c r="N5941" s="12" t="n">
        <v>1</v>
      </c>
      <c r="O5941" s="12" t="n">
        <v>1</v>
      </c>
      <c r="P5941" s="12" t="n"/>
      <c r="Q5941" s="12" t="n"/>
      <c r="R5941" s="12" t="n"/>
      <c r="S5941" s="12" t="inlineStr">
        <is>
          <t>Duct bank</t>
        </is>
      </c>
      <c r="T5941" s="15" t="n">
        <v>50</v>
      </c>
      <c r="U5941" s="15" t="n">
        <v>97</v>
      </c>
      <c r="V5941" s="15">
        <f>ROUNDUP((T5941+U5941+2*'Read Me'!$B$13)*(1+'Read Me'!$B$12),-1)</f>
        <v/>
      </c>
      <c r="W5941" s="15">
        <f>V5941*N5941*O5941</f>
        <v/>
      </c>
      <c r="X5941" s="12">
        <f>IF(LEFT(I5941,2)="MV",2*N5941*IF(L5941="1/C",O5941,1),0)</f>
        <v/>
      </c>
      <c r="Y5941" s="12">
        <f>IF(OR(LEFT(K5941,4)="LVAX",LEFT(K5941,6)="MV15AX",LEFT(K5941,4)="CTAX",LEFT(K5941,2)="W|"),2*N5941*O5941,0)</f>
        <v/>
      </c>
      <c r="Z5941" s="12" t="inlineStr"/>
      <c r="AA5941" s="12">
        <f>N5941*O5941</f>
        <v/>
      </c>
    </row>
    <row r="5942">
      <c r="A5942" s="12" t="inlineStr">
        <is>
          <t>K-I-0063</t>
        </is>
      </c>
      <c r="B5942" s="12" t="inlineStr">
        <is>
          <t>K</t>
        </is>
      </c>
      <c r="C5942" s="12" t="inlineStr">
        <is>
          <t>Fuel supply (adjacent market)</t>
        </is>
      </c>
      <c r="D5942" s="12" t="inlineStr">
        <is>
          <t>Discrete device to JB JB-H2 27: storage tub-DI01: 12 x 1 pr (field cables)</t>
        </is>
      </c>
      <c r="E5942" s="12" t="inlineStr"/>
      <c r="F5942" s="12" t="inlineStr">
        <is>
          <t>H2 27: storage tube bank (~40 ft tubes)</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ITC|1 pr|16</t>
        </is>
      </c>
      <c r="L5942" s="12" t="inlineStr">
        <is>
          <t>1 pr</t>
        </is>
      </c>
      <c r="M5942" s="12" t="inlineStr">
        <is>
          <t>16</t>
        </is>
      </c>
      <c r="N5942" s="12" t="n">
        <v>12</v>
      </c>
      <c r="O5942" s="12" t="n">
        <v>1</v>
      </c>
      <c r="P5942" s="12" t="n"/>
      <c r="Q5942" s="12" t="n"/>
      <c r="R5942" s="12" t="n"/>
      <c r="S5942" s="12" t="inlineStr">
        <is>
          <t>Tray / conduit</t>
        </is>
      </c>
      <c r="T5942" s="15" t="n">
        <v>54</v>
      </c>
      <c r="U5942" s="15" t="n">
        <v>10</v>
      </c>
      <c r="V5942" s="15">
        <f>ROUNDUP((T5942+U5942+2*'Read Me'!$B$13)*(1+'Read Me'!$B$12),-1)</f>
        <v/>
      </c>
      <c r="W5942" s="15">
        <f>V5942*N5942*O5942</f>
        <v/>
      </c>
      <c r="X5942" s="12">
        <f>IF(LEFT(I5942,2)="MV",2*N5942*IF(L5942="1/C",O5942,1),0)</f>
        <v/>
      </c>
      <c r="Y5942" s="12">
        <f>IF(OR(LEFT(K5942,4)="LVAX",LEFT(K5942,6)="MV15AX",LEFT(K5942,4)="CTAX",LEFT(K5942,2)="W|"),2*N5942*O5942,0)</f>
        <v/>
      </c>
      <c r="Z5942" s="12" t="inlineStr">
        <is>
          <t>device-to-JB field wiring, one cable per device</t>
        </is>
      </c>
      <c r="AA5942" s="12">
        <f>N5942*O5942</f>
        <v/>
      </c>
    </row>
    <row r="5943">
      <c r="A5943" s="12" t="inlineStr">
        <is>
          <t>K-I-0064</t>
        </is>
      </c>
      <c r="B5943" s="12" t="inlineStr">
        <is>
          <t>K</t>
        </is>
      </c>
      <c r="C5943" s="12" t="inlineStr">
        <is>
          <t>Fuel supply (adjacent market)</t>
        </is>
      </c>
      <c r="D5943" s="12" t="inlineStr">
        <is>
          <t>Home run JB-H2 27: storage tub-DI01 to the control / marshalling room</t>
        </is>
      </c>
      <c r="E5943" s="12" t="inlineStr"/>
      <c r="F5943" s="12" t="inlineStr">
        <is>
          <t>H2 20: 13.8 kV e-house</t>
        </is>
      </c>
      <c r="G5943" s="12" t="inlineStr">
        <is>
          <t>JB-H2 27: storage tub-DI01</t>
        </is>
      </c>
      <c r="H5943" s="12" t="inlineStr">
        <is>
          <t>H2 27: storage tube bank (~40 ft tubes)</t>
        </is>
      </c>
      <c r="I5943" s="12" t="inlineStr">
        <is>
          <t>Instrumentation</t>
        </is>
      </c>
      <c r="J5943" s="12" t="inlineStr">
        <is>
          <t>Instrumentation ITC / PLTC, IS, #18 shielded pairs, blue jacket</t>
        </is>
      </c>
      <c r="K5943" s="12" t="inlineStr">
        <is>
          <t>ITC|24 pr|18</t>
        </is>
      </c>
      <c r="L5943" s="12" t="inlineStr">
        <is>
          <t>24 pr</t>
        </is>
      </c>
      <c r="M5943" s="12" t="inlineStr">
        <is>
          <t>18</t>
        </is>
      </c>
      <c r="N5943" s="12" t="n">
        <v>1</v>
      </c>
      <c r="O5943" s="12" t="n">
        <v>1</v>
      </c>
      <c r="P5943" s="12" t="n"/>
      <c r="Q5943" s="12" t="n"/>
      <c r="R5943" s="12" t="n"/>
      <c r="S5943" s="12" t="inlineStr">
        <is>
          <t>Duct bank</t>
        </is>
      </c>
      <c r="T5943" s="15" t="n">
        <v>50</v>
      </c>
      <c r="U5943" s="15" t="n">
        <v>97</v>
      </c>
      <c r="V5943" s="15">
        <f>ROUNDUP((T5943+U5943+2*'Read Me'!$B$13)*(1+'Read Me'!$B$12),-1)</f>
        <v/>
      </c>
      <c r="W5943" s="15">
        <f>V5943*N5943*O5943</f>
        <v/>
      </c>
      <c r="X5943" s="12">
        <f>IF(LEFT(I5943,2)="MV",2*N5943*IF(L5943="1/C",O5943,1),0)</f>
        <v/>
      </c>
      <c r="Y5943" s="12">
        <f>IF(OR(LEFT(K5943,4)="LVAX",LEFT(K5943,6)="MV15AX",LEFT(K5943,4)="CTAX",LEFT(K5943,2)="W|"),2*N5943*O5943,0)</f>
        <v/>
      </c>
      <c r="Z5943" s="12" t="inlineStr"/>
      <c r="AA5943" s="12">
        <f>N5943*O5943</f>
        <v/>
      </c>
    </row>
    <row r="5944">
      <c r="A5944" s="12" t="inlineStr">
        <is>
          <t>K-I-0065</t>
        </is>
      </c>
      <c r="B5944" s="12" t="inlineStr">
        <is>
          <t>K</t>
        </is>
      </c>
      <c r="C5944" s="12" t="inlineStr">
        <is>
          <t>Fuel supply (adjacent market)</t>
        </is>
      </c>
      <c r="D5944" s="12" t="inlineStr">
        <is>
          <t>Analog instrument to JB JB-H2 27: storage tub-AI01: 12 x 1 pr (field cables)</t>
        </is>
      </c>
      <c r="E5944" s="12" t="inlineStr"/>
      <c r="F5944" s="12" t="inlineStr">
        <is>
          <t>H2 27: storage tube bank (~40 ft tubes)</t>
        </is>
      </c>
      <c r="G5944" s="12" t="inlineStr">
        <is>
          <t>JB-H2 27: storage tub-AI01</t>
        </is>
      </c>
      <c r="H5944" s="12" t="inlineStr">
        <is>
          <t>H2 27: storage tube bank (~40 ft tubes)</t>
        </is>
      </c>
      <c r="I5944" s="12" t="inlineStr">
        <is>
          <t>Instrumentation</t>
        </is>
      </c>
      <c r="J5944" s="12" t="inlineStr">
        <is>
          <t>Instrumentation ITC / PLTC, IS, #18 shielded pairs, blue jacket</t>
        </is>
      </c>
      <c r="K5944" s="12" t="inlineStr">
        <is>
          <t>ITC|1 pr|16</t>
        </is>
      </c>
      <c r="L5944" s="12" t="inlineStr">
        <is>
          <t>1 pr</t>
        </is>
      </c>
      <c r="M5944" s="12" t="inlineStr">
        <is>
          <t>16</t>
        </is>
      </c>
      <c r="N5944" s="12" t="n">
        <v>12</v>
      </c>
      <c r="O5944" s="12" t="n">
        <v>1</v>
      </c>
      <c r="P5944" s="12" t="n"/>
      <c r="Q5944" s="12" t="n"/>
      <c r="R5944" s="12" t="n"/>
      <c r="S5944" s="12" t="inlineStr">
        <is>
          <t>Tray / conduit</t>
        </is>
      </c>
      <c r="T5944" s="15" t="n">
        <v>54</v>
      </c>
      <c r="U5944" s="15" t="n">
        <v>10</v>
      </c>
      <c r="V5944" s="15">
        <f>ROUNDUP((T5944+U5944+2*'Read Me'!$B$13)*(1+'Read Me'!$B$12),-1)</f>
        <v/>
      </c>
      <c r="W5944" s="15">
        <f>V5944*N5944*O5944</f>
        <v/>
      </c>
      <c r="X5944" s="12">
        <f>IF(LEFT(I5944,2)="MV",2*N5944*IF(L5944="1/C",O5944,1),0)</f>
        <v/>
      </c>
      <c r="Y5944" s="12">
        <f>IF(OR(LEFT(K5944,4)="LVAX",LEFT(K5944,6)="MV15AX",LEFT(K5944,4)="CTAX",LEFT(K5944,2)="W|"),2*N5944*O5944,0)</f>
        <v/>
      </c>
      <c r="Z5944" s="12" t="inlineStr">
        <is>
          <t>device-to-JB field wiring, one cable per device</t>
        </is>
      </c>
      <c r="AA5944" s="12">
        <f>N5944*O5944</f>
        <v/>
      </c>
    </row>
    <row r="5945">
      <c r="A5945" s="12" t="inlineStr">
        <is>
          <t>K-I-0066</t>
        </is>
      </c>
      <c r="B5945" s="12" t="inlineStr">
        <is>
          <t>K</t>
        </is>
      </c>
      <c r="C5945" s="12" t="inlineStr">
        <is>
          <t>Fuel supply (adjacent market)</t>
        </is>
      </c>
      <c r="D5945" s="12" t="inlineStr">
        <is>
          <t>Home run JB-H2 27: storage tub-AI01 to the control / marshalling room</t>
        </is>
      </c>
      <c r="E5945" s="12" t="inlineStr"/>
      <c r="F5945" s="12" t="inlineStr">
        <is>
          <t>H2 20: 13.8 kV e-house</t>
        </is>
      </c>
      <c r="G5945" s="12" t="inlineStr">
        <is>
          <t>JB-H2 27: storage tub-AI01</t>
        </is>
      </c>
      <c r="H5945" s="12" t="inlineStr">
        <is>
          <t>H2 27: storage tube bank (~40 ft tubes)</t>
        </is>
      </c>
      <c r="I5945" s="12" t="inlineStr">
        <is>
          <t>Instrumentation</t>
        </is>
      </c>
      <c r="J5945" s="12" t="inlineStr">
        <is>
          <t>Instrumentation ITC / PLTC, IS, #18 shielded pairs, blue jacket</t>
        </is>
      </c>
      <c r="K5945" s="12" t="inlineStr">
        <is>
          <t>ITC|24 pr|18</t>
        </is>
      </c>
      <c r="L5945" s="12" t="inlineStr">
        <is>
          <t>24 pr</t>
        </is>
      </c>
      <c r="M5945" s="12" t="inlineStr">
        <is>
          <t>18</t>
        </is>
      </c>
      <c r="N5945" s="12" t="n">
        <v>1</v>
      </c>
      <c r="O5945" s="12" t="n">
        <v>1</v>
      </c>
      <c r="P5945" s="12" t="n"/>
      <c r="Q5945" s="12" t="n"/>
      <c r="R5945" s="12" t="n"/>
      <c r="S5945" s="12" t="inlineStr">
        <is>
          <t>Duct bank</t>
        </is>
      </c>
      <c r="T5945" s="15" t="n">
        <v>50</v>
      </c>
      <c r="U5945" s="15" t="n">
        <v>117</v>
      </c>
      <c r="V5945" s="15">
        <f>ROUNDUP((T5945+U5945+2*'Read Me'!$B$13)*(1+'Read Me'!$B$12),-1)</f>
        <v/>
      </c>
      <c r="W5945" s="15">
        <f>V5945*N5945*O5945</f>
        <v/>
      </c>
      <c r="X5945" s="12">
        <f>IF(LEFT(I5945,2)="MV",2*N5945*IF(L5945="1/C",O5945,1),0)</f>
        <v/>
      </c>
      <c r="Y5945" s="12">
        <f>IF(OR(LEFT(K5945,4)="LVAX",LEFT(K5945,6)="MV15AX",LEFT(K5945,4)="CTAX",LEFT(K5945,2)="W|"),2*N5945*O5945,0)</f>
        <v/>
      </c>
      <c r="Z5945" s="12" t="inlineStr"/>
      <c r="AA5945" s="12">
        <f>N5945*O5945</f>
        <v/>
      </c>
    </row>
    <row r="5946">
      <c r="A5946" s="12" t="inlineStr">
        <is>
          <t>K-I-0067</t>
        </is>
      </c>
      <c r="B5946" s="12" t="inlineStr">
        <is>
          <t>K</t>
        </is>
      </c>
      <c r="C5946" s="12" t="inlineStr">
        <is>
          <t>Fuel supply (adjacent market)</t>
        </is>
      </c>
      <c r="D5946" s="12" t="inlineStr">
        <is>
          <t>Discrete device to JB JB-H2 27: storage tub-DI01: 12 x 1 pr (field cables)</t>
        </is>
      </c>
      <c r="E5946" s="12" t="inlineStr"/>
      <c r="F5946" s="12" t="inlineStr">
        <is>
          <t>H2 27: storage tube bank (~40 ft tubes)</t>
        </is>
      </c>
      <c r="G5946" s="12" t="inlineStr">
        <is>
          <t>JB-H2 27: storage tub-DI01</t>
        </is>
      </c>
      <c r="H5946" s="12" t="inlineStr">
        <is>
          <t>H2 27: storage tube bank (~40 ft tubes)</t>
        </is>
      </c>
      <c r="I5946" s="12" t="inlineStr">
        <is>
          <t>Instrumentation</t>
        </is>
      </c>
      <c r="J5946" s="12" t="inlineStr">
        <is>
          <t>Instrumentation ITC / PLTC, IS, #18 shielded pairs, blue jacket</t>
        </is>
      </c>
      <c r="K5946" s="12" t="inlineStr">
        <is>
          <t>ITC|1 pr|16</t>
        </is>
      </c>
      <c r="L5946" s="12" t="inlineStr">
        <is>
          <t>1 pr</t>
        </is>
      </c>
      <c r="M5946" s="12" t="inlineStr">
        <is>
          <t>16</t>
        </is>
      </c>
      <c r="N5946" s="12" t="n">
        <v>12</v>
      </c>
      <c r="O5946" s="12" t="n">
        <v>1</v>
      </c>
      <c r="P5946" s="12" t="n"/>
      <c r="Q5946" s="12" t="n"/>
      <c r="R5946" s="12" t="n"/>
      <c r="S5946" s="12" t="inlineStr">
        <is>
          <t>Tray / conduit</t>
        </is>
      </c>
      <c r="T5946" s="15" t="n">
        <v>54</v>
      </c>
      <c r="U5946" s="15" t="n">
        <v>10</v>
      </c>
      <c r="V5946" s="15">
        <f>ROUNDUP((T5946+U5946+2*'Read Me'!$B$13)*(1+'Read Me'!$B$12),-1)</f>
        <v/>
      </c>
      <c r="W5946" s="15">
        <f>V5946*N5946*O5946</f>
        <v/>
      </c>
      <c r="X5946" s="12">
        <f>IF(LEFT(I5946,2)="MV",2*N5946*IF(L5946="1/C",O5946,1),0)</f>
        <v/>
      </c>
      <c r="Y5946" s="12">
        <f>IF(OR(LEFT(K5946,4)="LVAX",LEFT(K5946,6)="MV15AX",LEFT(K5946,4)="CTAX",LEFT(K5946,2)="W|"),2*N5946*O5946,0)</f>
        <v/>
      </c>
      <c r="Z5946" s="12" t="inlineStr">
        <is>
          <t>device-to-JB field wiring, one cable per device</t>
        </is>
      </c>
      <c r="AA5946" s="12">
        <f>N5946*O5946</f>
        <v/>
      </c>
    </row>
    <row r="5947">
      <c r="A5947" s="12" t="inlineStr">
        <is>
          <t>K-I-0068</t>
        </is>
      </c>
      <c r="B5947" s="12" t="inlineStr">
        <is>
          <t>K</t>
        </is>
      </c>
      <c r="C5947" s="12" t="inlineStr">
        <is>
          <t>Fuel supply (adjacent market)</t>
        </is>
      </c>
      <c r="D5947" s="12" t="inlineStr">
        <is>
          <t>Home run JB-H2 27: storage tub-DI01 to the control / marshalling room</t>
        </is>
      </c>
      <c r="E5947" s="12" t="inlineStr"/>
      <c r="F5947" s="12" t="inlineStr">
        <is>
          <t>H2 20: 13.8 kV e-house</t>
        </is>
      </c>
      <c r="G5947" s="12" t="inlineStr">
        <is>
          <t>JB-H2 27: storage tub-DI01</t>
        </is>
      </c>
      <c r="H5947" s="12" t="inlineStr">
        <is>
          <t>H2 27: storage tube bank (~40 ft tubes)</t>
        </is>
      </c>
      <c r="I5947" s="12" t="inlineStr">
        <is>
          <t>Instrumentation</t>
        </is>
      </c>
      <c r="J5947" s="12" t="inlineStr">
        <is>
          <t>Instrumentation ITC / PLTC, IS, #18 shielded pairs, blue jacket</t>
        </is>
      </c>
      <c r="K5947" s="12" t="inlineStr">
        <is>
          <t>ITC|24 pr|18</t>
        </is>
      </c>
      <c r="L5947" s="12" t="inlineStr">
        <is>
          <t>24 pr</t>
        </is>
      </c>
      <c r="M5947" s="12" t="inlineStr">
        <is>
          <t>18</t>
        </is>
      </c>
      <c r="N5947" s="12" t="n">
        <v>1</v>
      </c>
      <c r="O5947" s="12" t="n">
        <v>1</v>
      </c>
      <c r="P5947" s="12" t="n"/>
      <c r="Q5947" s="12" t="n"/>
      <c r="R5947" s="12" t="n"/>
      <c r="S5947" s="12" t="inlineStr">
        <is>
          <t>Duct bank</t>
        </is>
      </c>
      <c r="T5947" s="15" t="n">
        <v>50</v>
      </c>
      <c r="U5947" s="15" t="n">
        <v>117</v>
      </c>
      <c r="V5947" s="15">
        <f>ROUNDUP((T5947+U5947+2*'Read Me'!$B$13)*(1+'Read Me'!$B$12),-1)</f>
        <v/>
      </c>
      <c r="W5947" s="15">
        <f>V5947*N5947*O5947</f>
        <v/>
      </c>
      <c r="X5947" s="12">
        <f>IF(LEFT(I5947,2)="MV",2*N5947*IF(L5947="1/C",O5947,1),0)</f>
        <v/>
      </c>
      <c r="Y5947" s="12">
        <f>IF(OR(LEFT(K5947,4)="LVAX",LEFT(K5947,6)="MV15AX",LEFT(K5947,4)="CTAX",LEFT(K5947,2)="W|"),2*N5947*O5947,0)</f>
        <v/>
      </c>
      <c r="Z5947" s="12" t="inlineStr"/>
      <c r="AA5947" s="12">
        <f>N5947*O5947</f>
        <v/>
      </c>
    </row>
    <row r="5948">
      <c r="A5948" s="12" t="inlineStr">
        <is>
          <t>K-I-0069</t>
        </is>
      </c>
      <c r="B5948" s="12" t="inlineStr">
        <is>
          <t>K</t>
        </is>
      </c>
      <c r="C5948" s="12" t="inlineStr">
        <is>
          <t>Fuel supply (adjacent market)</t>
        </is>
      </c>
      <c r="D5948" s="12" t="inlineStr">
        <is>
          <t>Analog instrument to JB JB-H2 28: N2 purge su-AI01: 12 x 1 pr (field cables)</t>
        </is>
      </c>
      <c r="E5948" s="12" t="inlineStr"/>
      <c r="F5948" s="12" t="inlineStr">
        <is>
          <t>H2 28: N2 purge supply</t>
        </is>
      </c>
      <c r="G5948" s="12" t="inlineStr">
        <is>
          <t>JB-H2 28: N2 purge su-AI01</t>
        </is>
      </c>
      <c r="H5948" s="12" t="inlineStr">
        <is>
          <t>H2 28: N2 purge supply</t>
        </is>
      </c>
      <c r="I5948" s="12" t="inlineStr">
        <is>
          <t>Instrumentation</t>
        </is>
      </c>
      <c r="J5948" s="12" t="inlineStr">
        <is>
          <t>Instrumentation ITC / PLTC, IS, #18 shielded pairs, blue jacket</t>
        </is>
      </c>
      <c r="K5948" s="12" t="inlineStr">
        <is>
          <t>ITC|1 pr|16</t>
        </is>
      </c>
      <c r="L5948" s="12" t="inlineStr">
        <is>
          <t>1 pr</t>
        </is>
      </c>
      <c r="M5948" s="12" t="inlineStr">
        <is>
          <t>16</t>
        </is>
      </c>
      <c r="N5948" s="12" t="n">
        <v>12</v>
      </c>
      <c r="O5948" s="12" t="n">
        <v>1</v>
      </c>
      <c r="P5948" s="12" t="n"/>
      <c r="Q5948" s="12" t="n"/>
      <c r="R5948" s="12" t="n"/>
      <c r="S5948" s="12" t="inlineStr">
        <is>
          <t>Tray / conduit</t>
        </is>
      </c>
      <c r="T5948" s="15" t="n">
        <v>56</v>
      </c>
      <c r="U5948" s="15" t="n">
        <v>10</v>
      </c>
      <c r="V5948" s="15">
        <f>ROUNDUP((T5948+U5948+2*'Read Me'!$B$13)*(1+'Read Me'!$B$12),-1)</f>
        <v/>
      </c>
      <c r="W5948" s="15">
        <f>V5948*N5948*O5948</f>
        <v/>
      </c>
      <c r="X5948" s="12">
        <f>IF(LEFT(I5948,2)="MV",2*N5948*IF(L5948="1/C",O5948,1),0)</f>
        <v/>
      </c>
      <c r="Y5948" s="12">
        <f>IF(OR(LEFT(K5948,4)="LVAX",LEFT(K5948,6)="MV15AX",LEFT(K5948,4)="CTAX",LEFT(K5948,2)="W|"),2*N5948*O5948,0)</f>
        <v/>
      </c>
      <c r="Z5948" s="12" t="inlineStr">
        <is>
          <t>device-to-JB field wiring, one cable per device</t>
        </is>
      </c>
      <c r="AA5948" s="12">
        <f>N5948*O5948</f>
        <v/>
      </c>
    </row>
    <row r="5949">
      <c r="A5949" s="12" t="inlineStr">
        <is>
          <t>K-I-0070</t>
        </is>
      </c>
      <c r="B5949" s="12" t="inlineStr">
        <is>
          <t>K</t>
        </is>
      </c>
      <c r="C5949" s="12" t="inlineStr">
        <is>
          <t>Fuel supply (adjacent market)</t>
        </is>
      </c>
      <c r="D5949" s="12" t="inlineStr">
        <is>
          <t>Home run JB-H2 28: N2 purge su-AI01 to the control / marshalling room</t>
        </is>
      </c>
      <c r="E5949" s="12" t="inlineStr"/>
      <c r="F5949" s="12" t="inlineStr">
        <is>
          <t>H2 20: 13.8 kV e-house</t>
        </is>
      </c>
      <c r="G5949" s="12" t="inlineStr">
        <is>
          <t>JB-H2 28: N2 purge su-AI01</t>
        </is>
      </c>
      <c r="H5949" s="12" t="inlineStr">
        <is>
          <t>H2 28: N2 purge supply</t>
        </is>
      </c>
      <c r="I5949" s="12" t="inlineStr">
        <is>
          <t>Instrumentation</t>
        </is>
      </c>
      <c r="J5949" s="12" t="inlineStr">
        <is>
          <t>Instrumentation ITC / PLTC, IS, #18 shielded pairs, blue jacket</t>
        </is>
      </c>
      <c r="K5949" s="12" t="inlineStr">
        <is>
          <t>ITC|24 pr|18</t>
        </is>
      </c>
      <c r="L5949" s="12" t="inlineStr">
        <is>
          <t>24 pr</t>
        </is>
      </c>
      <c r="M5949" s="12" t="inlineStr">
        <is>
          <t>18</t>
        </is>
      </c>
      <c r="N5949" s="12" t="n">
        <v>1</v>
      </c>
      <c r="O5949" s="12" t="n">
        <v>1</v>
      </c>
      <c r="P5949" s="12" t="n"/>
      <c r="Q5949" s="12" t="n"/>
      <c r="R5949" s="12" t="n"/>
      <c r="S5949" s="12" t="inlineStr">
        <is>
          <t>Duct bank</t>
        </is>
      </c>
      <c r="T5949" s="15" t="n">
        <v>53</v>
      </c>
      <c r="U5949" s="15" t="n">
        <v>36</v>
      </c>
      <c r="V5949" s="15">
        <f>ROUNDUP((T5949+U5949+2*'Read Me'!$B$13)*(1+'Read Me'!$B$12),-1)</f>
        <v/>
      </c>
      <c r="W5949" s="15">
        <f>V5949*N5949*O5949</f>
        <v/>
      </c>
      <c r="X5949" s="12">
        <f>IF(LEFT(I5949,2)="MV",2*N5949*IF(L5949="1/C",O5949,1),0)</f>
        <v/>
      </c>
      <c r="Y5949" s="12">
        <f>IF(OR(LEFT(K5949,4)="LVAX",LEFT(K5949,6)="MV15AX",LEFT(K5949,4)="CTAX",LEFT(K5949,2)="W|"),2*N5949*O5949,0)</f>
        <v/>
      </c>
      <c r="Z5949" s="12" t="inlineStr"/>
      <c r="AA5949" s="12">
        <f>N5949*O5949</f>
        <v/>
      </c>
    </row>
    <row r="5950">
      <c r="A5950" s="12" t="inlineStr">
        <is>
          <t>K-I-0071</t>
        </is>
      </c>
      <c r="B5950" s="12" t="inlineStr">
        <is>
          <t>K</t>
        </is>
      </c>
      <c r="C5950" s="12" t="inlineStr">
        <is>
          <t>Fuel supply (adjacent market)</t>
        </is>
      </c>
      <c r="D5950" s="12" t="inlineStr">
        <is>
          <t>Discrete device to JB JB-H2 28: N2 purge su-DI01: 12 x 1 pr (field cables)</t>
        </is>
      </c>
      <c r="E5950" s="12" t="inlineStr"/>
      <c r="F5950" s="12" t="inlineStr">
        <is>
          <t>H2 28: N2 purge supply</t>
        </is>
      </c>
      <c r="G5950" s="12" t="inlineStr">
        <is>
          <t>JB-H2 28: N2 purge su-DI01</t>
        </is>
      </c>
      <c r="H5950" s="12" t="inlineStr">
        <is>
          <t>H2 28: N2 purge supply</t>
        </is>
      </c>
      <c r="I5950" s="12" t="inlineStr">
        <is>
          <t>Instrumentation</t>
        </is>
      </c>
      <c r="J5950" s="12" t="inlineStr">
        <is>
          <t>Instrumentation ITC / PLTC, IS, #18 shielded pairs, blue jacket</t>
        </is>
      </c>
      <c r="K5950" s="12" t="inlineStr">
        <is>
          <t>ITC|1 pr|16</t>
        </is>
      </c>
      <c r="L5950" s="12" t="inlineStr">
        <is>
          <t>1 pr</t>
        </is>
      </c>
      <c r="M5950" s="12" t="inlineStr">
        <is>
          <t>16</t>
        </is>
      </c>
      <c r="N5950" s="12" t="n">
        <v>12</v>
      </c>
      <c r="O5950" s="12" t="n">
        <v>1</v>
      </c>
      <c r="P5950" s="12" t="n"/>
      <c r="Q5950" s="12" t="n"/>
      <c r="R5950" s="12" t="n"/>
      <c r="S5950" s="12" t="inlineStr">
        <is>
          <t>Tray / conduit</t>
        </is>
      </c>
      <c r="T5950" s="15" t="n">
        <v>56</v>
      </c>
      <c r="U5950" s="15" t="n">
        <v>10</v>
      </c>
      <c r="V5950" s="15">
        <f>ROUNDUP((T5950+U5950+2*'Read Me'!$B$13)*(1+'Read Me'!$B$12),-1)</f>
        <v/>
      </c>
      <c r="W5950" s="15">
        <f>V5950*N5950*O5950</f>
        <v/>
      </c>
      <c r="X5950" s="12">
        <f>IF(LEFT(I5950,2)="MV",2*N5950*IF(L5950="1/C",O5950,1),0)</f>
        <v/>
      </c>
      <c r="Y5950" s="12">
        <f>IF(OR(LEFT(K5950,4)="LVAX",LEFT(K5950,6)="MV15AX",LEFT(K5950,4)="CTAX",LEFT(K5950,2)="W|"),2*N5950*O5950,0)</f>
        <v/>
      </c>
      <c r="Z5950" s="12" t="inlineStr">
        <is>
          <t>device-to-JB field wiring, one cable per device</t>
        </is>
      </c>
      <c r="AA5950" s="12">
        <f>N5950*O5950</f>
        <v/>
      </c>
    </row>
    <row r="5951">
      <c r="A5951" s="12" t="inlineStr">
        <is>
          <t>K-I-0072</t>
        </is>
      </c>
      <c r="B5951" s="12" t="inlineStr">
        <is>
          <t>K</t>
        </is>
      </c>
      <c r="C5951" s="12" t="inlineStr">
        <is>
          <t>Fuel supply (adjacent market)</t>
        </is>
      </c>
      <c r="D5951" s="12" t="inlineStr">
        <is>
          <t>Home run JB-H2 28: N2 purge su-DI01 to the control / marshalling room</t>
        </is>
      </c>
      <c r="E5951" s="12" t="inlineStr"/>
      <c r="F5951" s="12" t="inlineStr">
        <is>
          <t>H2 20: 13.8 kV e-house</t>
        </is>
      </c>
      <c r="G5951" s="12" t="inlineStr">
        <is>
          <t>JB-H2 28: N2 purge su-DI01</t>
        </is>
      </c>
      <c r="H5951" s="12" t="inlineStr">
        <is>
          <t>H2 28: N2 purge supply</t>
        </is>
      </c>
      <c r="I5951" s="12" t="inlineStr">
        <is>
          <t>Instrumentation</t>
        </is>
      </c>
      <c r="J5951" s="12" t="inlineStr">
        <is>
          <t>Instrumentation ITC / PLTC, IS, #18 shielded pairs, blue jacket</t>
        </is>
      </c>
      <c r="K5951" s="12" t="inlineStr">
        <is>
          <t>ITC|24 pr|18</t>
        </is>
      </c>
      <c r="L5951" s="12" t="inlineStr">
        <is>
          <t>24 pr</t>
        </is>
      </c>
      <c r="M5951" s="12" t="inlineStr">
        <is>
          <t>18</t>
        </is>
      </c>
      <c r="N5951" s="12" t="n">
        <v>1</v>
      </c>
      <c r="O5951" s="12" t="n">
        <v>1</v>
      </c>
      <c r="P5951" s="12" t="n"/>
      <c r="Q5951" s="12" t="n"/>
      <c r="R5951" s="12" t="n"/>
      <c r="S5951" s="12" t="inlineStr">
        <is>
          <t>Duct bank</t>
        </is>
      </c>
      <c r="T5951" s="15" t="n">
        <v>53</v>
      </c>
      <c r="U5951" s="15" t="n">
        <v>36</v>
      </c>
      <c r="V5951" s="15">
        <f>ROUNDUP((T5951+U5951+2*'Read Me'!$B$13)*(1+'Read Me'!$B$12),-1)</f>
        <v/>
      </c>
      <c r="W5951" s="15">
        <f>V5951*N5951*O5951</f>
        <v/>
      </c>
      <c r="X5951" s="12">
        <f>IF(LEFT(I5951,2)="MV",2*N5951*IF(L5951="1/C",O5951,1),0)</f>
        <v/>
      </c>
      <c r="Y5951" s="12">
        <f>IF(OR(LEFT(K5951,4)="LVAX",LEFT(K5951,6)="MV15AX",LEFT(K5951,4)="CTAX",LEFT(K5951,2)="W|"),2*N5951*O5951,0)</f>
        <v/>
      </c>
      <c r="Z5951" s="12" t="inlineStr"/>
      <c r="AA5951" s="12">
        <f>N5951*O5951</f>
        <v/>
      </c>
    </row>
    <row r="5952">
      <c r="A5952" s="12" t="inlineStr">
        <is>
          <t>K-I-0073</t>
        </is>
      </c>
      <c r="B5952" s="12" t="inlineStr">
        <is>
          <t>K</t>
        </is>
      </c>
      <c r="C5952" s="12" t="inlineStr">
        <is>
          <t>Fuel supply (adjacent market)</t>
        </is>
      </c>
      <c r="D5952" s="12" t="inlineStr">
        <is>
          <t>Analog instrument to JB JB-H2 29: vent stack-AI01: 12 x 1 pr (field cables)</t>
        </is>
      </c>
      <c r="E5952" s="12" t="inlineStr"/>
      <c r="F5952" s="12" t="inlineStr">
        <is>
          <t>H2 29: vent stack</t>
        </is>
      </c>
      <c r="G5952" s="12" t="inlineStr">
        <is>
          <t>JB-H2 29: vent stack-AI01</t>
        </is>
      </c>
      <c r="H5952" s="12" t="inlineStr">
        <is>
          <t>H2 29: vent stack</t>
        </is>
      </c>
      <c r="I5952" s="12" t="inlineStr">
        <is>
          <t>Instrumentation</t>
        </is>
      </c>
      <c r="J5952" s="12" t="inlineStr">
        <is>
          <t>Instrumentation ITC / PLTC, IS, #18 shielded pairs, blue jacket</t>
        </is>
      </c>
      <c r="K5952" s="12" t="inlineStr">
        <is>
          <t>ITC|1 pr|16</t>
        </is>
      </c>
      <c r="L5952" s="12" t="inlineStr">
        <is>
          <t>1 pr</t>
        </is>
      </c>
      <c r="M5952" s="12" t="inlineStr">
        <is>
          <t>16</t>
        </is>
      </c>
      <c r="N5952" s="12" t="n">
        <v>12</v>
      </c>
      <c r="O5952" s="12" t="n">
        <v>1</v>
      </c>
      <c r="P5952" s="12" t="n"/>
      <c r="Q5952" s="12" t="n"/>
      <c r="R5952" s="12" t="n"/>
      <c r="S5952" s="12" t="inlineStr">
        <is>
          <t>Tray / conduit</t>
        </is>
      </c>
      <c r="T5952" s="15" t="n">
        <v>45</v>
      </c>
      <c r="U5952" s="15" t="n">
        <v>10</v>
      </c>
      <c r="V5952" s="15">
        <f>ROUNDUP((T5952+U5952+2*'Read Me'!$B$13)*(1+'Read Me'!$B$12),-1)</f>
        <v/>
      </c>
      <c r="W5952" s="15">
        <f>V5952*N5952*O5952</f>
        <v/>
      </c>
      <c r="X5952" s="12">
        <f>IF(LEFT(I5952,2)="MV",2*N5952*IF(L5952="1/C",O5952,1),0)</f>
        <v/>
      </c>
      <c r="Y5952" s="12">
        <f>IF(OR(LEFT(K5952,4)="LVAX",LEFT(K5952,6)="MV15AX",LEFT(K5952,4)="CTAX",LEFT(K5952,2)="W|"),2*N5952*O5952,0)</f>
        <v/>
      </c>
      <c r="Z5952" s="12" t="inlineStr">
        <is>
          <t>device-to-JB field wiring, one cable per device</t>
        </is>
      </c>
      <c r="AA5952" s="12">
        <f>N5952*O5952</f>
        <v/>
      </c>
    </row>
    <row r="5953">
      <c r="A5953" s="12" t="inlineStr">
        <is>
          <t>K-I-0074</t>
        </is>
      </c>
      <c r="B5953" s="12" t="inlineStr">
        <is>
          <t>K</t>
        </is>
      </c>
      <c r="C5953" s="12" t="inlineStr">
        <is>
          <t>Fuel supply (adjacent market)</t>
        </is>
      </c>
      <c r="D5953" s="12" t="inlineStr">
        <is>
          <t>Home run JB-H2 29: vent stack-AI01 to the control / marshalling room</t>
        </is>
      </c>
      <c r="E5953" s="12" t="inlineStr"/>
      <c r="F5953" s="12" t="inlineStr">
        <is>
          <t>H2 20: 13.8 kV e-house</t>
        </is>
      </c>
      <c r="G5953" s="12" t="inlineStr">
        <is>
          <t>JB-H2 29: vent stack-AI01</t>
        </is>
      </c>
      <c r="H5953" s="12" t="inlineStr">
        <is>
          <t>H2 29: vent stack</t>
        </is>
      </c>
      <c r="I5953" s="12" t="inlineStr">
        <is>
          <t>Instrumentation</t>
        </is>
      </c>
      <c r="J5953" s="12" t="inlineStr">
        <is>
          <t>Instrumentation ITC / PLTC, IS, #18 shielded pairs, blue jacket</t>
        </is>
      </c>
      <c r="K5953" s="12" t="inlineStr">
        <is>
          <t>ITC|24 pr|18</t>
        </is>
      </c>
      <c r="L5953" s="12" t="inlineStr">
        <is>
          <t>24 pr</t>
        </is>
      </c>
      <c r="M5953" s="12" t="inlineStr">
        <is>
          <t>18</t>
        </is>
      </c>
      <c r="N5953" s="12" t="n">
        <v>1</v>
      </c>
      <c r="O5953" s="12" t="n">
        <v>1</v>
      </c>
      <c r="P5953" s="12" t="n"/>
      <c r="Q5953" s="12" t="n"/>
      <c r="R5953" s="12" t="n"/>
      <c r="S5953" s="12" t="inlineStr">
        <is>
          <t>Duct bank</t>
        </is>
      </c>
      <c r="T5953" s="15" t="n">
        <v>55</v>
      </c>
      <c r="U5953" s="15" t="n">
        <v>205</v>
      </c>
      <c r="V5953" s="15">
        <f>ROUNDUP((T5953+U5953+2*'Read Me'!$B$13)*(1+'Read Me'!$B$12),-1)</f>
        <v/>
      </c>
      <c r="W5953" s="15">
        <f>V5953*N5953*O5953</f>
        <v/>
      </c>
      <c r="X5953" s="12">
        <f>IF(LEFT(I5953,2)="MV",2*N5953*IF(L5953="1/C",O5953,1),0)</f>
        <v/>
      </c>
      <c r="Y5953" s="12">
        <f>IF(OR(LEFT(K5953,4)="LVAX",LEFT(K5953,6)="MV15AX",LEFT(K5953,4)="CTAX",LEFT(K5953,2)="W|"),2*N5953*O5953,0)</f>
        <v/>
      </c>
      <c r="Z5953" s="12" t="inlineStr"/>
      <c r="AA5953" s="12">
        <f>N5953*O5953</f>
        <v/>
      </c>
    </row>
    <row r="5954">
      <c r="A5954" s="12" t="inlineStr">
        <is>
          <t>K-I-0075</t>
        </is>
      </c>
      <c r="B5954" s="12" t="inlineStr">
        <is>
          <t>K</t>
        </is>
      </c>
      <c r="C5954" s="12" t="inlineStr">
        <is>
          <t>Fuel supply (adjacent market)</t>
        </is>
      </c>
      <c r="D5954" s="12" t="inlineStr">
        <is>
          <t>Discrete device to JB JB-H2 29: vent stack-DI01: 12 x 1 pr (field cables)</t>
        </is>
      </c>
      <c r="E5954" s="12" t="inlineStr"/>
      <c r="F5954" s="12" t="inlineStr">
        <is>
          <t>H2 29: vent stack</t>
        </is>
      </c>
      <c r="G5954" s="12" t="inlineStr">
        <is>
          <t>JB-H2 29: vent stack-DI01</t>
        </is>
      </c>
      <c r="H5954" s="12" t="inlineStr">
        <is>
          <t>H2 29: vent stack</t>
        </is>
      </c>
      <c r="I5954" s="12" t="inlineStr">
        <is>
          <t>Instrumentation</t>
        </is>
      </c>
      <c r="J5954" s="12" t="inlineStr">
        <is>
          <t>Instrumentation ITC / PLTC, IS, #18 shielded pairs, blue jacket</t>
        </is>
      </c>
      <c r="K5954" s="12" t="inlineStr">
        <is>
          <t>ITC|1 pr|16</t>
        </is>
      </c>
      <c r="L5954" s="12" t="inlineStr">
        <is>
          <t>1 pr</t>
        </is>
      </c>
      <c r="M5954" s="12" t="inlineStr">
        <is>
          <t>16</t>
        </is>
      </c>
      <c r="N5954" s="12" t="n">
        <v>12</v>
      </c>
      <c r="O5954" s="12" t="n">
        <v>1</v>
      </c>
      <c r="P5954" s="12" t="n"/>
      <c r="Q5954" s="12" t="n"/>
      <c r="R5954" s="12" t="n"/>
      <c r="S5954" s="12" t="inlineStr">
        <is>
          <t>Tray / conduit</t>
        </is>
      </c>
      <c r="T5954" s="15" t="n">
        <v>45</v>
      </c>
      <c r="U5954" s="15" t="n">
        <v>10</v>
      </c>
      <c r="V5954" s="15">
        <f>ROUNDUP((T5954+U5954+2*'Read Me'!$B$13)*(1+'Read Me'!$B$12),-1)</f>
        <v/>
      </c>
      <c r="W5954" s="15">
        <f>V5954*N5954*O5954</f>
        <v/>
      </c>
      <c r="X5954" s="12">
        <f>IF(LEFT(I5954,2)="MV",2*N5954*IF(L5954="1/C",O5954,1),0)</f>
        <v/>
      </c>
      <c r="Y5954" s="12">
        <f>IF(OR(LEFT(K5954,4)="LVAX",LEFT(K5954,6)="MV15AX",LEFT(K5954,4)="CTAX",LEFT(K5954,2)="W|"),2*N5954*O5954,0)</f>
        <v/>
      </c>
      <c r="Z5954" s="12" t="inlineStr">
        <is>
          <t>device-to-JB field wiring, one cable per device</t>
        </is>
      </c>
      <c r="AA5954" s="12">
        <f>N5954*O5954</f>
        <v/>
      </c>
    </row>
    <row r="5955">
      <c r="A5955" s="12" t="inlineStr">
        <is>
          <t>K-I-0076</t>
        </is>
      </c>
      <c r="B5955" s="12" t="inlineStr">
        <is>
          <t>K</t>
        </is>
      </c>
      <c r="C5955" s="12" t="inlineStr">
        <is>
          <t>Fuel supply (adjacent market)</t>
        </is>
      </c>
      <c r="D5955" s="12" t="inlineStr">
        <is>
          <t>Home run JB-H2 29: vent stack-DI01 to the control / marshalling room</t>
        </is>
      </c>
      <c r="E5955" s="12" t="inlineStr"/>
      <c r="F5955" s="12" t="inlineStr">
        <is>
          <t>H2 20: 13.8 kV e-house</t>
        </is>
      </c>
      <c r="G5955" s="12" t="inlineStr">
        <is>
          <t>JB-H2 29: vent stack-DI01</t>
        </is>
      </c>
      <c r="H5955" s="12" t="inlineStr">
        <is>
          <t>H2 29: vent stack</t>
        </is>
      </c>
      <c r="I5955" s="12" t="inlineStr">
        <is>
          <t>Instrumentation</t>
        </is>
      </c>
      <c r="J5955" s="12" t="inlineStr">
        <is>
          <t>Instrumentation ITC / PLTC, IS, #18 shielded pairs, blue jacket</t>
        </is>
      </c>
      <c r="K5955" s="12" t="inlineStr">
        <is>
          <t>ITC|24 pr|18</t>
        </is>
      </c>
      <c r="L5955" s="12" t="inlineStr">
        <is>
          <t>24 pr</t>
        </is>
      </c>
      <c r="M5955" s="12" t="inlineStr">
        <is>
          <t>18</t>
        </is>
      </c>
      <c r="N5955" s="12" t="n">
        <v>1</v>
      </c>
      <c r="O5955" s="12" t="n">
        <v>1</v>
      </c>
      <c r="P5955" s="12" t="n"/>
      <c r="Q5955" s="12" t="n"/>
      <c r="R5955" s="12" t="n"/>
      <c r="S5955" s="12" t="inlineStr">
        <is>
          <t>Duct bank</t>
        </is>
      </c>
      <c r="T5955" s="15" t="n">
        <v>55</v>
      </c>
      <c r="U5955" s="15" t="n">
        <v>205</v>
      </c>
      <c r="V5955" s="15">
        <f>ROUNDUP((T5955+U5955+2*'Read Me'!$B$13)*(1+'Read Me'!$B$12),-1)</f>
        <v/>
      </c>
      <c r="W5955" s="15">
        <f>V5955*N5955*O5955</f>
        <v/>
      </c>
      <c r="X5955" s="12">
        <f>IF(LEFT(I5955,2)="MV",2*N5955*IF(L5955="1/C",O5955,1),0)</f>
        <v/>
      </c>
      <c r="Y5955" s="12">
        <f>IF(OR(LEFT(K5955,4)="LVAX",LEFT(K5955,6)="MV15AX",LEFT(K5955,4)="CTAX",LEFT(K5955,2)="W|"),2*N5955*O5955,0)</f>
        <v/>
      </c>
      <c r="Z5955" s="12" t="inlineStr"/>
      <c r="AA5955" s="12">
        <f>N5955*O5955</f>
        <v/>
      </c>
    </row>
    <row r="5956">
      <c r="A5956" s="12" t="inlineStr">
        <is>
          <t>K-I-0077</t>
        </is>
      </c>
      <c r="B5956" s="12" t="inlineStr">
        <is>
          <t>K</t>
        </is>
      </c>
      <c r="C5956" s="12" t="inlineStr">
        <is>
          <t>Fuel supply (adjacent market)</t>
        </is>
      </c>
      <c r="D5956" s="12" t="inlineStr">
        <is>
          <t>Analog instrument to JB JB-H2 30: H2 / gas bl-AI01: 12 x 1 pr (field cables)</t>
        </is>
      </c>
      <c r="E5956" s="12" t="inlineStr"/>
      <c r="F5956" s="12" t="inlineStr">
        <is>
          <t>H2 30: H2 / gas blending station (plant gas yard)</t>
        </is>
      </c>
      <c r="G5956" s="12" t="inlineStr">
        <is>
          <t>JB-H2 30: H2 / gas bl-AI01</t>
        </is>
      </c>
      <c r="H5956" s="12" t="inlineStr">
        <is>
          <t>H2 30: H2 / gas blending station (plant gas yard)</t>
        </is>
      </c>
      <c r="I5956" s="12" t="inlineStr">
        <is>
          <t>Instrumentation</t>
        </is>
      </c>
      <c r="J5956" s="12" t="inlineStr">
        <is>
          <t>Instrumentation ITC / PLTC, IS, #18 shielded pairs, blue jacket</t>
        </is>
      </c>
      <c r="K5956" s="12" t="inlineStr">
        <is>
          <t>ITC|1 pr|16</t>
        </is>
      </c>
      <c r="L5956" s="12" t="inlineStr">
        <is>
          <t>1 pr</t>
        </is>
      </c>
      <c r="M5956" s="12" t="inlineStr">
        <is>
          <t>16</t>
        </is>
      </c>
      <c r="N5956" s="12" t="n">
        <v>12</v>
      </c>
      <c r="O5956" s="12" t="n">
        <v>1</v>
      </c>
      <c r="P5956" s="12" t="n"/>
      <c r="Q5956" s="12" t="n"/>
      <c r="R5956" s="12" t="n"/>
      <c r="S5956" s="12" t="inlineStr">
        <is>
          <t>Tray / conduit</t>
        </is>
      </c>
      <c r="T5956" s="15" t="n">
        <v>129</v>
      </c>
      <c r="U5956" s="15" t="n">
        <v>10</v>
      </c>
      <c r="V5956" s="15">
        <f>ROUNDUP((T5956+U5956+2*'Read Me'!$B$13)*(1+'Read Me'!$B$12),-1)</f>
        <v/>
      </c>
      <c r="W5956" s="15">
        <f>V5956*N5956*O5956</f>
        <v/>
      </c>
      <c r="X5956" s="12">
        <f>IF(LEFT(I5956,2)="MV",2*N5956*IF(L5956="1/C",O5956,1),0)</f>
        <v/>
      </c>
      <c r="Y5956" s="12">
        <f>IF(OR(LEFT(K5956,4)="LVAX",LEFT(K5956,6)="MV15AX",LEFT(K5956,4)="CTAX",LEFT(K5956,2)="W|"),2*N5956*O5956,0)</f>
        <v/>
      </c>
      <c r="Z5956" s="12" t="inlineStr">
        <is>
          <t>device-to-JB field wiring, one cable per device</t>
        </is>
      </c>
      <c r="AA5956" s="12">
        <f>N5956*O5956</f>
        <v/>
      </c>
    </row>
    <row r="5957">
      <c r="A5957" s="12" t="inlineStr">
        <is>
          <t>K-I-0078</t>
        </is>
      </c>
      <c r="B5957" s="12" t="inlineStr">
        <is>
          <t>K</t>
        </is>
      </c>
      <c r="C5957" s="12" t="inlineStr">
        <is>
          <t>Fuel supply (adjacent market)</t>
        </is>
      </c>
      <c r="D5957" s="12" t="inlineStr">
        <is>
          <t>Home run JB-H2 30: H2 / gas bl-AI01 to the control / marshalling room</t>
        </is>
      </c>
      <c r="E5957" s="12" t="inlineStr"/>
      <c r="F5957" s="12" t="inlineStr">
        <is>
          <t>LNG 17: LNG e-house (13.8 kV / 480 V)</t>
        </is>
      </c>
      <c r="G5957" s="12" t="inlineStr">
        <is>
          <t>JB-H2 30: H2 / gas bl-AI01</t>
        </is>
      </c>
      <c r="H5957" s="12" t="inlineStr">
        <is>
          <t>H2 30: H2 / gas blending station (plant gas yard)</t>
        </is>
      </c>
      <c r="I5957" s="12" t="inlineStr">
        <is>
          <t>Instrumentation</t>
        </is>
      </c>
      <c r="J5957" s="12" t="inlineStr">
        <is>
          <t>Instrumentation ITC / PLTC, IS, #18 shielded pairs, blue jacket</t>
        </is>
      </c>
      <c r="K5957" s="12" t="inlineStr">
        <is>
          <t>ITC|24 pr|18</t>
        </is>
      </c>
      <c r="L5957" s="12" t="inlineStr">
        <is>
          <t>24 pr</t>
        </is>
      </c>
      <c r="M5957" s="12" t="inlineStr">
        <is>
          <t>18</t>
        </is>
      </c>
      <c r="N5957" s="12" t="n">
        <v>1</v>
      </c>
      <c r="O5957" s="12" t="n">
        <v>1</v>
      </c>
      <c r="P5957" s="12" t="n"/>
      <c r="Q5957" s="12" t="n"/>
      <c r="R5957" s="12" t="n"/>
      <c r="S5957" s="12" t="inlineStr">
        <is>
          <t>Duct bank</t>
        </is>
      </c>
      <c r="T5957" s="15" t="n">
        <v>994</v>
      </c>
      <c r="U5957" s="15" t="n">
        <v>114</v>
      </c>
      <c r="V5957" s="15">
        <f>ROUNDUP((T5957+U5957+2*'Read Me'!$B$13)*(1+'Read Me'!$B$12),-1)</f>
        <v/>
      </c>
      <c r="W5957" s="15">
        <f>V5957*N5957*O5957</f>
        <v/>
      </c>
      <c r="X5957" s="12">
        <f>IF(LEFT(I5957,2)="MV",2*N5957*IF(L5957="1/C",O5957,1),0)</f>
        <v/>
      </c>
      <c r="Y5957" s="12">
        <f>IF(OR(LEFT(K5957,4)="LVAX",LEFT(K5957,6)="MV15AX",LEFT(K5957,4)="CTAX",LEFT(K5957,2)="W|"),2*N5957*O5957,0)</f>
        <v/>
      </c>
      <c r="Z5957" s="12" t="inlineStr"/>
      <c r="AA5957" s="12">
        <f>N5957*O5957</f>
        <v/>
      </c>
    </row>
    <row r="5958">
      <c r="A5958" s="12" t="inlineStr">
        <is>
          <t>K-I-0079</t>
        </is>
      </c>
      <c r="B5958" s="12" t="inlineStr">
        <is>
          <t>K</t>
        </is>
      </c>
      <c r="C5958" s="12" t="inlineStr">
        <is>
          <t>Fuel supply (adjacent market)</t>
        </is>
      </c>
      <c r="D5958" s="12" t="inlineStr">
        <is>
          <t>Discrete device to JB JB-H2 30: H2 / gas bl-DI01: 12 x 1 pr (field cables)</t>
        </is>
      </c>
      <c r="E5958" s="12" t="inlineStr"/>
      <c r="F5958" s="12" t="inlineStr">
        <is>
          <t>H2 30: H2 / gas blending station (plant gas yard)</t>
        </is>
      </c>
      <c r="G5958" s="12" t="inlineStr">
        <is>
          <t>JB-H2 30: H2 / gas bl-DI01</t>
        </is>
      </c>
      <c r="H5958" s="12" t="inlineStr">
        <is>
          <t>H2 30: H2 / gas blending station (plant gas yard)</t>
        </is>
      </c>
      <c r="I5958" s="12" t="inlineStr">
        <is>
          <t>Instrumentation</t>
        </is>
      </c>
      <c r="J5958" s="12" t="inlineStr">
        <is>
          <t>Instrumentation ITC / PLTC, IS, #18 shielded pairs, blue jacket</t>
        </is>
      </c>
      <c r="K5958" s="12" t="inlineStr">
        <is>
          <t>ITC|1 pr|16</t>
        </is>
      </c>
      <c r="L5958" s="12" t="inlineStr">
        <is>
          <t>1 pr</t>
        </is>
      </c>
      <c r="M5958" s="12" t="inlineStr">
        <is>
          <t>16</t>
        </is>
      </c>
      <c r="N5958" s="12" t="n">
        <v>12</v>
      </c>
      <c r="O5958" s="12" t="n">
        <v>1</v>
      </c>
      <c r="P5958" s="12" t="n"/>
      <c r="Q5958" s="12" t="n"/>
      <c r="R5958" s="12" t="n"/>
      <c r="S5958" s="12" t="inlineStr">
        <is>
          <t>Tray / conduit</t>
        </is>
      </c>
      <c r="T5958" s="15" t="n">
        <v>129</v>
      </c>
      <c r="U5958" s="15" t="n">
        <v>10</v>
      </c>
      <c r="V5958" s="15">
        <f>ROUNDUP((T5958+U5958+2*'Read Me'!$B$13)*(1+'Read Me'!$B$12),-1)</f>
        <v/>
      </c>
      <c r="W5958" s="15">
        <f>V5958*N5958*O5958</f>
        <v/>
      </c>
      <c r="X5958" s="12">
        <f>IF(LEFT(I5958,2)="MV",2*N5958*IF(L5958="1/C",O5958,1),0)</f>
        <v/>
      </c>
      <c r="Y5958" s="12">
        <f>IF(OR(LEFT(K5958,4)="LVAX",LEFT(K5958,6)="MV15AX",LEFT(K5958,4)="CTAX",LEFT(K5958,2)="W|"),2*N5958*O5958,0)</f>
        <v/>
      </c>
      <c r="Z5958" s="12" t="inlineStr">
        <is>
          <t>device-to-JB field wiring, one cable per device</t>
        </is>
      </c>
      <c r="AA5958" s="12">
        <f>N5958*O5958</f>
        <v/>
      </c>
    </row>
    <row r="5959">
      <c r="A5959" s="12" t="inlineStr">
        <is>
          <t>K-I-0080</t>
        </is>
      </c>
      <c r="B5959" s="12" t="inlineStr">
        <is>
          <t>K</t>
        </is>
      </c>
      <c r="C5959" s="12" t="inlineStr">
        <is>
          <t>Fuel supply (adjacent market)</t>
        </is>
      </c>
      <c r="D5959" s="12" t="inlineStr">
        <is>
          <t>Home run JB-H2 30: H2 / gas bl-DI01 to the control / marshalling room</t>
        </is>
      </c>
      <c r="E5959" s="12" t="inlineStr"/>
      <c r="F5959" s="12" t="inlineStr">
        <is>
          <t>LNG 17: LNG e-house (13.8 kV / 480 V)</t>
        </is>
      </c>
      <c r="G5959" s="12" t="inlineStr">
        <is>
          <t>JB-H2 30: H2 / gas bl-DI01</t>
        </is>
      </c>
      <c r="H5959" s="12" t="inlineStr">
        <is>
          <t>H2 30: H2 / gas blending station (plant gas yard)</t>
        </is>
      </c>
      <c r="I5959" s="12" t="inlineStr">
        <is>
          <t>Instrumentation</t>
        </is>
      </c>
      <c r="J5959" s="12" t="inlineStr">
        <is>
          <t>Instrumentation ITC / PLTC, IS, #18 shielded pairs, blue jacket</t>
        </is>
      </c>
      <c r="K5959" s="12" t="inlineStr">
        <is>
          <t>ITC|24 pr|18</t>
        </is>
      </c>
      <c r="L5959" s="12" t="inlineStr">
        <is>
          <t>24 pr</t>
        </is>
      </c>
      <c r="M5959" s="12" t="inlineStr">
        <is>
          <t>18</t>
        </is>
      </c>
      <c r="N5959" s="12" t="n">
        <v>1</v>
      </c>
      <c r="O5959" s="12" t="n">
        <v>1</v>
      </c>
      <c r="P5959" s="12" t="n"/>
      <c r="Q5959" s="12" t="n"/>
      <c r="R5959" s="12" t="n"/>
      <c r="S5959" s="12" t="inlineStr">
        <is>
          <t>Duct bank</t>
        </is>
      </c>
      <c r="T5959" s="15" t="n">
        <v>994</v>
      </c>
      <c r="U5959" s="15" t="n">
        <v>114</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K-I-0081</t>
        </is>
      </c>
      <c r="B5960" s="12" t="inlineStr">
        <is>
          <t>K</t>
        </is>
      </c>
      <c r="C5960" s="12" t="inlineStr">
        <is>
          <t>Fuel supply (adjacent market)</t>
        </is>
      </c>
      <c r="D5960" s="12" t="inlineStr">
        <is>
          <t>Analog instrument to JB JB-H2 pipe track and -AI01: 10 x 1 pr (field cables)</t>
        </is>
      </c>
      <c r="E5960" s="12" t="inlineStr"/>
      <c r="F5960" s="12" t="inlineStr">
        <is>
          <t>H2 pipe track and cable trench, hall -&gt; dryer / compressors (N2, instr</t>
        </is>
      </c>
      <c r="G5960" s="12" t="inlineStr">
        <is>
          <t>JB-H2 pipe track and -AI01</t>
        </is>
      </c>
      <c r="H5960" s="12" t="inlineStr">
        <is>
          <t>H2 pipe track and cable trench, hall -&gt; dryer / compressors (N2, instr</t>
        </is>
      </c>
      <c r="I5960" s="12" t="inlineStr">
        <is>
          <t>Instrumentation</t>
        </is>
      </c>
      <c r="J5960" s="12" t="inlineStr">
        <is>
          <t>Instrumentation ITC / PLTC, IS, #18 shielded pairs, blue jacket</t>
        </is>
      </c>
      <c r="K5960" s="12" t="inlineStr">
        <is>
          <t>ITC|1 pr|16</t>
        </is>
      </c>
      <c r="L5960" s="12" t="inlineStr">
        <is>
          <t>1 pr</t>
        </is>
      </c>
      <c r="M5960" s="12" t="inlineStr">
        <is>
          <t>16</t>
        </is>
      </c>
      <c r="N5960" s="12" t="n">
        <v>10</v>
      </c>
      <c r="O5960" s="12" t="n">
        <v>1</v>
      </c>
      <c r="P5960" s="12" t="n"/>
      <c r="Q5960" s="12" t="n"/>
      <c r="R5960" s="12" t="n"/>
      <c r="S5960" s="12" t="inlineStr">
        <is>
          <t>Tray / conduit</t>
        </is>
      </c>
      <c r="T5960" s="15" t="n">
        <v>70</v>
      </c>
      <c r="U5960" s="15" t="n">
        <v>10</v>
      </c>
      <c r="V5960" s="15">
        <f>ROUNDUP((T5960+U5960+2*'Read Me'!$B$13)*(1+'Read Me'!$B$12),-1)</f>
        <v/>
      </c>
      <c r="W5960" s="15">
        <f>V5960*N5960*O5960</f>
        <v/>
      </c>
      <c r="X5960" s="12">
        <f>IF(LEFT(I5960,2)="MV",2*N5960*IF(L5960="1/C",O5960,1),0)</f>
        <v/>
      </c>
      <c r="Y5960" s="12">
        <f>IF(OR(LEFT(K5960,4)="LVAX",LEFT(K5960,6)="MV15AX",LEFT(K5960,4)="CTAX",LEFT(K5960,2)="W|"),2*N5960*O5960,0)</f>
        <v/>
      </c>
      <c r="Z5960" s="12" t="inlineStr">
        <is>
          <t>device-to-JB field wiring, one cable per device</t>
        </is>
      </c>
      <c r="AA5960" s="12">
        <f>N5960*O5960</f>
        <v/>
      </c>
    </row>
    <row r="5961">
      <c r="A5961" s="12" t="inlineStr">
        <is>
          <t>K-I-0082</t>
        </is>
      </c>
      <c r="B5961" s="12" t="inlineStr">
        <is>
          <t>K</t>
        </is>
      </c>
      <c r="C5961" s="12" t="inlineStr">
        <is>
          <t>Fuel supply (adjacent market)</t>
        </is>
      </c>
      <c r="D5961" s="12" t="inlineStr">
        <is>
          <t>Home run JB-H2 pipe track and -AI01 to the control / marshalling room</t>
        </is>
      </c>
      <c r="E5961" s="12" t="inlineStr"/>
      <c r="F5961" s="12" t="inlineStr">
        <is>
          <t>H2 20: 13.8 kV e-house</t>
        </is>
      </c>
      <c r="G5961" s="12" t="inlineStr">
        <is>
          <t>JB-H2 pipe track and -AI01</t>
        </is>
      </c>
      <c r="H5961" s="12" t="inlineStr">
        <is>
          <t>H2 pipe track and cable trench, hall -&gt; dryer / compressors (N2, instr</t>
        </is>
      </c>
      <c r="I5961" s="12" t="inlineStr">
        <is>
          <t>Instrumentation</t>
        </is>
      </c>
      <c r="J5961" s="12" t="inlineStr">
        <is>
          <t>Instrumentation ITC / PLTC, IS, #18 shielded pairs, blue jacket</t>
        </is>
      </c>
      <c r="K5961" s="12" t="inlineStr">
        <is>
          <t>ITC|24 pr|18</t>
        </is>
      </c>
      <c r="L5961" s="12" t="inlineStr">
        <is>
          <t>24 pr</t>
        </is>
      </c>
      <c r="M5961" s="12" t="inlineStr">
        <is>
          <t>18</t>
        </is>
      </c>
      <c r="N5961" s="12" t="n">
        <v>1</v>
      </c>
      <c r="O5961" s="12" t="n">
        <v>1</v>
      </c>
      <c r="P5961" s="12" t="n"/>
      <c r="Q5961" s="12" t="n"/>
      <c r="R5961" s="12" t="n"/>
      <c r="S5961" s="12" t="inlineStr">
        <is>
          <t>Duct bank</t>
        </is>
      </c>
      <c r="T5961" s="15" t="n">
        <v>53</v>
      </c>
      <c r="U5961" s="15" t="n">
        <v>62</v>
      </c>
      <c r="V5961" s="15">
        <f>ROUNDUP((T5961+U5961+2*'Read Me'!$B$13)*(1+'Read Me'!$B$12),-1)</f>
        <v/>
      </c>
      <c r="W5961" s="15">
        <f>V5961*N5961*O5961</f>
        <v/>
      </c>
      <c r="X5961" s="12">
        <f>IF(LEFT(I5961,2)="MV",2*N5961*IF(L5961="1/C",O5961,1),0)</f>
        <v/>
      </c>
      <c r="Y5961" s="12">
        <f>IF(OR(LEFT(K5961,4)="LVAX",LEFT(K5961,6)="MV15AX",LEFT(K5961,4)="CTAX",LEFT(K5961,2)="W|"),2*N5961*O5961,0)</f>
        <v/>
      </c>
      <c r="Z5961" s="12" t="inlineStr"/>
      <c r="AA5961" s="12">
        <f>N5961*O5961</f>
        <v/>
      </c>
    </row>
    <row r="5962">
      <c r="A5962" s="12" t="inlineStr">
        <is>
          <t>K-I-0083</t>
        </is>
      </c>
      <c r="B5962" s="12" t="inlineStr">
        <is>
          <t>K</t>
        </is>
      </c>
      <c r="C5962" s="12" t="inlineStr">
        <is>
          <t>Fuel supply (adjacent market)</t>
        </is>
      </c>
      <c r="D5962" s="12" t="inlineStr">
        <is>
          <t>Discrete device to JB JB-H2 pipe track and -DI01: 10 x 1 pr (field cables)</t>
        </is>
      </c>
      <c r="E5962" s="12" t="inlineStr"/>
      <c r="F5962" s="12" t="inlineStr">
        <is>
          <t>H2 pipe track and cable trench, hall -&gt; dryer / compressors (N2, instr</t>
        </is>
      </c>
      <c r="G5962" s="12" t="inlineStr">
        <is>
          <t>JB-H2 pipe track and -DI01</t>
        </is>
      </c>
      <c r="H5962" s="12" t="inlineStr">
        <is>
          <t>H2 pipe track and cable trench, hall -&gt; dryer / compressors (N2, instr</t>
        </is>
      </c>
      <c r="I5962" s="12" t="inlineStr">
        <is>
          <t>Instrumentation</t>
        </is>
      </c>
      <c r="J5962" s="12" t="inlineStr">
        <is>
          <t>Instrumentation ITC / PLTC, IS, #18 shielded pairs, blue jacket</t>
        </is>
      </c>
      <c r="K5962" s="12" t="inlineStr">
        <is>
          <t>ITC|1 pr|16</t>
        </is>
      </c>
      <c r="L5962" s="12" t="inlineStr">
        <is>
          <t>1 pr</t>
        </is>
      </c>
      <c r="M5962" s="12" t="inlineStr">
        <is>
          <t>16</t>
        </is>
      </c>
      <c r="N5962" s="12" t="n">
        <v>10</v>
      </c>
      <c r="O5962" s="12" t="n">
        <v>1</v>
      </c>
      <c r="P5962" s="12" t="n"/>
      <c r="Q5962" s="12" t="n"/>
      <c r="R5962" s="12" t="n"/>
      <c r="S5962" s="12" t="inlineStr">
        <is>
          <t>Tray / conduit</t>
        </is>
      </c>
      <c r="T5962" s="15" t="n">
        <v>70</v>
      </c>
      <c r="U5962" s="15" t="n">
        <v>10</v>
      </c>
      <c r="V5962" s="15">
        <f>ROUNDUP((T5962+U5962+2*'Read Me'!$B$13)*(1+'Read Me'!$B$12),-1)</f>
        <v/>
      </c>
      <c r="W5962" s="15">
        <f>V5962*N5962*O5962</f>
        <v/>
      </c>
      <c r="X5962" s="12">
        <f>IF(LEFT(I5962,2)="MV",2*N5962*IF(L5962="1/C",O5962,1),0)</f>
        <v/>
      </c>
      <c r="Y5962" s="12">
        <f>IF(OR(LEFT(K5962,4)="LVAX",LEFT(K5962,6)="MV15AX",LEFT(K5962,4)="CTAX",LEFT(K5962,2)="W|"),2*N5962*O5962,0)</f>
        <v/>
      </c>
      <c r="Z5962" s="12" t="inlineStr">
        <is>
          <t>device-to-JB field wiring, one cable per device</t>
        </is>
      </c>
      <c r="AA5962" s="12">
        <f>N5962*O5962</f>
        <v/>
      </c>
    </row>
    <row r="5963">
      <c r="A5963" s="12" t="inlineStr">
        <is>
          <t>K-I-0084</t>
        </is>
      </c>
      <c r="B5963" s="12" t="inlineStr">
        <is>
          <t>K</t>
        </is>
      </c>
      <c r="C5963" s="12" t="inlineStr">
        <is>
          <t>Fuel supply (adjacent market)</t>
        </is>
      </c>
      <c r="D5963" s="12" t="inlineStr">
        <is>
          <t>Home run JB-H2 pipe track and -DI01 to the control / marshalling room</t>
        </is>
      </c>
      <c r="E5963" s="12" t="inlineStr"/>
      <c r="F5963" s="12" t="inlineStr">
        <is>
          <t>H2 20: 13.8 kV e-house</t>
        </is>
      </c>
      <c r="G5963" s="12" t="inlineStr">
        <is>
          <t>JB-H2 pipe track and -DI01</t>
        </is>
      </c>
      <c r="H5963" s="12" t="inlineStr">
        <is>
          <t>H2 pipe track and cable trench, hall -&gt; dryer / compressors (N2, instr</t>
        </is>
      </c>
      <c r="I5963" s="12" t="inlineStr">
        <is>
          <t>Instrumentation</t>
        </is>
      </c>
      <c r="J5963" s="12" t="inlineStr">
        <is>
          <t>Instrumentation ITC / PLTC, IS, #18 shielded pairs, blue jacket</t>
        </is>
      </c>
      <c r="K5963" s="12" t="inlineStr">
        <is>
          <t>ITC|24 pr|18</t>
        </is>
      </c>
      <c r="L5963" s="12" t="inlineStr">
        <is>
          <t>24 pr</t>
        </is>
      </c>
      <c r="M5963" s="12" t="inlineStr">
        <is>
          <t>18</t>
        </is>
      </c>
      <c r="N5963" s="12" t="n">
        <v>1</v>
      </c>
      <c r="O5963" s="12" t="n">
        <v>1</v>
      </c>
      <c r="P5963" s="12" t="n"/>
      <c r="Q5963" s="12" t="n"/>
      <c r="R5963" s="12" t="n"/>
      <c r="S5963" s="12" t="inlineStr">
        <is>
          <t>Duct bank</t>
        </is>
      </c>
      <c r="T5963" s="15" t="n">
        <v>53</v>
      </c>
      <c r="U5963" s="15" t="n">
        <v>62</v>
      </c>
      <c r="V5963" s="15">
        <f>ROUNDUP((T5963+U5963+2*'Read Me'!$B$13)*(1+'Read Me'!$B$12),-1)</f>
        <v/>
      </c>
      <c r="W5963" s="15">
        <f>V5963*N5963*O5963</f>
        <v/>
      </c>
      <c r="X5963" s="12">
        <f>IF(LEFT(I5963,2)="MV",2*N5963*IF(L5963="1/C",O5963,1),0)</f>
        <v/>
      </c>
      <c r="Y5963" s="12">
        <f>IF(OR(LEFT(K5963,4)="LVAX",LEFT(K5963,6)="MV15AX",LEFT(K5963,4)="CTAX",LEFT(K5963,2)="W|"),2*N5963*O5963,0)</f>
        <v/>
      </c>
      <c r="Z5963" s="12" t="inlineStr"/>
      <c r="AA5963" s="12">
        <f>N5963*O5963</f>
        <v/>
      </c>
    </row>
    <row r="5964">
      <c r="A5964" s="12" t="inlineStr">
        <is>
          <t>K-I-0085</t>
        </is>
      </c>
      <c r="B5964" s="12" t="inlineStr">
        <is>
          <t>K</t>
        </is>
      </c>
      <c r="C5964" s="12" t="inlineStr">
        <is>
          <t>Fuel supply (adjacent market)</t>
        </is>
      </c>
      <c r="D5964" s="12" t="inlineStr">
        <is>
          <t>Instrumentation</t>
        </is>
      </c>
      <c r="E5964" s="12" t="inlineStr"/>
      <c r="F5964" s="12" t="inlineStr">
        <is>
          <t>H2 20: 13.8 kV e-house</t>
        </is>
      </c>
      <c r="G5964" s="12" t="inlineStr">
        <is>
          <t>H2-ST</t>
        </is>
      </c>
      <c r="H5964" s="12" t="inlineStr">
        <is>
          <t>H2 storage tube banks x4</t>
        </is>
      </c>
      <c r="I5964" s="12" t="inlineStr">
        <is>
          <t>Instrumentation</t>
        </is>
      </c>
      <c r="J5964" s="12" t="inlineStr">
        <is>
          <t>Instrumentation ITC / PLTC, IS, #18 shielded pairs, blue jacket</t>
        </is>
      </c>
      <c r="K5964" s="12" t="inlineStr">
        <is>
          <t>ITC|4 pr|18</t>
        </is>
      </c>
      <c r="L5964" s="12" t="inlineStr">
        <is>
          <t>4 pr</t>
        </is>
      </c>
      <c r="M5964" s="12" t="inlineStr">
        <is>
          <t>18</t>
        </is>
      </c>
      <c r="N5964" s="12" t="n">
        <v>1</v>
      </c>
      <c r="O5964" s="12" t="n">
        <v>1</v>
      </c>
      <c r="P5964" s="12" t="n"/>
      <c r="Q5964" s="12" t="n"/>
      <c r="R5964" s="12" t="n"/>
      <c r="S5964" s="12" t="inlineStr">
        <is>
          <t>Duct bank</t>
        </is>
      </c>
      <c r="T5964" s="15" t="n">
        <v>50</v>
      </c>
      <c r="U5964" s="15" t="n">
        <v>92</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K-I-0086</t>
        </is>
      </c>
      <c r="B5965" s="12" t="inlineStr">
        <is>
          <t>K</t>
        </is>
      </c>
      <c r="C5965" s="12" t="inlineStr">
        <is>
          <t>Fuel supply (adjacent market)</t>
        </is>
      </c>
      <c r="D5965" s="12" t="inlineStr">
        <is>
          <t>Instrumentation</t>
        </is>
      </c>
      <c r="E5965" s="12" t="inlineStr"/>
      <c r="F5965" s="12" t="inlineStr">
        <is>
          <t>H2 20: 13.8 kV e-house</t>
        </is>
      </c>
      <c r="G5965" s="12" t="inlineStr">
        <is>
          <t>H2R</t>
        </is>
      </c>
      <c r="H5965" s="12" t="inlineStr">
        <is>
          <t>H2R: hydrogen pipeline receiving station (pig receiver, filters, meter</t>
        </is>
      </c>
      <c r="I5965" s="12" t="inlineStr">
        <is>
          <t>Instrumentation</t>
        </is>
      </c>
      <c r="J5965" s="12" t="inlineStr">
        <is>
          <t>Instrumentation ITC / PLTC, IS, #18 shielded pairs, blue jacket</t>
        </is>
      </c>
      <c r="K5965" s="12" t="inlineStr">
        <is>
          <t>ITC|4 pr|18</t>
        </is>
      </c>
      <c r="L5965" s="12" t="inlineStr">
        <is>
          <t>4 pr</t>
        </is>
      </c>
      <c r="M5965" s="12" t="inlineStr">
        <is>
          <t>18</t>
        </is>
      </c>
      <c r="N5965" s="12" t="n">
        <v>1</v>
      </c>
      <c r="O5965" s="12" t="n">
        <v>1</v>
      </c>
      <c r="P5965" s="12" t="n"/>
      <c r="Q5965" s="12" t="n"/>
      <c r="R5965" s="12" t="n"/>
      <c r="S5965" s="12" t="inlineStr">
        <is>
          <t>Duct bank</t>
        </is>
      </c>
      <c r="T5965" s="15" t="n">
        <v>40</v>
      </c>
      <c r="U5965" s="15" t="n">
        <v>32</v>
      </c>
      <c r="V5965" s="15">
        <f>ROUNDUP((T5965+U5965+2*'Read Me'!$B$13)*(1+'Read Me'!$B$12),-1)</f>
        <v/>
      </c>
      <c r="W5965" s="15">
        <f>V5965*N5965*O5965</f>
        <v/>
      </c>
      <c r="X5965" s="12">
        <f>IF(LEFT(I5965,2)="MV",2*N5965*IF(L5965="1/C",O5965,1),0)</f>
        <v/>
      </c>
      <c r="Y5965" s="12">
        <f>IF(OR(LEFT(K5965,4)="LVAX",LEFT(K5965,6)="MV15AX",LEFT(K5965,4)="CTAX",LEFT(K5965,2)="W|"),2*N5965*O5965,0)</f>
        <v/>
      </c>
      <c r="Z5965" s="12" t="inlineStr"/>
      <c r="AA5965" s="12">
        <f>N5965*O5965</f>
        <v/>
      </c>
    </row>
    <row r="5966">
      <c r="A5966" s="12" t="inlineStr">
        <is>
          <t>K-I-0087</t>
        </is>
      </c>
      <c r="B5966" s="12" t="inlineStr">
        <is>
          <t>K</t>
        </is>
      </c>
      <c r="C5966" s="12" t="inlineStr">
        <is>
          <t>Fuel supply (adjacent market)</t>
        </is>
      </c>
      <c r="D5966" s="12" t="inlineStr">
        <is>
          <t>Analog instrument to JB JB-LNG 10: truck unlo-AI01: 12 x 1 pr (field cables)</t>
        </is>
      </c>
      <c r="E5966" s="12" t="inlineStr"/>
      <c r="F5966" s="12" t="inlineStr">
        <is>
          <t>LNG 10: truck unloading bay 1</t>
        </is>
      </c>
      <c r="G5966" s="12" t="inlineStr">
        <is>
          <t>JB-LNG 10: truck unlo-AI01</t>
        </is>
      </c>
      <c r="H5966" s="12" t="inlineStr">
        <is>
          <t>LNG 10: truck unloading bay 1</t>
        </is>
      </c>
      <c r="I5966" s="12" t="inlineStr">
        <is>
          <t>Instrumentation</t>
        </is>
      </c>
      <c r="J5966" s="12" t="inlineStr">
        <is>
          <t>Instrumentation ITC / PLTC, IS, #18 shielded pairs, blue jacket</t>
        </is>
      </c>
      <c r="K5966" s="12" t="inlineStr">
        <is>
          <t>ITC|1 pr|16</t>
        </is>
      </c>
      <c r="L5966" s="12" t="inlineStr">
        <is>
          <t>1 pr</t>
        </is>
      </c>
      <c r="M5966" s="12" t="inlineStr">
        <is>
          <t>16</t>
        </is>
      </c>
      <c r="N5966" s="12" t="n">
        <v>12</v>
      </c>
      <c r="O5966" s="12" t="n">
        <v>1</v>
      </c>
      <c r="P5966" s="12" t="n"/>
      <c r="Q5966" s="12" t="n"/>
      <c r="R5966" s="12" t="n"/>
      <c r="S5966" s="12" t="inlineStr">
        <is>
          <t>Tray / conduit</t>
        </is>
      </c>
      <c r="T5966" s="15" t="n">
        <v>80</v>
      </c>
      <c r="U5966" s="15" t="n">
        <v>10</v>
      </c>
      <c r="V5966" s="15">
        <f>ROUNDUP((T5966+U5966+2*'Read Me'!$B$13)*(1+'Read Me'!$B$12),-1)</f>
        <v/>
      </c>
      <c r="W5966" s="15">
        <f>V5966*N5966*O5966</f>
        <v/>
      </c>
      <c r="X5966" s="12">
        <f>IF(LEFT(I5966,2)="MV",2*N5966*IF(L5966="1/C",O5966,1),0)</f>
        <v/>
      </c>
      <c r="Y5966" s="12">
        <f>IF(OR(LEFT(K5966,4)="LVAX",LEFT(K5966,6)="MV15AX",LEFT(K5966,4)="CTAX",LEFT(K5966,2)="W|"),2*N5966*O5966,0)</f>
        <v/>
      </c>
      <c r="Z5966" s="12" t="inlineStr">
        <is>
          <t>device-to-JB field wiring, one cable per device</t>
        </is>
      </c>
      <c r="AA5966" s="12">
        <f>N5966*O5966</f>
        <v/>
      </c>
    </row>
    <row r="5967">
      <c r="A5967" s="12" t="inlineStr">
        <is>
          <t>K-I-0088</t>
        </is>
      </c>
      <c r="B5967" s="12" t="inlineStr">
        <is>
          <t>K</t>
        </is>
      </c>
      <c r="C5967" s="12" t="inlineStr">
        <is>
          <t>Fuel supply (adjacent market)</t>
        </is>
      </c>
      <c r="D5967" s="12" t="inlineStr">
        <is>
          <t>Home run JB-LNG 10: truck unlo-AI01 to the control / marshalling room</t>
        </is>
      </c>
      <c r="E5967" s="12" t="inlineStr"/>
      <c r="F5967" s="12" t="inlineStr">
        <is>
          <t>LNG 17: LNG e-house (13.8 kV / 480 V)</t>
        </is>
      </c>
      <c r="G5967" s="12" t="inlineStr">
        <is>
          <t>JB-LNG 10: truck unlo-AI01</t>
        </is>
      </c>
      <c r="H5967" s="12" t="inlineStr">
        <is>
          <t>LNG 10: truck unloading bay 1</t>
        </is>
      </c>
      <c r="I5967" s="12" t="inlineStr">
        <is>
          <t>Instrumentation</t>
        </is>
      </c>
      <c r="J5967" s="12" t="inlineStr">
        <is>
          <t>Instrumentation ITC / PLTC, IS, #18 shielded pairs, blue jacket</t>
        </is>
      </c>
      <c r="K5967" s="12" t="inlineStr">
        <is>
          <t>ITC|24 pr|18</t>
        </is>
      </c>
      <c r="L5967" s="12" t="inlineStr">
        <is>
          <t>24 pr</t>
        </is>
      </c>
      <c r="M5967" s="12" t="inlineStr">
        <is>
          <t>18</t>
        </is>
      </c>
      <c r="N5967" s="12" t="n">
        <v>1</v>
      </c>
      <c r="O5967" s="12" t="n">
        <v>1</v>
      </c>
      <c r="P5967" s="12" t="n"/>
      <c r="Q5967" s="12" t="n"/>
      <c r="R5967" s="12" t="n"/>
      <c r="S5967" s="12" t="inlineStr">
        <is>
          <t>Duct bank</t>
        </is>
      </c>
      <c r="T5967" s="15" t="n">
        <v>237</v>
      </c>
      <c r="U5967" s="15" t="n">
        <v>61</v>
      </c>
      <c r="V5967" s="15">
        <f>ROUNDUP((T5967+U5967+2*'Read Me'!$B$13)*(1+'Read Me'!$B$12),-1)</f>
        <v/>
      </c>
      <c r="W5967" s="15">
        <f>V5967*N5967*O5967</f>
        <v/>
      </c>
      <c r="X5967" s="12">
        <f>IF(LEFT(I5967,2)="MV",2*N5967*IF(L5967="1/C",O5967,1),0)</f>
        <v/>
      </c>
      <c r="Y5967" s="12">
        <f>IF(OR(LEFT(K5967,4)="LVAX",LEFT(K5967,6)="MV15AX",LEFT(K5967,4)="CTAX",LEFT(K5967,2)="W|"),2*N5967*O5967,0)</f>
        <v/>
      </c>
      <c r="Z5967" s="12" t="inlineStr"/>
      <c r="AA5967" s="12">
        <f>N5967*O5967</f>
        <v/>
      </c>
    </row>
    <row r="5968">
      <c r="A5968" s="12" t="inlineStr">
        <is>
          <t>K-I-0089</t>
        </is>
      </c>
      <c r="B5968" s="12" t="inlineStr">
        <is>
          <t>K</t>
        </is>
      </c>
      <c r="C5968" s="12" t="inlineStr">
        <is>
          <t>Fuel supply (adjacent market)</t>
        </is>
      </c>
      <c r="D5968" s="12" t="inlineStr">
        <is>
          <t>Discrete device to JB JB-LNG 10: truck unlo-DI01: 12 x 1 pr (field cables)</t>
        </is>
      </c>
      <c r="E5968" s="12" t="inlineStr"/>
      <c r="F5968" s="12" t="inlineStr">
        <is>
          <t>LNG 10: truck unloading bay 1</t>
        </is>
      </c>
      <c r="G5968" s="12" t="inlineStr">
        <is>
          <t>JB-LNG 10: truck unlo-DI01</t>
        </is>
      </c>
      <c r="H5968" s="12" t="inlineStr">
        <is>
          <t>LNG 10: truck unloading bay 1</t>
        </is>
      </c>
      <c r="I5968" s="12" t="inlineStr">
        <is>
          <t>Instrumentation</t>
        </is>
      </c>
      <c r="J5968" s="12" t="inlineStr">
        <is>
          <t>Instrumentation ITC / PLTC, IS, #18 shielded pairs, blue jacket</t>
        </is>
      </c>
      <c r="K5968" s="12" t="inlineStr">
        <is>
          <t>ITC|1 pr|16</t>
        </is>
      </c>
      <c r="L5968" s="12" t="inlineStr">
        <is>
          <t>1 pr</t>
        </is>
      </c>
      <c r="M5968" s="12" t="inlineStr">
        <is>
          <t>16</t>
        </is>
      </c>
      <c r="N5968" s="12" t="n">
        <v>12</v>
      </c>
      <c r="O5968" s="12" t="n">
        <v>1</v>
      </c>
      <c r="P5968" s="12" t="n"/>
      <c r="Q5968" s="12" t="n"/>
      <c r="R5968" s="12" t="n"/>
      <c r="S5968" s="12" t="inlineStr">
        <is>
          <t>Tray / conduit</t>
        </is>
      </c>
      <c r="T5968" s="15" t="n">
        <v>80</v>
      </c>
      <c r="U5968" s="15" t="n">
        <v>10</v>
      </c>
      <c r="V5968" s="15">
        <f>ROUNDUP((T5968+U5968+2*'Read Me'!$B$13)*(1+'Read Me'!$B$12),-1)</f>
        <v/>
      </c>
      <c r="W5968" s="15">
        <f>V5968*N5968*O5968</f>
        <v/>
      </c>
      <c r="X5968" s="12">
        <f>IF(LEFT(I5968,2)="MV",2*N5968*IF(L5968="1/C",O5968,1),0)</f>
        <v/>
      </c>
      <c r="Y5968" s="12">
        <f>IF(OR(LEFT(K5968,4)="LVAX",LEFT(K5968,6)="MV15AX",LEFT(K5968,4)="CTAX",LEFT(K5968,2)="W|"),2*N5968*O5968,0)</f>
        <v/>
      </c>
      <c r="Z5968" s="12" t="inlineStr">
        <is>
          <t>device-to-JB field wiring, one cable per device</t>
        </is>
      </c>
      <c r="AA5968" s="12">
        <f>N5968*O5968</f>
        <v/>
      </c>
    </row>
    <row r="5969">
      <c r="A5969" s="12" t="inlineStr">
        <is>
          <t>K-I-0090</t>
        </is>
      </c>
      <c r="B5969" s="12" t="inlineStr">
        <is>
          <t>K</t>
        </is>
      </c>
      <c r="C5969" s="12" t="inlineStr">
        <is>
          <t>Fuel supply (adjacent market)</t>
        </is>
      </c>
      <c r="D5969" s="12" t="inlineStr">
        <is>
          <t>Home run JB-LNG 10: truck unlo-DI01 to the control / marshalling room</t>
        </is>
      </c>
      <c r="E5969" s="12" t="inlineStr"/>
      <c r="F5969" s="12" t="inlineStr">
        <is>
          <t>LNG 17: LNG e-house (13.8 kV / 480 V)</t>
        </is>
      </c>
      <c r="G5969" s="12" t="inlineStr">
        <is>
          <t>JB-LNG 10: truck unlo-DI01</t>
        </is>
      </c>
      <c r="H5969" s="12" t="inlineStr">
        <is>
          <t>LNG 10: truck unloading bay 1</t>
        </is>
      </c>
      <c r="I5969" s="12" t="inlineStr">
        <is>
          <t>Instrumentation</t>
        </is>
      </c>
      <c r="J5969" s="12" t="inlineStr">
        <is>
          <t>Instrumentation ITC / PLTC, IS, #18 shielded pairs, blue jacket</t>
        </is>
      </c>
      <c r="K5969" s="12" t="inlineStr">
        <is>
          <t>ITC|24 pr|18</t>
        </is>
      </c>
      <c r="L5969" s="12" t="inlineStr">
        <is>
          <t>24 pr</t>
        </is>
      </c>
      <c r="M5969" s="12" t="inlineStr">
        <is>
          <t>18</t>
        </is>
      </c>
      <c r="N5969" s="12" t="n">
        <v>1</v>
      </c>
      <c r="O5969" s="12" t="n">
        <v>1</v>
      </c>
      <c r="P5969" s="12" t="n"/>
      <c r="Q5969" s="12" t="n"/>
      <c r="R5969" s="12" t="n"/>
      <c r="S5969" s="12" t="inlineStr">
        <is>
          <t>Duct bank</t>
        </is>
      </c>
      <c r="T5969" s="15" t="n">
        <v>237</v>
      </c>
      <c r="U5969" s="15" t="n">
        <v>61</v>
      </c>
      <c r="V5969" s="15">
        <f>ROUNDUP((T5969+U5969+2*'Read Me'!$B$13)*(1+'Read Me'!$B$12),-1)</f>
        <v/>
      </c>
      <c r="W5969" s="15">
        <f>V5969*N5969*O5969</f>
        <v/>
      </c>
      <c r="X5969" s="12">
        <f>IF(LEFT(I5969,2)="MV",2*N5969*IF(L5969="1/C",O5969,1),0)</f>
        <v/>
      </c>
      <c r="Y5969" s="12">
        <f>IF(OR(LEFT(K5969,4)="LVAX",LEFT(K5969,6)="MV15AX",LEFT(K5969,4)="CTAX",LEFT(K5969,2)="W|"),2*N5969*O5969,0)</f>
        <v/>
      </c>
      <c r="Z5969" s="12" t="inlineStr"/>
      <c r="AA5969" s="12">
        <f>N5969*O5969</f>
        <v/>
      </c>
    </row>
    <row r="5970">
      <c r="A5970" s="12" t="inlineStr">
        <is>
          <t>K-I-0091</t>
        </is>
      </c>
      <c r="B5970" s="12" t="inlineStr">
        <is>
          <t>K</t>
        </is>
      </c>
      <c r="C5970" s="12" t="inlineStr">
        <is>
          <t>Fuel supply (adjacent market)</t>
        </is>
      </c>
      <c r="D5970" s="12" t="inlineStr">
        <is>
          <t>Analog instrument to JB JB-LNG 10: truck unlo-AI01: 12 x 1 pr (field cables)</t>
        </is>
      </c>
      <c r="E5970" s="12" t="inlineStr"/>
      <c r="F5970" s="12" t="inlineStr">
        <is>
          <t>LNG 10: truck unloading bay 2</t>
        </is>
      </c>
      <c r="G5970" s="12" t="inlineStr">
        <is>
          <t>JB-LNG 10: truck unlo-AI01</t>
        </is>
      </c>
      <c r="H5970" s="12" t="inlineStr">
        <is>
          <t>LNG 10: truck unloading bay 2</t>
        </is>
      </c>
      <c r="I5970" s="12" t="inlineStr">
        <is>
          <t>Instrumentation</t>
        </is>
      </c>
      <c r="J5970" s="12" t="inlineStr">
        <is>
          <t>Instrumentation ITC / PLTC, IS, #18 shielded pairs, blue jacket</t>
        </is>
      </c>
      <c r="K5970" s="12" t="inlineStr">
        <is>
          <t>ITC|1 pr|16</t>
        </is>
      </c>
      <c r="L5970" s="12" t="inlineStr">
        <is>
          <t>1 pr</t>
        </is>
      </c>
      <c r="M5970" s="12" t="inlineStr">
        <is>
          <t>16</t>
        </is>
      </c>
      <c r="N5970" s="12" t="n">
        <v>12</v>
      </c>
      <c r="O5970" s="12" t="n">
        <v>1</v>
      </c>
      <c r="P5970" s="12" t="n"/>
      <c r="Q5970" s="12" t="n"/>
      <c r="R5970" s="12" t="n"/>
      <c r="S5970" s="12" t="inlineStr">
        <is>
          <t>Tray / conduit</t>
        </is>
      </c>
      <c r="T5970" s="15" t="n">
        <v>80</v>
      </c>
      <c r="U5970" s="15" t="n">
        <v>10</v>
      </c>
      <c r="V5970" s="15">
        <f>ROUNDUP((T5970+U5970+2*'Read Me'!$B$13)*(1+'Read Me'!$B$12),-1)</f>
        <v/>
      </c>
      <c r="W5970" s="15">
        <f>V5970*N5970*O5970</f>
        <v/>
      </c>
      <c r="X5970" s="12">
        <f>IF(LEFT(I5970,2)="MV",2*N5970*IF(L5970="1/C",O5970,1),0)</f>
        <v/>
      </c>
      <c r="Y5970" s="12">
        <f>IF(OR(LEFT(K5970,4)="LVAX",LEFT(K5970,6)="MV15AX",LEFT(K5970,4)="CTAX",LEFT(K5970,2)="W|"),2*N5970*O5970,0)</f>
        <v/>
      </c>
      <c r="Z5970" s="12" t="inlineStr">
        <is>
          <t>device-to-JB field wiring, one cable per device</t>
        </is>
      </c>
      <c r="AA5970" s="12">
        <f>N5970*O5970</f>
        <v/>
      </c>
    </row>
    <row r="5971">
      <c r="A5971" s="12" t="inlineStr">
        <is>
          <t>K-I-0092</t>
        </is>
      </c>
      <c r="B5971" s="12" t="inlineStr">
        <is>
          <t>K</t>
        </is>
      </c>
      <c r="C5971" s="12" t="inlineStr">
        <is>
          <t>Fuel supply (adjacent market)</t>
        </is>
      </c>
      <c r="D5971" s="12" t="inlineStr">
        <is>
          <t>Home run JB-LNG 10: truck unlo-AI01 to the control / marshalling room</t>
        </is>
      </c>
      <c r="E5971" s="12" t="inlineStr"/>
      <c r="F5971" s="12" t="inlineStr">
        <is>
          <t>LNG 17: LNG e-house (13.8 kV / 480 V)</t>
        </is>
      </c>
      <c r="G5971" s="12" t="inlineStr">
        <is>
          <t>JB-LNG 10: truck unlo-AI01</t>
        </is>
      </c>
      <c r="H5971" s="12" t="inlineStr">
        <is>
          <t>LNG 10: truck unloading bay 2</t>
        </is>
      </c>
      <c r="I5971" s="12" t="inlineStr">
        <is>
          <t>Instrumentation</t>
        </is>
      </c>
      <c r="J5971" s="12" t="inlineStr">
        <is>
          <t>Instrumentation ITC / PLTC, IS, #18 shielded pairs, blue jacket</t>
        </is>
      </c>
      <c r="K5971" s="12" t="inlineStr">
        <is>
          <t>ITC|24 pr|18</t>
        </is>
      </c>
      <c r="L5971" s="12" t="inlineStr">
        <is>
          <t>24 pr</t>
        </is>
      </c>
      <c r="M5971" s="12" t="inlineStr">
        <is>
          <t>18</t>
        </is>
      </c>
      <c r="N5971" s="12" t="n">
        <v>1</v>
      </c>
      <c r="O5971" s="12" t="n">
        <v>1</v>
      </c>
      <c r="P5971" s="12" t="n"/>
      <c r="Q5971" s="12" t="n"/>
      <c r="R5971" s="12" t="n"/>
      <c r="S5971" s="12" t="inlineStr">
        <is>
          <t>Duct bank</t>
        </is>
      </c>
      <c r="T5971" s="15" t="n">
        <v>147</v>
      </c>
      <c r="U5971" s="15" t="n">
        <v>66</v>
      </c>
      <c r="V5971" s="15">
        <f>ROUNDUP((T5971+U5971+2*'Read Me'!$B$13)*(1+'Read Me'!$B$12),-1)</f>
        <v/>
      </c>
      <c r="W5971" s="15">
        <f>V5971*N5971*O5971</f>
        <v/>
      </c>
      <c r="X5971" s="12">
        <f>IF(LEFT(I5971,2)="MV",2*N5971*IF(L5971="1/C",O5971,1),0)</f>
        <v/>
      </c>
      <c r="Y5971" s="12">
        <f>IF(OR(LEFT(K5971,4)="LVAX",LEFT(K5971,6)="MV15AX",LEFT(K5971,4)="CTAX",LEFT(K5971,2)="W|"),2*N5971*O5971,0)</f>
        <v/>
      </c>
      <c r="Z5971" s="12" t="inlineStr"/>
      <c r="AA5971" s="12">
        <f>N5971*O5971</f>
        <v/>
      </c>
    </row>
    <row r="5972">
      <c r="A5972" s="12" t="inlineStr">
        <is>
          <t>K-I-0093</t>
        </is>
      </c>
      <c r="B5972" s="12" t="inlineStr">
        <is>
          <t>K</t>
        </is>
      </c>
      <c r="C5972" s="12" t="inlineStr">
        <is>
          <t>Fuel supply (adjacent market)</t>
        </is>
      </c>
      <c r="D5972" s="12" t="inlineStr">
        <is>
          <t>Discrete device to JB JB-LNG 10: truck unlo-DI01: 12 x 1 pr (field cables)</t>
        </is>
      </c>
      <c r="E5972" s="12" t="inlineStr"/>
      <c r="F5972" s="12" t="inlineStr">
        <is>
          <t>LNG 10: truck unloading bay 2</t>
        </is>
      </c>
      <c r="G5972" s="12" t="inlineStr">
        <is>
          <t>JB-LNG 10: truck unlo-DI01</t>
        </is>
      </c>
      <c r="H5972" s="12" t="inlineStr">
        <is>
          <t>LNG 10: truck unloading bay 2</t>
        </is>
      </c>
      <c r="I5972" s="12" t="inlineStr">
        <is>
          <t>Instrumentation</t>
        </is>
      </c>
      <c r="J5972" s="12" t="inlineStr">
        <is>
          <t>Instrumentation ITC / PLTC, IS, #18 shielded pairs, blue jacket</t>
        </is>
      </c>
      <c r="K5972" s="12" t="inlineStr">
        <is>
          <t>ITC|1 pr|16</t>
        </is>
      </c>
      <c r="L5972" s="12" t="inlineStr">
        <is>
          <t>1 pr</t>
        </is>
      </c>
      <c r="M5972" s="12" t="inlineStr">
        <is>
          <t>16</t>
        </is>
      </c>
      <c r="N5972" s="12" t="n">
        <v>12</v>
      </c>
      <c r="O5972" s="12" t="n">
        <v>1</v>
      </c>
      <c r="P5972" s="12" t="n"/>
      <c r="Q5972" s="12" t="n"/>
      <c r="R5972" s="12" t="n"/>
      <c r="S5972" s="12" t="inlineStr">
        <is>
          <t>Tray / conduit</t>
        </is>
      </c>
      <c r="T5972" s="15" t="n">
        <v>80</v>
      </c>
      <c r="U5972" s="15" t="n">
        <v>10</v>
      </c>
      <c r="V5972" s="15">
        <f>ROUNDUP((T5972+U5972+2*'Read Me'!$B$13)*(1+'Read Me'!$B$12),-1)</f>
        <v/>
      </c>
      <c r="W5972" s="15">
        <f>V5972*N5972*O5972</f>
        <v/>
      </c>
      <c r="X5972" s="12">
        <f>IF(LEFT(I5972,2)="MV",2*N5972*IF(L5972="1/C",O5972,1),0)</f>
        <v/>
      </c>
      <c r="Y5972" s="12">
        <f>IF(OR(LEFT(K5972,4)="LVAX",LEFT(K5972,6)="MV15AX",LEFT(K5972,4)="CTAX",LEFT(K5972,2)="W|"),2*N5972*O5972,0)</f>
        <v/>
      </c>
      <c r="Z5972" s="12" t="inlineStr">
        <is>
          <t>device-to-JB field wiring, one cable per device</t>
        </is>
      </c>
      <c r="AA5972" s="12">
        <f>N5972*O5972</f>
        <v/>
      </c>
    </row>
    <row r="5973">
      <c r="A5973" s="12" t="inlineStr">
        <is>
          <t>K-I-0094</t>
        </is>
      </c>
      <c r="B5973" s="12" t="inlineStr">
        <is>
          <t>K</t>
        </is>
      </c>
      <c r="C5973" s="12" t="inlineStr">
        <is>
          <t>Fuel supply (adjacent market)</t>
        </is>
      </c>
      <c r="D5973" s="12" t="inlineStr">
        <is>
          <t>Home run JB-LNG 10: truck unlo-DI01 to the control / marshalling room</t>
        </is>
      </c>
      <c r="E5973" s="12" t="inlineStr"/>
      <c r="F5973" s="12" t="inlineStr">
        <is>
          <t>LNG 17: LNG e-house (13.8 kV / 480 V)</t>
        </is>
      </c>
      <c r="G5973" s="12" t="inlineStr">
        <is>
          <t>JB-LNG 10: truck unlo-DI01</t>
        </is>
      </c>
      <c r="H5973" s="12" t="inlineStr">
        <is>
          <t>LNG 10: truck unloading bay 2</t>
        </is>
      </c>
      <c r="I5973" s="12" t="inlineStr">
        <is>
          <t>Instrumentation</t>
        </is>
      </c>
      <c r="J5973" s="12" t="inlineStr">
        <is>
          <t>Instrumentation ITC / PLTC, IS, #18 shielded pairs, blue jacket</t>
        </is>
      </c>
      <c r="K5973" s="12" t="inlineStr">
        <is>
          <t>ITC|24 pr|18</t>
        </is>
      </c>
      <c r="L5973" s="12" t="inlineStr">
        <is>
          <t>24 pr</t>
        </is>
      </c>
      <c r="M5973" s="12" t="inlineStr">
        <is>
          <t>18</t>
        </is>
      </c>
      <c r="N5973" s="12" t="n">
        <v>1</v>
      </c>
      <c r="O5973" s="12" t="n">
        <v>1</v>
      </c>
      <c r="P5973" s="12" t="n"/>
      <c r="Q5973" s="12" t="n"/>
      <c r="R5973" s="12" t="n"/>
      <c r="S5973" s="12" t="inlineStr">
        <is>
          <t>Duct bank</t>
        </is>
      </c>
      <c r="T5973" s="15" t="n">
        <v>147</v>
      </c>
      <c r="U5973" s="15" t="n">
        <v>66</v>
      </c>
      <c r="V5973" s="15">
        <f>ROUNDUP((T5973+U5973+2*'Read Me'!$B$13)*(1+'Read Me'!$B$12),-1)</f>
        <v/>
      </c>
      <c r="W5973" s="15">
        <f>V5973*N5973*O5973</f>
        <v/>
      </c>
      <c r="X5973" s="12">
        <f>IF(LEFT(I5973,2)="MV",2*N5973*IF(L5973="1/C",O5973,1),0)</f>
        <v/>
      </c>
      <c r="Y5973" s="12">
        <f>IF(OR(LEFT(K5973,4)="LVAX",LEFT(K5973,6)="MV15AX",LEFT(K5973,4)="CTAX",LEFT(K5973,2)="W|"),2*N5973*O5973,0)</f>
        <v/>
      </c>
      <c r="Z5973" s="12" t="inlineStr"/>
      <c r="AA5973" s="12">
        <f>N5973*O5973</f>
        <v/>
      </c>
    </row>
    <row r="5974">
      <c r="A5974" s="12" t="inlineStr">
        <is>
          <t>K-I-0095</t>
        </is>
      </c>
      <c r="B5974" s="12" t="inlineStr">
        <is>
          <t>K</t>
        </is>
      </c>
      <c r="C5974" s="12" t="inlineStr">
        <is>
          <t>Fuel supply (adjacent market)</t>
        </is>
      </c>
      <c r="D5974" s="12" t="inlineStr">
        <is>
          <t>Analog instrument to JB JB-LNG 10: unloading -AI01: 12 x 1 pr (field cables)</t>
        </is>
      </c>
      <c r="E5974" s="12" t="inlineStr"/>
      <c r="F5974" s="12" t="inlineStr">
        <is>
          <t>LNG 10: unloading skid</t>
        </is>
      </c>
      <c r="G5974" s="12" t="inlineStr">
        <is>
          <t>JB-LNG 10: unloading -AI01</t>
        </is>
      </c>
      <c r="H5974" s="12" t="inlineStr">
        <is>
          <t>LNG 10: unloading skid</t>
        </is>
      </c>
      <c r="I5974" s="12" t="inlineStr">
        <is>
          <t>Instrumentation</t>
        </is>
      </c>
      <c r="J5974" s="12" t="inlineStr">
        <is>
          <t>Instrumentation ITC / PLTC, IS, #18 shielded pairs, blue jacket</t>
        </is>
      </c>
      <c r="K5974" s="12" t="inlineStr">
        <is>
          <t>ITC|1 pr|16</t>
        </is>
      </c>
      <c r="L5974" s="12" t="inlineStr">
        <is>
          <t>1 pr</t>
        </is>
      </c>
      <c r="M5974" s="12" t="inlineStr">
        <is>
          <t>16</t>
        </is>
      </c>
      <c r="N5974" s="12" t="n">
        <v>12</v>
      </c>
      <c r="O5974" s="12" t="n">
        <v>1</v>
      </c>
      <c r="P5974" s="12" t="n"/>
      <c r="Q5974" s="12" t="n"/>
      <c r="R5974" s="12" t="n"/>
      <c r="S5974" s="12" t="inlineStr">
        <is>
          <t>Tray / conduit</t>
        </is>
      </c>
      <c r="T5974" s="15" t="n">
        <v>54</v>
      </c>
      <c r="U5974" s="15" t="n">
        <v>10</v>
      </c>
      <c r="V5974" s="15">
        <f>ROUNDUP((T5974+U5974+2*'Read Me'!$B$13)*(1+'Read Me'!$B$12),-1)</f>
        <v/>
      </c>
      <c r="W5974" s="15">
        <f>V5974*N5974*O5974</f>
        <v/>
      </c>
      <c r="X5974" s="12">
        <f>IF(LEFT(I5974,2)="MV",2*N5974*IF(L5974="1/C",O5974,1),0)</f>
        <v/>
      </c>
      <c r="Y5974" s="12">
        <f>IF(OR(LEFT(K5974,4)="LVAX",LEFT(K5974,6)="MV15AX",LEFT(K5974,4)="CTAX",LEFT(K5974,2)="W|"),2*N5974*O5974,0)</f>
        <v/>
      </c>
      <c r="Z5974" s="12" t="inlineStr">
        <is>
          <t>device-to-JB field wiring, one cable per device</t>
        </is>
      </c>
      <c r="AA5974" s="12">
        <f>N5974*O5974</f>
        <v/>
      </c>
    </row>
    <row r="5975">
      <c r="A5975" s="12" t="inlineStr">
        <is>
          <t>K-I-0096</t>
        </is>
      </c>
      <c r="B5975" s="12" t="inlineStr">
        <is>
          <t>K</t>
        </is>
      </c>
      <c r="C5975" s="12" t="inlineStr">
        <is>
          <t>Fuel supply (adjacent market)</t>
        </is>
      </c>
      <c r="D5975" s="12" t="inlineStr">
        <is>
          <t>Home run JB-LNG 10: unloading -AI01 to the control / marshalling room</t>
        </is>
      </c>
      <c r="E5975" s="12" t="inlineStr"/>
      <c r="F5975" s="12" t="inlineStr">
        <is>
          <t>LNG 17: LNG e-house (13.8 kV / 480 V)</t>
        </is>
      </c>
      <c r="G5975" s="12" t="inlineStr">
        <is>
          <t>JB-LNG 10: unloading -AI01</t>
        </is>
      </c>
      <c r="H5975" s="12" t="inlineStr">
        <is>
          <t>LNG 10: unloading skid</t>
        </is>
      </c>
      <c r="I5975" s="12" t="inlineStr">
        <is>
          <t>Instrumentation</t>
        </is>
      </c>
      <c r="J5975" s="12" t="inlineStr">
        <is>
          <t>Instrumentation ITC / PLTC, IS, #18 shielded pairs, blue jacket</t>
        </is>
      </c>
      <c r="K5975" s="12" t="inlineStr">
        <is>
          <t>ITC|24 pr|18</t>
        </is>
      </c>
      <c r="L5975" s="12" t="inlineStr">
        <is>
          <t>24 pr</t>
        </is>
      </c>
      <c r="M5975" s="12" t="inlineStr">
        <is>
          <t>18</t>
        </is>
      </c>
      <c r="N5975" s="12" t="n">
        <v>1</v>
      </c>
      <c r="O5975" s="12" t="n">
        <v>1</v>
      </c>
      <c r="P5975" s="12" t="n"/>
      <c r="Q5975" s="12" t="n"/>
      <c r="R5975" s="12" t="n"/>
      <c r="S5975" s="12" t="inlineStr">
        <is>
          <t>Duct bank</t>
        </is>
      </c>
      <c r="T5975" s="15" t="n">
        <v>237</v>
      </c>
      <c r="U5975" s="15" t="n">
        <v>32</v>
      </c>
      <c r="V5975" s="15">
        <f>ROUNDUP((T5975+U5975+2*'Read Me'!$B$13)*(1+'Read Me'!$B$12),-1)</f>
        <v/>
      </c>
      <c r="W5975" s="15">
        <f>V5975*N5975*O5975</f>
        <v/>
      </c>
      <c r="X5975" s="12">
        <f>IF(LEFT(I5975,2)="MV",2*N5975*IF(L5975="1/C",O5975,1),0)</f>
        <v/>
      </c>
      <c r="Y5975" s="12">
        <f>IF(OR(LEFT(K5975,4)="LVAX",LEFT(K5975,6)="MV15AX",LEFT(K5975,4)="CTAX",LEFT(K5975,2)="W|"),2*N5975*O5975,0)</f>
        <v/>
      </c>
      <c r="Z5975" s="12" t="inlineStr"/>
      <c r="AA5975" s="12">
        <f>N5975*O5975</f>
        <v/>
      </c>
    </row>
    <row r="5976">
      <c r="A5976" s="12" t="inlineStr">
        <is>
          <t>K-I-0097</t>
        </is>
      </c>
      <c r="B5976" s="12" t="inlineStr">
        <is>
          <t>K</t>
        </is>
      </c>
      <c r="C5976" s="12" t="inlineStr">
        <is>
          <t>Fuel supply (adjacent market)</t>
        </is>
      </c>
      <c r="D5976" s="12" t="inlineStr">
        <is>
          <t>Discrete device to JB JB-LNG 10: unloading -DI01: 12 x 1 pr (field cables)</t>
        </is>
      </c>
      <c r="E5976" s="12" t="inlineStr"/>
      <c r="F5976" s="12" t="inlineStr">
        <is>
          <t>LNG 10: unloading skid</t>
        </is>
      </c>
      <c r="G5976" s="12" t="inlineStr">
        <is>
          <t>JB-LNG 10: unloading -DI01</t>
        </is>
      </c>
      <c r="H5976" s="12" t="inlineStr">
        <is>
          <t>LNG 10: unloading skid</t>
        </is>
      </c>
      <c r="I5976" s="12" t="inlineStr">
        <is>
          <t>Instrumentation</t>
        </is>
      </c>
      <c r="J5976" s="12" t="inlineStr">
        <is>
          <t>Instrumentation ITC / PLTC, IS, #18 shielded pairs, blue jacket</t>
        </is>
      </c>
      <c r="K5976" s="12" t="inlineStr">
        <is>
          <t>ITC|1 pr|16</t>
        </is>
      </c>
      <c r="L5976" s="12" t="inlineStr">
        <is>
          <t>1 pr</t>
        </is>
      </c>
      <c r="M5976" s="12" t="inlineStr">
        <is>
          <t>16</t>
        </is>
      </c>
      <c r="N5976" s="12" t="n">
        <v>12</v>
      </c>
      <c r="O5976" s="12" t="n">
        <v>1</v>
      </c>
      <c r="P5976" s="12" t="n"/>
      <c r="Q5976" s="12" t="n"/>
      <c r="R5976" s="12" t="n"/>
      <c r="S5976" s="12" t="inlineStr">
        <is>
          <t>Tray / conduit</t>
        </is>
      </c>
      <c r="T5976" s="15" t="n">
        <v>54</v>
      </c>
      <c r="U5976" s="15" t="n">
        <v>10</v>
      </c>
      <c r="V5976" s="15">
        <f>ROUNDUP((T5976+U5976+2*'Read Me'!$B$13)*(1+'Read Me'!$B$12),-1)</f>
        <v/>
      </c>
      <c r="W5976" s="15">
        <f>V5976*N5976*O5976</f>
        <v/>
      </c>
      <c r="X5976" s="12">
        <f>IF(LEFT(I5976,2)="MV",2*N5976*IF(L5976="1/C",O5976,1),0)</f>
        <v/>
      </c>
      <c r="Y5976" s="12">
        <f>IF(OR(LEFT(K5976,4)="LVAX",LEFT(K5976,6)="MV15AX",LEFT(K5976,4)="CTAX",LEFT(K5976,2)="W|"),2*N5976*O5976,0)</f>
        <v/>
      </c>
      <c r="Z5976" s="12" t="inlineStr">
        <is>
          <t>device-to-JB field wiring, one cable per device</t>
        </is>
      </c>
      <c r="AA5976" s="12">
        <f>N5976*O5976</f>
        <v/>
      </c>
    </row>
    <row r="5977">
      <c r="A5977" s="12" t="inlineStr">
        <is>
          <t>K-I-0098</t>
        </is>
      </c>
      <c r="B5977" s="12" t="inlineStr">
        <is>
          <t>K</t>
        </is>
      </c>
      <c r="C5977" s="12" t="inlineStr">
        <is>
          <t>Fuel supply (adjacent market)</t>
        </is>
      </c>
      <c r="D5977" s="12" t="inlineStr">
        <is>
          <t>Home run JB-LNG 10: unloading -DI01 to the control / marshalling room</t>
        </is>
      </c>
      <c r="E5977" s="12" t="inlineStr"/>
      <c r="F5977" s="12" t="inlineStr">
        <is>
          <t>LNG 17: LNG e-house (13.8 kV / 480 V)</t>
        </is>
      </c>
      <c r="G5977" s="12" t="inlineStr">
        <is>
          <t>JB-LNG 10: unloading -DI01</t>
        </is>
      </c>
      <c r="H5977" s="12" t="inlineStr">
        <is>
          <t>LNG 10: unloading skid</t>
        </is>
      </c>
      <c r="I5977" s="12" t="inlineStr">
        <is>
          <t>Instrumentation</t>
        </is>
      </c>
      <c r="J5977" s="12" t="inlineStr">
        <is>
          <t>Instrumentation ITC / PLTC, IS, #18 shielded pairs, blue jacket</t>
        </is>
      </c>
      <c r="K5977" s="12" t="inlineStr">
        <is>
          <t>ITC|24 pr|18</t>
        </is>
      </c>
      <c r="L5977" s="12" t="inlineStr">
        <is>
          <t>24 pr</t>
        </is>
      </c>
      <c r="M5977" s="12" t="inlineStr">
        <is>
          <t>18</t>
        </is>
      </c>
      <c r="N5977" s="12" t="n">
        <v>1</v>
      </c>
      <c r="O5977" s="12" t="n">
        <v>1</v>
      </c>
      <c r="P5977" s="12" t="n"/>
      <c r="Q5977" s="12" t="n"/>
      <c r="R5977" s="12" t="n"/>
      <c r="S5977" s="12" t="inlineStr">
        <is>
          <t>Duct bank</t>
        </is>
      </c>
      <c r="T5977" s="15" t="n">
        <v>237</v>
      </c>
      <c r="U5977" s="15" t="n">
        <v>32</v>
      </c>
      <c r="V5977" s="15">
        <f>ROUNDUP((T5977+U5977+2*'Read Me'!$B$13)*(1+'Read Me'!$B$12),-1)</f>
        <v/>
      </c>
      <c r="W5977" s="15">
        <f>V5977*N5977*O5977</f>
        <v/>
      </c>
      <c r="X5977" s="12">
        <f>IF(LEFT(I5977,2)="MV",2*N5977*IF(L5977="1/C",O5977,1),0)</f>
        <v/>
      </c>
      <c r="Y5977" s="12">
        <f>IF(OR(LEFT(K5977,4)="LVAX",LEFT(K5977,6)="MV15AX",LEFT(K5977,4)="CTAX",LEFT(K5977,2)="W|"),2*N5977*O5977,0)</f>
        <v/>
      </c>
      <c r="Z5977" s="12" t="inlineStr"/>
      <c r="AA5977" s="12">
        <f>N5977*O5977</f>
        <v/>
      </c>
    </row>
    <row r="5978">
      <c r="A5978" s="12" t="inlineStr">
        <is>
          <t>K-I-0099</t>
        </is>
      </c>
      <c r="B5978" s="12" t="inlineStr">
        <is>
          <t>K</t>
        </is>
      </c>
      <c r="C5978" s="12" t="inlineStr">
        <is>
          <t>Fuel supply (adjacent market)</t>
        </is>
      </c>
      <c r="D5978" s="12" t="inlineStr">
        <is>
          <t>Analog instrument to JB JB-LNG-T1-AI01: 4 x 1 pr (field cables)</t>
        </is>
      </c>
      <c r="E5978" s="12" t="inlineStr">
        <is>
          <t>LNG-T1</t>
        </is>
      </c>
      <c r="F5978" s="12" t="inlineStr">
        <is>
          <t>LNG 11: tank 1, Chart HS 50000 (51,780 gal)</t>
        </is>
      </c>
      <c r="G5978" s="12" t="inlineStr">
        <is>
          <t>JB-LNG-T1-AI01</t>
        </is>
      </c>
      <c r="H5978" s="12" t="inlineStr">
        <is>
          <t>LNG 11: tank 1, Chart HS 50000 (51,780 gal)</t>
        </is>
      </c>
      <c r="I5978" s="12" t="inlineStr">
        <is>
          <t>Instrumentation</t>
        </is>
      </c>
      <c r="J5978" s="12" t="inlineStr">
        <is>
          <t>Instrumentation ITC / PLTC, IS, #18 shielded pairs, blue jacket</t>
        </is>
      </c>
      <c r="K5978" s="12" t="inlineStr">
        <is>
          <t>ITC|1 pr|16</t>
        </is>
      </c>
      <c r="L5978" s="12" t="inlineStr">
        <is>
          <t>1 pr</t>
        </is>
      </c>
      <c r="M5978" s="12" t="inlineStr">
        <is>
          <t>16</t>
        </is>
      </c>
      <c r="N5978" s="12" t="n">
        <v>4</v>
      </c>
      <c r="O5978" s="12" t="n">
        <v>1</v>
      </c>
      <c r="P5978" s="12" t="n"/>
      <c r="Q5978" s="12" t="n"/>
      <c r="R5978" s="12" t="n"/>
      <c r="S5978" s="12" t="inlineStr">
        <is>
          <t>Tray / conduit</t>
        </is>
      </c>
      <c r="T5978" s="15" t="n">
        <v>77</v>
      </c>
      <c r="U5978" s="15" t="n">
        <v>10</v>
      </c>
      <c r="V5978" s="15">
        <f>ROUNDUP((T5978+U5978+2*'Read Me'!$B$13)*(1+'Read Me'!$B$12),-1)</f>
        <v/>
      </c>
      <c r="W5978" s="15">
        <f>V5978*N5978*O5978</f>
        <v/>
      </c>
      <c r="X5978" s="12">
        <f>IF(LEFT(I5978,2)="MV",2*N5978*IF(L5978="1/C",O5978,1),0)</f>
        <v/>
      </c>
      <c r="Y5978" s="12">
        <f>IF(OR(LEFT(K5978,4)="LVAX",LEFT(K5978,6)="MV15AX",LEFT(K5978,4)="CTAX",LEFT(K5978,2)="W|"),2*N5978*O5978,0)</f>
        <v/>
      </c>
      <c r="Z5978" s="12" t="inlineStr">
        <is>
          <t>device-to-JB field wiring, one cable per device</t>
        </is>
      </c>
      <c r="AA5978" s="12">
        <f>N5978*O5978</f>
        <v/>
      </c>
    </row>
    <row r="5979">
      <c r="A5979" s="12" t="inlineStr">
        <is>
          <t>K-I-0100</t>
        </is>
      </c>
      <c r="B5979" s="12" t="inlineStr">
        <is>
          <t>K</t>
        </is>
      </c>
      <c r="C5979" s="12" t="inlineStr">
        <is>
          <t>Fuel supply (adjacent market)</t>
        </is>
      </c>
      <c r="D5979" s="12" t="inlineStr">
        <is>
          <t>Home run JB-LNG-T1-AI01 to the control / marshalling room</t>
        </is>
      </c>
      <c r="E5979" s="12" t="inlineStr"/>
      <c r="F5979" s="12" t="inlineStr">
        <is>
          <t>LNG 17: LNG e-house (13.8 kV / 480 V)</t>
        </is>
      </c>
      <c r="G5979" s="12" t="inlineStr">
        <is>
          <t>JB-LNG-T1-AI01</t>
        </is>
      </c>
      <c r="H5979" s="12" t="inlineStr">
        <is>
          <t>LNG 11: tank 1, Chart HS 50000 (51,780 gal)</t>
        </is>
      </c>
      <c r="I5979" s="12" t="inlineStr">
        <is>
          <t>Instrumentation</t>
        </is>
      </c>
      <c r="J5979" s="12" t="inlineStr">
        <is>
          <t>Instrumentation ITC / PLTC, IS, #18 shielded pairs, blue jacket</t>
        </is>
      </c>
      <c r="K5979" s="12" t="inlineStr">
        <is>
          <t>ITC|24 pr|18</t>
        </is>
      </c>
      <c r="L5979" s="12" t="inlineStr">
        <is>
          <t>24 pr</t>
        </is>
      </c>
      <c r="M5979" s="12" t="inlineStr">
        <is>
          <t>18</t>
        </is>
      </c>
      <c r="N5979" s="12" t="n">
        <v>1</v>
      </c>
      <c r="O5979" s="12" t="n">
        <v>1</v>
      </c>
      <c r="P5979" s="12" t="n"/>
      <c r="Q5979" s="12" t="n"/>
      <c r="R5979" s="12" t="n"/>
      <c r="S5979" s="12" t="inlineStr">
        <is>
          <t>Duct bank</t>
        </is>
      </c>
      <c r="T5979" s="15" t="n">
        <v>210</v>
      </c>
      <c r="U5979" s="15" t="n">
        <v>32</v>
      </c>
      <c r="V5979" s="15">
        <f>ROUNDUP((T5979+U5979+2*'Read Me'!$B$13)*(1+'Read Me'!$B$12),-1)</f>
        <v/>
      </c>
      <c r="W5979" s="15">
        <f>V5979*N5979*O5979</f>
        <v/>
      </c>
      <c r="X5979" s="12">
        <f>IF(LEFT(I5979,2)="MV",2*N5979*IF(L5979="1/C",O5979,1),0)</f>
        <v/>
      </c>
      <c r="Y5979" s="12">
        <f>IF(OR(LEFT(K5979,4)="LVAX",LEFT(K5979,6)="MV15AX",LEFT(K5979,4)="CTAX",LEFT(K5979,2)="W|"),2*N5979*O5979,0)</f>
        <v/>
      </c>
      <c r="Z5979" s="12" t="inlineStr"/>
      <c r="AA5979" s="12">
        <f>N5979*O5979</f>
        <v/>
      </c>
    </row>
    <row r="5980">
      <c r="A5980" s="12" t="inlineStr">
        <is>
          <t>K-I-0101</t>
        </is>
      </c>
      <c r="B5980" s="12" t="inlineStr">
        <is>
          <t>K</t>
        </is>
      </c>
      <c r="C5980" s="12" t="inlineStr">
        <is>
          <t>Fuel supply (adjacent market)</t>
        </is>
      </c>
      <c r="D5980" s="12" t="inlineStr">
        <is>
          <t>Discrete device to JB JB-LNG-T1-DI01: 4 x 1 pr (field cables)</t>
        </is>
      </c>
      <c r="E5980" s="12" t="inlineStr">
        <is>
          <t>LNG-T1</t>
        </is>
      </c>
      <c r="F5980" s="12" t="inlineStr">
        <is>
          <t>LNG 11: tank 1, Chart HS 50000 (51,780 gal)</t>
        </is>
      </c>
      <c r="G5980" s="12" t="inlineStr">
        <is>
          <t>JB-LNG-T1-DI01</t>
        </is>
      </c>
      <c r="H5980" s="12" t="inlineStr">
        <is>
          <t>LNG 11: tank 1, Chart HS 50000 (51,780 gal)</t>
        </is>
      </c>
      <c r="I5980" s="12" t="inlineStr">
        <is>
          <t>Instrumentation</t>
        </is>
      </c>
      <c r="J5980" s="12" t="inlineStr">
        <is>
          <t>Instrumentation ITC / PLTC, IS, #18 shielded pairs, blue jacket</t>
        </is>
      </c>
      <c r="K5980" s="12" t="inlineStr">
        <is>
          <t>ITC|1 pr|16</t>
        </is>
      </c>
      <c r="L5980" s="12" t="inlineStr">
        <is>
          <t>1 pr</t>
        </is>
      </c>
      <c r="M5980" s="12" t="inlineStr">
        <is>
          <t>16</t>
        </is>
      </c>
      <c r="N5980" s="12" t="n">
        <v>4</v>
      </c>
      <c r="O5980" s="12" t="n">
        <v>1</v>
      </c>
      <c r="P5980" s="12" t="n"/>
      <c r="Q5980" s="12" t="n"/>
      <c r="R5980" s="12" t="n"/>
      <c r="S5980" s="12" t="inlineStr">
        <is>
          <t>Tray / conduit</t>
        </is>
      </c>
      <c r="T5980" s="15" t="n">
        <v>77</v>
      </c>
      <c r="U5980" s="15" t="n">
        <v>10</v>
      </c>
      <c r="V5980" s="15">
        <f>ROUNDUP((T5980+U5980+2*'Read Me'!$B$13)*(1+'Read Me'!$B$12),-1)</f>
        <v/>
      </c>
      <c r="W5980" s="15">
        <f>V5980*N5980*O5980</f>
        <v/>
      </c>
      <c r="X5980" s="12">
        <f>IF(LEFT(I5980,2)="MV",2*N5980*IF(L5980="1/C",O5980,1),0)</f>
        <v/>
      </c>
      <c r="Y5980" s="12">
        <f>IF(OR(LEFT(K5980,4)="LVAX",LEFT(K5980,6)="MV15AX",LEFT(K5980,4)="CTAX",LEFT(K5980,2)="W|"),2*N5980*O5980,0)</f>
        <v/>
      </c>
      <c r="Z5980" s="12" t="inlineStr">
        <is>
          <t>device-to-JB field wiring, one cable per device</t>
        </is>
      </c>
      <c r="AA5980" s="12">
        <f>N5980*O5980</f>
        <v/>
      </c>
    </row>
    <row r="5981">
      <c r="A5981" s="12" t="inlineStr">
        <is>
          <t>K-I-0102</t>
        </is>
      </c>
      <c r="B5981" s="12" t="inlineStr">
        <is>
          <t>K</t>
        </is>
      </c>
      <c r="C5981" s="12" t="inlineStr">
        <is>
          <t>Fuel supply (adjacent market)</t>
        </is>
      </c>
      <c r="D5981" s="12" t="inlineStr">
        <is>
          <t>Home run JB-LNG-T1-DI01 to the control / marshalling room</t>
        </is>
      </c>
      <c r="E5981" s="12" t="inlineStr"/>
      <c r="F5981" s="12" t="inlineStr">
        <is>
          <t>LNG 17: LNG e-house (13.8 kV / 480 V)</t>
        </is>
      </c>
      <c r="G5981" s="12" t="inlineStr">
        <is>
          <t>JB-LNG-T1-DI01</t>
        </is>
      </c>
      <c r="H5981" s="12" t="inlineStr">
        <is>
          <t>LNG 11: tank 1, Chart HS 50000 (51,780 gal)</t>
        </is>
      </c>
      <c r="I5981" s="12" t="inlineStr">
        <is>
          <t>Instrumentation</t>
        </is>
      </c>
      <c r="J5981" s="12" t="inlineStr">
        <is>
          <t>Instrumentation ITC / PLTC, IS, #18 shielded pairs, blue jacket</t>
        </is>
      </c>
      <c r="K5981" s="12" t="inlineStr">
        <is>
          <t>ITC|24 pr|18</t>
        </is>
      </c>
      <c r="L5981" s="12" t="inlineStr">
        <is>
          <t>24 pr</t>
        </is>
      </c>
      <c r="M5981" s="12" t="inlineStr">
        <is>
          <t>18</t>
        </is>
      </c>
      <c r="N5981" s="12" t="n">
        <v>1</v>
      </c>
      <c r="O5981" s="12" t="n">
        <v>1</v>
      </c>
      <c r="P5981" s="12" t="n"/>
      <c r="Q5981" s="12" t="n"/>
      <c r="R5981" s="12" t="n"/>
      <c r="S5981" s="12" t="inlineStr">
        <is>
          <t>Duct bank</t>
        </is>
      </c>
      <c r="T5981" s="15" t="n">
        <v>210</v>
      </c>
      <c r="U5981" s="15" t="n">
        <v>32</v>
      </c>
      <c r="V5981" s="15">
        <f>ROUNDUP((T5981+U5981+2*'Read Me'!$B$13)*(1+'Read Me'!$B$12),-1)</f>
        <v/>
      </c>
      <c r="W5981" s="15">
        <f>V5981*N5981*O5981</f>
        <v/>
      </c>
      <c r="X5981" s="12">
        <f>IF(LEFT(I5981,2)="MV",2*N5981*IF(L5981="1/C",O5981,1),0)</f>
        <v/>
      </c>
      <c r="Y5981" s="12">
        <f>IF(OR(LEFT(K5981,4)="LVAX",LEFT(K5981,6)="MV15AX",LEFT(K5981,4)="CTAX",LEFT(K5981,2)="W|"),2*N5981*O5981,0)</f>
        <v/>
      </c>
      <c r="Z5981" s="12" t="inlineStr"/>
      <c r="AA5981" s="12">
        <f>N5981*O5981</f>
        <v/>
      </c>
    </row>
    <row r="5982">
      <c r="A5982" s="12" t="inlineStr">
        <is>
          <t>K-I-0103</t>
        </is>
      </c>
      <c r="B5982" s="12" t="inlineStr">
        <is>
          <t>K</t>
        </is>
      </c>
      <c r="C5982" s="12" t="inlineStr">
        <is>
          <t>Fuel supply (adjacent market)</t>
        </is>
      </c>
      <c r="D5982" s="12" t="inlineStr">
        <is>
          <t>Analog instrument to JB JB-LNG-T2-AI01: 4 x 1 pr (field cables)</t>
        </is>
      </c>
      <c r="E5982" s="12" t="inlineStr">
        <is>
          <t>LNG-T2</t>
        </is>
      </c>
      <c r="F5982" s="12" t="inlineStr">
        <is>
          <t>LNG 11: tank 2, Chart HS 50000 (51,780 gal)</t>
        </is>
      </c>
      <c r="G5982" s="12" t="inlineStr">
        <is>
          <t>JB-LNG-T2-AI01</t>
        </is>
      </c>
      <c r="H5982" s="12" t="inlineStr">
        <is>
          <t>LNG 11: tank 2, Chart HS 50000 (51,780 gal)</t>
        </is>
      </c>
      <c r="I5982" s="12" t="inlineStr">
        <is>
          <t>Instrumentation</t>
        </is>
      </c>
      <c r="J5982" s="12" t="inlineStr">
        <is>
          <t>Instrumentation ITC / PLTC, IS, #18 shielded pairs, blue jacket</t>
        </is>
      </c>
      <c r="K5982" s="12" t="inlineStr">
        <is>
          <t>ITC|1 pr|16</t>
        </is>
      </c>
      <c r="L5982" s="12" t="inlineStr">
        <is>
          <t>1 pr</t>
        </is>
      </c>
      <c r="M5982" s="12" t="inlineStr">
        <is>
          <t>16</t>
        </is>
      </c>
      <c r="N5982" s="12" t="n">
        <v>4</v>
      </c>
      <c r="O5982" s="12" t="n">
        <v>1</v>
      </c>
      <c r="P5982" s="12" t="n"/>
      <c r="Q5982" s="12" t="n"/>
      <c r="R5982" s="12" t="n"/>
      <c r="S5982" s="12" t="inlineStr">
        <is>
          <t>Tray / conduit</t>
        </is>
      </c>
      <c r="T5982" s="15" t="n">
        <v>77</v>
      </c>
      <c r="U5982" s="15" t="n">
        <v>10</v>
      </c>
      <c r="V5982" s="15">
        <f>ROUNDUP((T5982+U5982+2*'Read Me'!$B$13)*(1+'Read Me'!$B$12),-1)</f>
        <v/>
      </c>
      <c r="W5982" s="15">
        <f>V5982*N5982*O5982</f>
        <v/>
      </c>
      <c r="X5982" s="12">
        <f>IF(LEFT(I5982,2)="MV",2*N5982*IF(L5982="1/C",O5982,1),0)</f>
        <v/>
      </c>
      <c r="Y5982" s="12">
        <f>IF(OR(LEFT(K5982,4)="LVAX",LEFT(K5982,6)="MV15AX",LEFT(K5982,4)="CTAX",LEFT(K5982,2)="W|"),2*N5982*O5982,0)</f>
        <v/>
      </c>
      <c r="Z5982" s="12" t="inlineStr">
        <is>
          <t>device-to-JB field wiring, one cable per device</t>
        </is>
      </c>
      <c r="AA5982" s="12">
        <f>N5982*O5982</f>
        <v/>
      </c>
    </row>
    <row r="5983">
      <c r="A5983" s="12" t="inlineStr">
        <is>
          <t>K-I-0104</t>
        </is>
      </c>
      <c r="B5983" s="12" t="inlineStr">
        <is>
          <t>K</t>
        </is>
      </c>
      <c r="C5983" s="12" t="inlineStr">
        <is>
          <t>Fuel supply (adjacent market)</t>
        </is>
      </c>
      <c r="D5983" s="12" t="inlineStr">
        <is>
          <t>Home run JB-LNG-T2-AI01 to the control / marshalling room</t>
        </is>
      </c>
      <c r="E5983" s="12" t="inlineStr"/>
      <c r="F5983" s="12" t="inlineStr">
        <is>
          <t>LNG 17: LNG e-house (13.8 kV / 480 V)</t>
        </is>
      </c>
      <c r="G5983" s="12" t="inlineStr">
        <is>
          <t>JB-LNG-T2-AI01</t>
        </is>
      </c>
      <c r="H5983" s="12" t="inlineStr">
        <is>
          <t>LNG 11: tank 2, Chart HS 50000 (51,780 gal)</t>
        </is>
      </c>
      <c r="I5983" s="12" t="inlineStr">
        <is>
          <t>Instrumentation</t>
        </is>
      </c>
      <c r="J5983" s="12" t="inlineStr">
        <is>
          <t>Instrumentation ITC / PLTC, IS, #18 shielded pairs, blue jacket</t>
        </is>
      </c>
      <c r="K5983" s="12" t="inlineStr">
        <is>
          <t>ITC|24 pr|18</t>
        </is>
      </c>
      <c r="L5983" s="12" t="inlineStr">
        <is>
          <t>24 pr</t>
        </is>
      </c>
      <c r="M5983" s="12" t="inlineStr">
        <is>
          <t>18</t>
        </is>
      </c>
      <c r="N5983" s="12" t="n">
        <v>1</v>
      </c>
      <c r="O5983" s="12" t="n">
        <v>1</v>
      </c>
      <c r="P5983" s="12" t="n"/>
      <c r="Q5983" s="12" t="n"/>
      <c r="R5983" s="12" t="n"/>
      <c r="S5983" s="12" t="inlineStr">
        <is>
          <t>Duct bank</t>
        </is>
      </c>
      <c r="T5983" s="15" t="n">
        <v>230</v>
      </c>
      <c r="U5983" s="15" t="n">
        <v>32</v>
      </c>
      <c r="V5983" s="15">
        <f>ROUNDUP((T5983+U5983+2*'Read Me'!$B$13)*(1+'Read Me'!$B$12),-1)</f>
        <v/>
      </c>
      <c r="W5983" s="15">
        <f>V5983*N5983*O5983</f>
        <v/>
      </c>
      <c r="X5983" s="12">
        <f>IF(LEFT(I5983,2)="MV",2*N5983*IF(L5983="1/C",O5983,1),0)</f>
        <v/>
      </c>
      <c r="Y5983" s="12">
        <f>IF(OR(LEFT(K5983,4)="LVAX",LEFT(K5983,6)="MV15AX",LEFT(K5983,4)="CTAX",LEFT(K5983,2)="W|"),2*N5983*O5983,0)</f>
        <v/>
      </c>
      <c r="Z5983" s="12" t="inlineStr"/>
      <c r="AA5983" s="12">
        <f>N5983*O5983</f>
        <v/>
      </c>
    </row>
    <row r="5984">
      <c r="A5984" s="12" t="inlineStr">
        <is>
          <t>K-I-0105</t>
        </is>
      </c>
      <c r="B5984" s="12" t="inlineStr">
        <is>
          <t>K</t>
        </is>
      </c>
      <c r="C5984" s="12" t="inlineStr">
        <is>
          <t>Fuel supply (adjacent market)</t>
        </is>
      </c>
      <c r="D5984" s="12" t="inlineStr">
        <is>
          <t>Discrete device to JB JB-LNG-T2-DI01: 4 x 1 pr (field cables)</t>
        </is>
      </c>
      <c r="E5984" s="12" t="inlineStr">
        <is>
          <t>LNG-T2</t>
        </is>
      </c>
      <c r="F5984" s="12" t="inlineStr">
        <is>
          <t>LNG 11: tank 2, Chart HS 50000 (51,780 gal)</t>
        </is>
      </c>
      <c r="G5984" s="12" t="inlineStr">
        <is>
          <t>JB-LNG-T2-DI01</t>
        </is>
      </c>
      <c r="H5984" s="12" t="inlineStr">
        <is>
          <t>LNG 11: tank 2, Chart HS 50000 (51,780 gal)</t>
        </is>
      </c>
      <c r="I5984" s="12" t="inlineStr">
        <is>
          <t>Instrumentation</t>
        </is>
      </c>
      <c r="J5984" s="12" t="inlineStr">
        <is>
          <t>Instrumentation ITC / PLTC, IS, #18 shielded pairs, blue jacket</t>
        </is>
      </c>
      <c r="K5984" s="12" t="inlineStr">
        <is>
          <t>ITC|1 pr|16</t>
        </is>
      </c>
      <c r="L5984" s="12" t="inlineStr">
        <is>
          <t>1 pr</t>
        </is>
      </c>
      <c r="M5984" s="12" t="inlineStr">
        <is>
          <t>16</t>
        </is>
      </c>
      <c r="N5984" s="12" t="n">
        <v>4</v>
      </c>
      <c r="O5984" s="12" t="n">
        <v>1</v>
      </c>
      <c r="P5984" s="12" t="n"/>
      <c r="Q5984" s="12" t="n"/>
      <c r="R5984" s="12" t="n"/>
      <c r="S5984" s="12" t="inlineStr">
        <is>
          <t>Tray / conduit</t>
        </is>
      </c>
      <c r="T5984" s="15" t="n">
        <v>77</v>
      </c>
      <c r="U5984" s="15" t="n">
        <v>10</v>
      </c>
      <c r="V5984" s="15">
        <f>ROUNDUP((T5984+U5984+2*'Read Me'!$B$13)*(1+'Read Me'!$B$12),-1)</f>
        <v/>
      </c>
      <c r="W5984" s="15">
        <f>V5984*N5984*O5984</f>
        <v/>
      </c>
      <c r="X5984" s="12">
        <f>IF(LEFT(I5984,2)="MV",2*N5984*IF(L5984="1/C",O5984,1),0)</f>
        <v/>
      </c>
      <c r="Y5984" s="12">
        <f>IF(OR(LEFT(K5984,4)="LVAX",LEFT(K5984,6)="MV15AX",LEFT(K5984,4)="CTAX",LEFT(K5984,2)="W|"),2*N5984*O5984,0)</f>
        <v/>
      </c>
      <c r="Z5984" s="12" t="inlineStr">
        <is>
          <t>device-to-JB field wiring, one cable per device</t>
        </is>
      </c>
      <c r="AA5984" s="12">
        <f>N5984*O5984</f>
        <v/>
      </c>
    </row>
    <row r="5985">
      <c r="A5985" s="12" t="inlineStr">
        <is>
          <t>K-I-0106</t>
        </is>
      </c>
      <c r="B5985" s="12" t="inlineStr">
        <is>
          <t>K</t>
        </is>
      </c>
      <c r="C5985" s="12" t="inlineStr">
        <is>
          <t>Fuel supply (adjacent market)</t>
        </is>
      </c>
      <c r="D5985" s="12" t="inlineStr">
        <is>
          <t>Home run JB-LNG-T2-DI01 to the control / marshalling room</t>
        </is>
      </c>
      <c r="E5985" s="12" t="inlineStr"/>
      <c r="F5985" s="12" t="inlineStr">
        <is>
          <t>LNG 17: LNG e-house (13.8 kV / 480 V)</t>
        </is>
      </c>
      <c r="G5985" s="12" t="inlineStr">
        <is>
          <t>JB-LNG-T2-DI01</t>
        </is>
      </c>
      <c r="H5985" s="12" t="inlineStr">
        <is>
          <t>LNG 11: tank 2, Chart HS 50000 (51,780 gal)</t>
        </is>
      </c>
      <c r="I5985" s="12" t="inlineStr">
        <is>
          <t>Instrumentation</t>
        </is>
      </c>
      <c r="J5985" s="12" t="inlineStr">
        <is>
          <t>Instrumentation ITC / PLTC, IS, #18 shielded pairs, blue jacket</t>
        </is>
      </c>
      <c r="K5985" s="12" t="inlineStr">
        <is>
          <t>ITC|24 pr|18</t>
        </is>
      </c>
      <c r="L5985" s="12" t="inlineStr">
        <is>
          <t>24 pr</t>
        </is>
      </c>
      <c r="M5985" s="12" t="inlineStr">
        <is>
          <t>18</t>
        </is>
      </c>
      <c r="N5985" s="12" t="n">
        <v>1</v>
      </c>
      <c r="O5985" s="12" t="n">
        <v>1</v>
      </c>
      <c r="P5985" s="12" t="n"/>
      <c r="Q5985" s="12" t="n"/>
      <c r="R5985" s="12" t="n"/>
      <c r="S5985" s="12" t="inlineStr">
        <is>
          <t>Duct bank</t>
        </is>
      </c>
      <c r="T5985" s="15" t="n">
        <v>230</v>
      </c>
      <c r="U5985" s="15" t="n">
        <v>32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K-I-0107</t>
        </is>
      </c>
      <c r="B5986" s="12" t="inlineStr">
        <is>
          <t>K</t>
        </is>
      </c>
      <c r="C5986" s="12" t="inlineStr">
        <is>
          <t>Fuel supply (adjacent market)</t>
        </is>
      </c>
      <c r="D5986" s="12" t="inlineStr">
        <is>
          <t>Analog instrument to JB JB-LNG-T3-AI01: 4 x 1 pr (field cables)</t>
        </is>
      </c>
      <c r="E5986" s="12" t="inlineStr">
        <is>
          <t>LNG-T3</t>
        </is>
      </c>
      <c r="F5986" s="12" t="inlineStr">
        <is>
          <t>LNG 11: tank 3, Chart HS 50000 (51,780 gal)</t>
        </is>
      </c>
      <c r="G5986" s="12" t="inlineStr">
        <is>
          <t>JB-LNG-T3-AI01</t>
        </is>
      </c>
      <c r="H5986" s="12" t="inlineStr">
        <is>
          <t>LNG 11: tank 3, Chart HS 50000 (51,780 gal)</t>
        </is>
      </c>
      <c r="I5986" s="12" t="inlineStr">
        <is>
          <t>Instrumentation</t>
        </is>
      </c>
      <c r="J5986" s="12" t="inlineStr">
        <is>
          <t>Instrumentation ITC / PLTC, IS, #18 shielded pairs, blue jacket</t>
        </is>
      </c>
      <c r="K5986" s="12" t="inlineStr">
        <is>
          <t>ITC|1 pr|16</t>
        </is>
      </c>
      <c r="L5986" s="12" t="inlineStr">
        <is>
          <t>1 pr</t>
        </is>
      </c>
      <c r="M5986" s="12" t="inlineStr">
        <is>
          <t>16</t>
        </is>
      </c>
      <c r="N5986" s="12" t="n">
        <v>4</v>
      </c>
      <c r="O5986" s="12" t="n">
        <v>1</v>
      </c>
      <c r="P5986" s="12" t="n"/>
      <c r="Q5986" s="12" t="n"/>
      <c r="R5986" s="12" t="n"/>
      <c r="S5986" s="12" t="inlineStr">
        <is>
          <t>Tray / conduit</t>
        </is>
      </c>
      <c r="T5986" s="15" t="n">
        <v>77</v>
      </c>
      <c r="U5986" s="15" t="n">
        <v>10</v>
      </c>
      <c r="V5986" s="15">
        <f>ROUNDUP((T5986+U5986+2*'Read Me'!$B$13)*(1+'Read Me'!$B$12),-1)</f>
        <v/>
      </c>
      <c r="W5986" s="15">
        <f>V5986*N5986*O5986</f>
        <v/>
      </c>
      <c r="X5986" s="12">
        <f>IF(LEFT(I5986,2)="MV",2*N5986*IF(L5986="1/C",O5986,1),0)</f>
        <v/>
      </c>
      <c r="Y5986" s="12">
        <f>IF(OR(LEFT(K5986,4)="LVAX",LEFT(K5986,6)="MV15AX",LEFT(K5986,4)="CTAX",LEFT(K5986,2)="W|"),2*N5986*O5986,0)</f>
        <v/>
      </c>
      <c r="Z5986" s="12" t="inlineStr">
        <is>
          <t>device-to-JB field wiring, one cable per device</t>
        </is>
      </c>
      <c r="AA5986" s="12">
        <f>N5986*O5986</f>
        <v/>
      </c>
    </row>
    <row r="5987">
      <c r="A5987" s="12" t="inlineStr">
        <is>
          <t>K-I-0108</t>
        </is>
      </c>
      <c r="B5987" s="12" t="inlineStr">
        <is>
          <t>K</t>
        </is>
      </c>
      <c r="C5987" s="12" t="inlineStr">
        <is>
          <t>Fuel supply (adjacent market)</t>
        </is>
      </c>
      <c r="D5987" s="12" t="inlineStr">
        <is>
          <t>Home run JB-LNG-T3-AI01 to the control / marshalling room</t>
        </is>
      </c>
      <c r="E5987" s="12" t="inlineStr"/>
      <c r="F5987" s="12" t="inlineStr">
        <is>
          <t>LNG 17: LNG e-house (13.8 kV / 480 V)</t>
        </is>
      </c>
      <c r="G5987" s="12" t="inlineStr">
        <is>
          <t>JB-LNG-T3-AI01</t>
        </is>
      </c>
      <c r="H5987" s="12" t="inlineStr">
        <is>
          <t>LNG 11: tank 3, Chart HS 50000 (51,780 gal)</t>
        </is>
      </c>
      <c r="I5987" s="12" t="inlineStr">
        <is>
          <t>Instrumentation</t>
        </is>
      </c>
      <c r="J5987" s="12" t="inlineStr">
        <is>
          <t>Instrumentation ITC / PLTC, IS, #18 shielded pairs, blue jacket</t>
        </is>
      </c>
      <c r="K5987" s="12" t="inlineStr">
        <is>
          <t>ITC|24 pr|18</t>
        </is>
      </c>
      <c r="L5987" s="12" t="inlineStr">
        <is>
          <t>24 pr</t>
        </is>
      </c>
      <c r="M5987" s="12" t="inlineStr">
        <is>
          <t>18</t>
        </is>
      </c>
      <c r="N5987" s="12" t="n">
        <v>1</v>
      </c>
      <c r="O5987" s="12" t="n">
        <v>1</v>
      </c>
      <c r="P5987" s="12" t="n"/>
      <c r="Q5987" s="12" t="n"/>
      <c r="R5987" s="12" t="n"/>
      <c r="S5987" s="12" t="inlineStr">
        <is>
          <t>Duct bank</t>
        </is>
      </c>
      <c r="T5987" s="15" t="n">
        <v>250</v>
      </c>
      <c r="U5987" s="15" t="n">
        <v>32</v>
      </c>
      <c r="V5987" s="15">
        <f>ROUNDUP((T5987+U5987+2*'Read Me'!$B$13)*(1+'Read Me'!$B$12),-1)</f>
        <v/>
      </c>
      <c r="W5987" s="15">
        <f>V5987*N5987*O5987</f>
        <v/>
      </c>
      <c r="X5987" s="12">
        <f>IF(LEFT(I5987,2)="MV",2*N5987*IF(L5987="1/C",O5987,1),0)</f>
        <v/>
      </c>
      <c r="Y5987" s="12">
        <f>IF(OR(LEFT(K5987,4)="LVAX",LEFT(K5987,6)="MV15AX",LEFT(K5987,4)="CTAX",LEFT(K5987,2)="W|"),2*N5987*O5987,0)</f>
        <v/>
      </c>
      <c r="Z5987" s="12" t="inlineStr"/>
      <c r="AA5987" s="12">
        <f>N5987*O5987</f>
        <v/>
      </c>
    </row>
    <row r="5988">
      <c r="A5988" s="12" t="inlineStr">
        <is>
          <t>K-I-0109</t>
        </is>
      </c>
      <c r="B5988" s="12" t="inlineStr">
        <is>
          <t>K</t>
        </is>
      </c>
      <c r="C5988" s="12" t="inlineStr">
        <is>
          <t>Fuel supply (adjacent market)</t>
        </is>
      </c>
      <c r="D5988" s="12" t="inlineStr">
        <is>
          <t>Discrete device to JB JB-LNG-T3-DI01: 4 x 1 pr (field cables)</t>
        </is>
      </c>
      <c r="E5988" s="12" t="inlineStr">
        <is>
          <t>LNG-T3</t>
        </is>
      </c>
      <c r="F5988" s="12" t="inlineStr">
        <is>
          <t>LNG 11: tank 3, Chart HS 50000 (51,780 gal)</t>
        </is>
      </c>
      <c r="G5988" s="12" t="inlineStr">
        <is>
          <t>JB-LNG-T3-DI01</t>
        </is>
      </c>
      <c r="H5988" s="12" t="inlineStr">
        <is>
          <t>LNG 11: tank 3, Chart HS 50000 (51,780 gal)</t>
        </is>
      </c>
      <c r="I5988" s="12" t="inlineStr">
        <is>
          <t>Instrumentation</t>
        </is>
      </c>
      <c r="J5988" s="12" t="inlineStr">
        <is>
          <t>Instrumentation ITC / PLTC, IS, #18 shielded pairs, blue jacket</t>
        </is>
      </c>
      <c r="K5988" s="12" t="inlineStr">
        <is>
          <t>ITC|1 pr|16</t>
        </is>
      </c>
      <c r="L5988" s="12" t="inlineStr">
        <is>
          <t>1 pr</t>
        </is>
      </c>
      <c r="M5988" s="12" t="inlineStr">
        <is>
          <t>16</t>
        </is>
      </c>
      <c r="N5988" s="12" t="n">
        <v>4</v>
      </c>
      <c r="O5988" s="12" t="n">
        <v>1</v>
      </c>
      <c r="P5988" s="12" t="n"/>
      <c r="Q5988" s="12" t="n"/>
      <c r="R5988" s="12" t="n"/>
      <c r="S5988" s="12" t="inlineStr">
        <is>
          <t>Tray / conduit</t>
        </is>
      </c>
      <c r="T5988" s="15" t="n">
        <v>77</v>
      </c>
      <c r="U5988" s="15" t="n">
        <v>10</v>
      </c>
      <c r="V5988" s="15">
        <f>ROUNDUP((T5988+U5988+2*'Read Me'!$B$13)*(1+'Read Me'!$B$12),-1)</f>
        <v/>
      </c>
      <c r="W5988" s="15">
        <f>V5988*N5988*O5988</f>
        <v/>
      </c>
      <c r="X5988" s="12">
        <f>IF(LEFT(I5988,2)="MV",2*N5988*IF(L5988="1/C",O5988,1),0)</f>
        <v/>
      </c>
      <c r="Y5988" s="12">
        <f>IF(OR(LEFT(K5988,4)="LVAX",LEFT(K5988,6)="MV15AX",LEFT(K5988,4)="CTAX",LEFT(K5988,2)="W|"),2*N5988*O5988,0)</f>
        <v/>
      </c>
      <c r="Z5988" s="12" t="inlineStr">
        <is>
          <t>device-to-JB field wiring, one cable per device</t>
        </is>
      </c>
      <c r="AA5988" s="12">
        <f>N5988*O5988</f>
        <v/>
      </c>
    </row>
    <row r="5989">
      <c r="A5989" s="12" t="inlineStr">
        <is>
          <t>K-I-0110</t>
        </is>
      </c>
      <c r="B5989" s="12" t="inlineStr">
        <is>
          <t>K</t>
        </is>
      </c>
      <c r="C5989" s="12" t="inlineStr">
        <is>
          <t>Fuel supply (adjacent market)</t>
        </is>
      </c>
      <c r="D5989" s="12" t="inlineStr">
        <is>
          <t>Home run JB-LNG-T3-DI01 to the control / marshalling room</t>
        </is>
      </c>
      <c r="E5989" s="12" t="inlineStr"/>
      <c r="F5989" s="12" t="inlineStr">
        <is>
          <t>LNG 17: LNG e-house (13.8 kV / 480 V)</t>
        </is>
      </c>
      <c r="G5989" s="12" t="inlineStr">
        <is>
          <t>JB-LNG-T3-DI01</t>
        </is>
      </c>
      <c r="H5989" s="12" t="inlineStr">
        <is>
          <t>LNG 11: tank 3, Chart HS 50000 (51,780 gal)</t>
        </is>
      </c>
      <c r="I5989" s="12" t="inlineStr">
        <is>
          <t>Instrumentation</t>
        </is>
      </c>
      <c r="J5989" s="12" t="inlineStr">
        <is>
          <t>Instrumentation ITC / PLTC, IS, #18 shielded pairs, blue jacket</t>
        </is>
      </c>
      <c r="K5989" s="12" t="inlineStr">
        <is>
          <t>ITC|24 pr|18</t>
        </is>
      </c>
      <c r="L5989" s="12" t="inlineStr">
        <is>
          <t>24 pr</t>
        </is>
      </c>
      <c r="M5989" s="12" t="inlineStr">
        <is>
          <t>18</t>
        </is>
      </c>
      <c r="N5989" s="12" t="n">
        <v>1</v>
      </c>
      <c r="O5989" s="12" t="n">
        <v>1</v>
      </c>
      <c r="P5989" s="12" t="n"/>
      <c r="Q5989" s="12" t="n"/>
      <c r="R5989" s="12" t="n"/>
      <c r="S5989" s="12" t="inlineStr">
        <is>
          <t>Duct bank</t>
        </is>
      </c>
      <c r="T5989" s="15" t="n">
        <v>250</v>
      </c>
      <c r="U5989" s="15" t="n">
        <v>32</v>
      </c>
      <c r="V5989" s="15">
        <f>ROUNDUP((T5989+U5989+2*'Read Me'!$B$13)*(1+'Read Me'!$B$12),-1)</f>
        <v/>
      </c>
      <c r="W5989" s="15">
        <f>V5989*N5989*O5989</f>
        <v/>
      </c>
      <c r="X5989" s="12">
        <f>IF(LEFT(I5989,2)="MV",2*N5989*IF(L5989="1/C",O5989,1),0)</f>
        <v/>
      </c>
      <c r="Y5989" s="12">
        <f>IF(OR(LEFT(K5989,4)="LVAX",LEFT(K5989,6)="MV15AX",LEFT(K5989,4)="CTAX",LEFT(K5989,2)="W|"),2*N5989*O5989,0)</f>
        <v/>
      </c>
      <c r="Z5989" s="12" t="inlineStr"/>
      <c r="AA5989" s="12">
        <f>N5989*O5989</f>
        <v/>
      </c>
    </row>
    <row r="5990">
      <c r="A5990" s="12" t="inlineStr">
        <is>
          <t>K-I-0111</t>
        </is>
      </c>
      <c r="B5990" s="12" t="inlineStr">
        <is>
          <t>K</t>
        </is>
      </c>
      <c r="C5990" s="12" t="inlineStr">
        <is>
          <t>Fuel supply (adjacent market)</t>
        </is>
      </c>
      <c r="D5990" s="12" t="inlineStr">
        <is>
          <t>Analog instrument to JB JB-LNG-T4-AI01: 4 x 1 pr (field cables)</t>
        </is>
      </c>
      <c r="E5990" s="12" t="inlineStr">
        <is>
          <t>LNG-T4</t>
        </is>
      </c>
      <c r="F5990" s="12" t="inlineStr">
        <is>
          <t>LNG 11: tank 4, Chart HS 50000 (51,780 gal)</t>
        </is>
      </c>
      <c r="G5990" s="12" t="inlineStr">
        <is>
          <t>JB-LNG-T4-AI01</t>
        </is>
      </c>
      <c r="H5990" s="12" t="inlineStr">
        <is>
          <t>LNG 11: tank 4, Chart HS 50000 (51,780 gal)</t>
        </is>
      </c>
      <c r="I5990" s="12" t="inlineStr">
        <is>
          <t>Instrumentation</t>
        </is>
      </c>
      <c r="J5990" s="12" t="inlineStr">
        <is>
          <t>Instrumentation ITC / PLTC, IS, #18 shielded pairs, blue jacket</t>
        </is>
      </c>
      <c r="K5990" s="12" t="inlineStr">
        <is>
          <t>ITC|1 pr|16</t>
        </is>
      </c>
      <c r="L5990" s="12" t="inlineStr">
        <is>
          <t>1 pr</t>
        </is>
      </c>
      <c r="M5990" s="12" t="inlineStr">
        <is>
          <t>16</t>
        </is>
      </c>
      <c r="N5990" s="12" t="n">
        <v>4</v>
      </c>
      <c r="O5990" s="12" t="n">
        <v>1</v>
      </c>
      <c r="P5990" s="12" t="n"/>
      <c r="Q5990" s="12" t="n"/>
      <c r="R5990" s="12" t="n"/>
      <c r="S5990" s="12" t="inlineStr">
        <is>
          <t>Tray / conduit</t>
        </is>
      </c>
      <c r="T5990" s="15" t="n">
        <v>77</v>
      </c>
      <c r="U5990" s="15" t="n">
        <v>10</v>
      </c>
      <c r="V5990" s="15">
        <f>ROUNDUP((T5990+U5990+2*'Read Me'!$B$13)*(1+'Read Me'!$B$12),-1)</f>
        <v/>
      </c>
      <c r="W5990" s="15">
        <f>V5990*N5990*O5990</f>
        <v/>
      </c>
      <c r="X5990" s="12">
        <f>IF(LEFT(I5990,2)="MV",2*N5990*IF(L5990="1/C",O5990,1),0)</f>
        <v/>
      </c>
      <c r="Y5990" s="12">
        <f>IF(OR(LEFT(K5990,4)="LVAX",LEFT(K5990,6)="MV15AX",LEFT(K5990,4)="CTAX",LEFT(K5990,2)="W|"),2*N5990*O5990,0)</f>
        <v/>
      </c>
      <c r="Z5990" s="12" t="inlineStr">
        <is>
          <t>device-to-JB field wiring, one cable per device</t>
        </is>
      </c>
      <c r="AA5990" s="12">
        <f>N5990*O5990</f>
        <v/>
      </c>
    </row>
    <row r="5991">
      <c r="A5991" s="12" t="inlineStr">
        <is>
          <t>K-I-0112</t>
        </is>
      </c>
      <c r="B5991" s="12" t="inlineStr">
        <is>
          <t>K</t>
        </is>
      </c>
      <c r="C5991" s="12" t="inlineStr">
        <is>
          <t>Fuel supply (adjacent market)</t>
        </is>
      </c>
      <c r="D5991" s="12" t="inlineStr">
        <is>
          <t>Home run JB-LNG-T4-AI01 to the control / marshalling room</t>
        </is>
      </c>
      <c r="E5991" s="12" t="inlineStr"/>
      <c r="F5991" s="12" t="inlineStr">
        <is>
          <t>LNG 17: LNG e-house (13.8 kV / 480 V)</t>
        </is>
      </c>
      <c r="G5991" s="12" t="inlineStr">
        <is>
          <t>JB-LNG-T4-AI01</t>
        </is>
      </c>
      <c r="H5991" s="12" t="inlineStr">
        <is>
          <t>LNG 11: tank 4, Chart HS 50000 (51,780 gal)</t>
        </is>
      </c>
      <c r="I5991" s="12" t="inlineStr">
        <is>
          <t>Instrumentation</t>
        </is>
      </c>
      <c r="J5991" s="12" t="inlineStr">
        <is>
          <t>Instrumentation ITC / PLTC, IS, #18 shielded pairs, blue jacket</t>
        </is>
      </c>
      <c r="K5991" s="12" t="inlineStr">
        <is>
          <t>ITC|24 pr|18</t>
        </is>
      </c>
      <c r="L5991" s="12" t="inlineStr">
        <is>
          <t>24 pr</t>
        </is>
      </c>
      <c r="M5991" s="12" t="inlineStr">
        <is>
          <t>18</t>
        </is>
      </c>
      <c r="N5991" s="12" t="n">
        <v>1</v>
      </c>
      <c r="O5991" s="12" t="n">
        <v>1</v>
      </c>
      <c r="P5991" s="12" t="n"/>
      <c r="Q5991" s="12" t="n"/>
      <c r="R5991" s="12" t="n"/>
      <c r="S5991" s="12" t="inlineStr">
        <is>
          <t>Duct bank</t>
        </is>
      </c>
      <c r="T5991" s="15" t="n">
        <v>270</v>
      </c>
      <c r="U5991" s="15" t="n">
        <v>32</v>
      </c>
      <c r="V5991" s="15">
        <f>ROUNDUP((T5991+U5991+2*'Read Me'!$B$13)*(1+'Read Me'!$B$12),-1)</f>
        <v/>
      </c>
      <c r="W5991" s="15">
        <f>V5991*N5991*O5991</f>
        <v/>
      </c>
      <c r="X5991" s="12">
        <f>IF(LEFT(I5991,2)="MV",2*N5991*IF(L5991="1/C",O5991,1),0)</f>
        <v/>
      </c>
      <c r="Y5991" s="12">
        <f>IF(OR(LEFT(K5991,4)="LVAX",LEFT(K5991,6)="MV15AX",LEFT(K5991,4)="CTAX",LEFT(K5991,2)="W|"),2*N5991*O5991,0)</f>
        <v/>
      </c>
      <c r="Z5991" s="12" t="inlineStr"/>
      <c r="AA5991" s="12">
        <f>N5991*O5991</f>
        <v/>
      </c>
    </row>
    <row r="5992">
      <c r="A5992" s="12" t="inlineStr">
        <is>
          <t>K-I-0113</t>
        </is>
      </c>
      <c r="B5992" s="12" t="inlineStr">
        <is>
          <t>K</t>
        </is>
      </c>
      <c r="C5992" s="12" t="inlineStr">
        <is>
          <t>Fuel supply (adjacent market)</t>
        </is>
      </c>
      <c r="D5992" s="12" t="inlineStr">
        <is>
          <t>Discrete device to JB JB-LNG-T4-DI01: 4 x 1 pr (field cables)</t>
        </is>
      </c>
      <c r="E5992" s="12" t="inlineStr">
        <is>
          <t>LNG-T4</t>
        </is>
      </c>
      <c r="F5992" s="12" t="inlineStr">
        <is>
          <t>LNG 11: tank 4, Chart HS 50000 (51,780 gal)</t>
        </is>
      </c>
      <c r="G5992" s="12" t="inlineStr">
        <is>
          <t>JB-LNG-T4-DI01</t>
        </is>
      </c>
      <c r="H5992" s="12" t="inlineStr">
        <is>
          <t>LNG 11: tank 4, Chart HS 50000 (51,780 gal)</t>
        </is>
      </c>
      <c r="I5992" s="12" t="inlineStr">
        <is>
          <t>Instrumentation</t>
        </is>
      </c>
      <c r="J5992" s="12" t="inlineStr">
        <is>
          <t>Instrumentation ITC / PLTC, IS, #18 shielded pairs, blue jacket</t>
        </is>
      </c>
      <c r="K5992" s="12" t="inlineStr">
        <is>
          <t>ITC|1 pr|16</t>
        </is>
      </c>
      <c r="L5992" s="12" t="inlineStr">
        <is>
          <t>1 pr</t>
        </is>
      </c>
      <c r="M5992" s="12" t="inlineStr">
        <is>
          <t>16</t>
        </is>
      </c>
      <c r="N5992" s="12" t="n">
        <v>4</v>
      </c>
      <c r="O5992" s="12" t="n">
        <v>1</v>
      </c>
      <c r="P5992" s="12" t="n"/>
      <c r="Q5992" s="12" t="n"/>
      <c r="R5992" s="12" t="n"/>
      <c r="S5992" s="12" t="inlineStr">
        <is>
          <t>Tray / conduit</t>
        </is>
      </c>
      <c r="T5992" s="15" t="n">
        <v>77</v>
      </c>
      <c r="U5992" s="15" t="n">
        <v>10</v>
      </c>
      <c r="V5992" s="15">
        <f>ROUNDUP((T5992+U5992+2*'Read Me'!$B$13)*(1+'Read Me'!$B$12),-1)</f>
        <v/>
      </c>
      <c r="W5992" s="15">
        <f>V5992*N5992*O5992</f>
        <v/>
      </c>
      <c r="X5992" s="12">
        <f>IF(LEFT(I5992,2)="MV",2*N5992*IF(L5992="1/C",O5992,1),0)</f>
        <v/>
      </c>
      <c r="Y5992" s="12">
        <f>IF(OR(LEFT(K5992,4)="LVAX",LEFT(K5992,6)="MV15AX",LEFT(K5992,4)="CTAX",LEFT(K5992,2)="W|"),2*N5992*O5992,0)</f>
        <v/>
      </c>
      <c r="Z5992" s="12" t="inlineStr">
        <is>
          <t>device-to-JB field wiring, one cable per device</t>
        </is>
      </c>
      <c r="AA5992" s="12">
        <f>N5992*O5992</f>
        <v/>
      </c>
    </row>
    <row r="5993">
      <c r="A5993" s="12" t="inlineStr">
        <is>
          <t>K-I-0114</t>
        </is>
      </c>
      <c r="B5993" s="12" t="inlineStr">
        <is>
          <t>K</t>
        </is>
      </c>
      <c r="C5993" s="12" t="inlineStr">
        <is>
          <t>Fuel supply (adjacent market)</t>
        </is>
      </c>
      <c r="D5993" s="12" t="inlineStr">
        <is>
          <t>Home run JB-LNG-T4-DI01 to the control / marshalling room</t>
        </is>
      </c>
      <c r="E5993" s="12" t="inlineStr"/>
      <c r="F5993" s="12" t="inlineStr">
        <is>
          <t>LNG 17: LNG e-house (13.8 kV / 480 V)</t>
        </is>
      </c>
      <c r="G5993" s="12" t="inlineStr">
        <is>
          <t>JB-LNG-T4-DI01</t>
        </is>
      </c>
      <c r="H5993" s="12" t="inlineStr">
        <is>
          <t>LNG 11: tank 4, Chart HS 50000 (51,780 gal)</t>
        </is>
      </c>
      <c r="I5993" s="12" t="inlineStr">
        <is>
          <t>Instrumentation</t>
        </is>
      </c>
      <c r="J5993" s="12" t="inlineStr">
        <is>
          <t>Instrumentation ITC / PLTC, IS, #18 shielded pairs, blue jacket</t>
        </is>
      </c>
      <c r="K5993" s="12" t="inlineStr">
        <is>
          <t>ITC|24 pr|18</t>
        </is>
      </c>
      <c r="L5993" s="12" t="inlineStr">
        <is>
          <t>24 pr</t>
        </is>
      </c>
      <c r="M5993" s="12" t="inlineStr">
        <is>
          <t>18</t>
        </is>
      </c>
      <c r="N5993" s="12" t="n">
        <v>1</v>
      </c>
      <c r="O5993" s="12" t="n">
        <v>1</v>
      </c>
      <c r="P5993" s="12" t="n"/>
      <c r="Q5993" s="12" t="n"/>
      <c r="R5993" s="12" t="n"/>
      <c r="S5993" s="12" t="inlineStr">
        <is>
          <t>Duct bank</t>
        </is>
      </c>
      <c r="T5993" s="15" t="n">
        <v>270</v>
      </c>
      <c r="U5993" s="15" t="n">
        <v>32</v>
      </c>
      <c r="V5993" s="15">
        <f>ROUNDUP((T5993+U5993+2*'Read Me'!$B$13)*(1+'Read Me'!$B$12),-1)</f>
        <v/>
      </c>
      <c r="W5993" s="15">
        <f>V5993*N5993*O5993</f>
        <v/>
      </c>
      <c r="X5993" s="12">
        <f>IF(LEFT(I5993,2)="MV",2*N5993*IF(L5993="1/C",O5993,1),0)</f>
        <v/>
      </c>
      <c r="Y5993" s="12">
        <f>IF(OR(LEFT(K5993,4)="LVAX",LEFT(K5993,6)="MV15AX",LEFT(K5993,4)="CTAX",LEFT(K5993,2)="W|"),2*N5993*O5993,0)</f>
        <v/>
      </c>
      <c r="Z5993" s="12" t="inlineStr"/>
      <c r="AA5993" s="12">
        <f>N5993*O5993</f>
        <v/>
      </c>
    </row>
    <row r="5994">
      <c r="A5994" s="12" t="inlineStr">
        <is>
          <t>K-I-0115</t>
        </is>
      </c>
      <c r="B5994" s="12" t="inlineStr">
        <is>
          <t>K</t>
        </is>
      </c>
      <c r="C5994" s="12" t="inlineStr">
        <is>
          <t>Fuel supply (adjacent market)</t>
        </is>
      </c>
      <c r="D5994" s="12" t="inlineStr">
        <is>
          <t>Analog instrument to JB JB-LNG-T5-AI01: 4 x 1 pr (field cables)</t>
        </is>
      </c>
      <c r="E5994" s="12" t="inlineStr">
        <is>
          <t>LNG-T5</t>
        </is>
      </c>
      <c r="F5994" s="12" t="inlineStr">
        <is>
          <t>LNG 11: tank 5, Chart HS 50000 (51,780 gal)</t>
        </is>
      </c>
      <c r="G5994" s="12" t="inlineStr">
        <is>
          <t>JB-LNG-T5-AI01</t>
        </is>
      </c>
      <c r="H5994" s="12" t="inlineStr">
        <is>
          <t>LNG 11: tank 5, Chart HS 50000 (51,780 gal)</t>
        </is>
      </c>
      <c r="I5994" s="12" t="inlineStr">
        <is>
          <t>Instrumentation</t>
        </is>
      </c>
      <c r="J5994" s="12" t="inlineStr">
        <is>
          <t>Instrumentation ITC / PLTC, IS, #18 shielded pairs, blue jacket</t>
        </is>
      </c>
      <c r="K5994" s="12" t="inlineStr">
        <is>
          <t>ITC|1 pr|16</t>
        </is>
      </c>
      <c r="L5994" s="12" t="inlineStr">
        <is>
          <t>1 pr</t>
        </is>
      </c>
      <c r="M5994" s="12" t="inlineStr">
        <is>
          <t>16</t>
        </is>
      </c>
      <c r="N5994" s="12" t="n">
        <v>4</v>
      </c>
      <c r="O5994" s="12" t="n">
        <v>1</v>
      </c>
      <c r="P5994" s="12" t="n"/>
      <c r="Q5994" s="12" t="n"/>
      <c r="R5994" s="12" t="n"/>
      <c r="S5994" s="12" t="inlineStr">
        <is>
          <t>Tray / conduit</t>
        </is>
      </c>
      <c r="T5994" s="15" t="n">
        <v>77</v>
      </c>
      <c r="U5994" s="15" t="n">
        <v>10</v>
      </c>
      <c r="V5994" s="15">
        <f>ROUNDUP((T5994+U5994+2*'Read Me'!$B$13)*(1+'Read Me'!$B$12),-1)</f>
        <v/>
      </c>
      <c r="W5994" s="15">
        <f>V5994*N5994*O5994</f>
        <v/>
      </c>
      <c r="X5994" s="12">
        <f>IF(LEFT(I5994,2)="MV",2*N5994*IF(L5994="1/C",O5994,1),0)</f>
        <v/>
      </c>
      <c r="Y5994" s="12">
        <f>IF(OR(LEFT(K5994,4)="LVAX",LEFT(K5994,6)="MV15AX",LEFT(K5994,4)="CTAX",LEFT(K5994,2)="W|"),2*N5994*O5994,0)</f>
        <v/>
      </c>
      <c r="Z5994" s="12" t="inlineStr">
        <is>
          <t>device-to-JB field wiring, one cable per device</t>
        </is>
      </c>
      <c r="AA5994" s="12">
        <f>N5994*O5994</f>
        <v/>
      </c>
    </row>
    <row r="5995">
      <c r="A5995" s="12" t="inlineStr">
        <is>
          <t>K-I-0116</t>
        </is>
      </c>
      <c r="B5995" s="12" t="inlineStr">
        <is>
          <t>K</t>
        </is>
      </c>
      <c r="C5995" s="12" t="inlineStr">
        <is>
          <t>Fuel supply (adjacent market)</t>
        </is>
      </c>
      <c r="D5995" s="12" t="inlineStr">
        <is>
          <t>Home run JB-LNG-T5-AI01 to the control / marshalling room</t>
        </is>
      </c>
      <c r="E5995" s="12" t="inlineStr"/>
      <c r="F5995" s="12" t="inlineStr">
        <is>
          <t>LNG 17: LNG e-house (13.8 kV / 480 V)</t>
        </is>
      </c>
      <c r="G5995" s="12" t="inlineStr">
        <is>
          <t>JB-LNG-T5-AI01</t>
        </is>
      </c>
      <c r="H5995" s="12" t="inlineStr">
        <is>
          <t>LNG 11: tank 5, Chart HS 50000 (51,780 gal)</t>
        </is>
      </c>
      <c r="I5995" s="12" t="inlineStr">
        <is>
          <t>Instrumentation</t>
        </is>
      </c>
      <c r="J5995" s="12" t="inlineStr">
        <is>
          <t>Instrumentation ITC / PLTC, IS, #18 shielded pairs, blue jacket</t>
        </is>
      </c>
      <c r="K5995" s="12" t="inlineStr">
        <is>
          <t>ITC|24 pr|18</t>
        </is>
      </c>
      <c r="L5995" s="12" t="inlineStr">
        <is>
          <t>24 pr</t>
        </is>
      </c>
      <c r="M5995" s="12" t="inlineStr">
        <is>
          <t>18</t>
        </is>
      </c>
      <c r="N5995" s="12" t="n">
        <v>1</v>
      </c>
      <c r="O5995" s="12" t="n">
        <v>1</v>
      </c>
      <c r="P5995" s="12" t="n"/>
      <c r="Q5995" s="12" t="n"/>
      <c r="R5995" s="12" t="n"/>
      <c r="S5995" s="12" t="inlineStr">
        <is>
          <t>Duct bank</t>
        </is>
      </c>
      <c r="T5995" s="15" t="n">
        <v>290</v>
      </c>
      <c r="U5995" s="15" t="n">
        <v>32</v>
      </c>
      <c r="V5995" s="15">
        <f>ROUNDUP((T5995+U5995+2*'Read Me'!$B$13)*(1+'Read Me'!$B$12),-1)</f>
        <v/>
      </c>
      <c r="W5995" s="15">
        <f>V5995*N5995*O5995</f>
        <v/>
      </c>
      <c r="X5995" s="12">
        <f>IF(LEFT(I5995,2)="MV",2*N5995*IF(L5995="1/C",O5995,1),0)</f>
        <v/>
      </c>
      <c r="Y5995" s="12">
        <f>IF(OR(LEFT(K5995,4)="LVAX",LEFT(K5995,6)="MV15AX",LEFT(K5995,4)="CTAX",LEFT(K5995,2)="W|"),2*N5995*O5995,0)</f>
        <v/>
      </c>
      <c r="Z5995" s="12" t="inlineStr"/>
      <c r="AA5995" s="12">
        <f>N5995*O5995</f>
        <v/>
      </c>
    </row>
    <row r="5996">
      <c r="A5996" s="12" t="inlineStr">
        <is>
          <t>K-I-0117</t>
        </is>
      </c>
      <c r="B5996" s="12" t="inlineStr">
        <is>
          <t>K</t>
        </is>
      </c>
      <c r="C5996" s="12" t="inlineStr">
        <is>
          <t>Fuel supply (adjacent market)</t>
        </is>
      </c>
      <c r="D5996" s="12" t="inlineStr">
        <is>
          <t>Discrete device to JB JB-LNG-T5-DI01: 4 x 1 pr (field cables)</t>
        </is>
      </c>
      <c r="E5996" s="12" t="inlineStr">
        <is>
          <t>LNG-T5</t>
        </is>
      </c>
      <c r="F5996" s="12" t="inlineStr">
        <is>
          <t>LNG 11: tank 5, Chart HS 50000 (51,780 gal)</t>
        </is>
      </c>
      <c r="G5996" s="12" t="inlineStr">
        <is>
          <t>JB-LNG-T5-DI01</t>
        </is>
      </c>
      <c r="H5996" s="12" t="inlineStr">
        <is>
          <t>LNG 11: tank 5, Chart HS 50000 (51,780 gal)</t>
        </is>
      </c>
      <c r="I5996" s="12" t="inlineStr">
        <is>
          <t>Instrumentation</t>
        </is>
      </c>
      <c r="J5996" s="12" t="inlineStr">
        <is>
          <t>Instrumentation ITC / PLTC, IS, #18 shielded pairs, blue jacket</t>
        </is>
      </c>
      <c r="K5996" s="12" t="inlineStr">
        <is>
          <t>ITC|1 pr|16</t>
        </is>
      </c>
      <c r="L5996" s="12" t="inlineStr">
        <is>
          <t>1 pr</t>
        </is>
      </c>
      <c r="M5996" s="12" t="inlineStr">
        <is>
          <t>16</t>
        </is>
      </c>
      <c r="N5996" s="12" t="n">
        <v>4</v>
      </c>
      <c r="O5996" s="12" t="n">
        <v>1</v>
      </c>
      <c r="P5996" s="12" t="n"/>
      <c r="Q5996" s="12" t="n"/>
      <c r="R5996" s="12" t="n"/>
      <c r="S5996" s="12" t="inlineStr">
        <is>
          <t>Tray / conduit</t>
        </is>
      </c>
      <c r="T5996" s="15" t="n">
        <v>77</v>
      </c>
      <c r="U5996" s="15" t="n">
        <v>10</v>
      </c>
      <c r="V5996" s="15">
        <f>ROUNDUP((T5996+U5996+2*'Read Me'!$B$13)*(1+'Read Me'!$B$12),-1)</f>
        <v/>
      </c>
      <c r="W5996" s="15">
        <f>V5996*N5996*O5996</f>
        <v/>
      </c>
      <c r="X5996" s="12">
        <f>IF(LEFT(I5996,2)="MV",2*N5996*IF(L5996="1/C",O5996,1),0)</f>
        <v/>
      </c>
      <c r="Y5996" s="12">
        <f>IF(OR(LEFT(K5996,4)="LVAX",LEFT(K5996,6)="MV15AX",LEFT(K5996,4)="CTAX",LEFT(K5996,2)="W|"),2*N5996*O5996,0)</f>
        <v/>
      </c>
      <c r="Z5996" s="12" t="inlineStr">
        <is>
          <t>device-to-JB field wiring, one cable per device</t>
        </is>
      </c>
      <c r="AA5996" s="12">
        <f>N5996*O5996</f>
        <v/>
      </c>
    </row>
    <row r="5997">
      <c r="A5997" s="12" t="inlineStr">
        <is>
          <t>K-I-0118</t>
        </is>
      </c>
      <c r="B5997" s="12" t="inlineStr">
        <is>
          <t>K</t>
        </is>
      </c>
      <c r="C5997" s="12" t="inlineStr">
        <is>
          <t>Fuel supply (adjacent market)</t>
        </is>
      </c>
      <c r="D5997" s="12" t="inlineStr">
        <is>
          <t>Home run JB-LNG-T5-DI01 to the control / marshalling room</t>
        </is>
      </c>
      <c r="E5997" s="12" t="inlineStr"/>
      <c r="F5997" s="12" t="inlineStr">
        <is>
          <t>LNG 17: LNG e-house (13.8 kV / 480 V)</t>
        </is>
      </c>
      <c r="G5997" s="12" t="inlineStr">
        <is>
          <t>JB-LNG-T5-DI01</t>
        </is>
      </c>
      <c r="H5997" s="12" t="inlineStr">
        <is>
          <t>LNG 11: tank 5, Chart HS 50000 (51,780 gal)</t>
        </is>
      </c>
      <c r="I5997" s="12" t="inlineStr">
        <is>
          <t>Instrumentation</t>
        </is>
      </c>
      <c r="J5997" s="12" t="inlineStr">
        <is>
          <t>Instrumentation ITC / PLTC, IS, #18 shielded pairs, blue jacket</t>
        </is>
      </c>
      <c r="K5997" s="12" t="inlineStr">
        <is>
          <t>ITC|24 pr|18</t>
        </is>
      </c>
      <c r="L5997" s="12" t="inlineStr">
        <is>
          <t>24 pr</t>
        </is>
      </c>
      <c r="M5997" s="12" t="inlineStr">
        <is>
          <t>18</t>
        </is>
      </c>
      <c r="N5997" s="12" t="n">
        <v>1</v>
      </c>
      <c r="O5997" s="12" t="n">
        <v>1</v>
      </c>
      <c r="P5997" s="12" t="n"/>
      <c r="Q5997" s="12" t="n"/>
      <c r="R5997" s="12" t="n"/>
      <c r="S5997" s="12" t="inlineStr">
        <is>
          <t>Duct bank</t>
        </is>
      </c>
      <c r="T5997" s="15" t="n">
        <v>290</v>
      </c>
      <c r="U5997" s="15" t="n">
        <v>32</v>
      </c>
      <c r="V5997" s="15">
        <f>ROUNDUP((T5997+U5997+2*'Read Me'!$B$13)*(1+'Read Me'!$B$12),-1)</f>
        <v/>
      </c>
      <c r="W5997" s="15">
        <f>V5997*N5997*O5997</f>
        <v/>
      </c>
      <c r="X5997" s="12">
        <f>IF(LEFT(I5997,2)="MV",2*N5997*IF(L5997="1/C",O5997,1),0)</f>
        <v/>
      </c>
      <c r="Y5997" s="12">
        <f>IF(OR(LEFT(K5997,4)="LVAX",LEFT(K5997,6)="MV15AX",LEFT(K5997,4)="CTAX",LEFT(K5997,2)="W|"),2*N5997*O5997,0)</f>
        <v/>
      </c>
      <c r="Z5997" s="12" t="inlineStr"/>
      <c r="AA5997" s="12">
        <f>N5997*O5997</f>
        <v/>
      </c>
    </row>
    <row r="5998">
      <c r="A5998" s="12" t="inlineStr">
        <is>
          <t>K-I-0119</t>
        </is>
      </c>
      <c r="B5998" s="12" t="inlineStr">
        <is>
          <t>K</t>
        </is>
      </c>
      <c r="C5998" s="12" t="inlineStr">
        <is>
          <t>Fuel supply (adjacent market)</t>
        </is>
      </c>
      <c r="D5998" s="12" t="inlineStr">
        <is>
          <t>Analog instrument to JB JB-LNG-T6-AI01: 4 x 1 pr (field cables)</t>
        </is>
      </c>
      <c r="E5998" s="12" t="inlineStr">
        <is>
          <t>LNG-T6</t>
        </is>
      </c>
      <c r="F5998" s="12" t="inlineStr">
        <is>
          <t>LNG 11: tank 6, Chart HS 50000 (51,780 gal)</t>
        </is>
      </c>
      <c r="G5998" s="12" t="inlineStr">
        <is>
          <t>JB-LNG-T6-AI01</t>
        </is>
      </c>
      <c r="H5998" s="12" t="inlineStr">
        <is>
          <t>LNG 11: tank 6, Chart HS 50000 (51,780 gal)</t>
        </is>
      </c>
      <c r="I5998" s="12" t="inlineStr">
        <is>
          <t>Instrumentation</t>
        </is>
      </c>
      <c r="J5998" s="12" t="inlineStr">
        <is>
          <t>Instrumentation ITC / PLTC, IS, #18 shielded pairs, blue jacket</t>
        </is>
      </c>
      <c r="K5998" s="12" t="inlineStr">
        <is>
          <t>ITC|1 pr|16</t>
        </is>
      </c>
      <c r="L5998" s="12" t="inlineStr">
        <is>
          <t>1 pr</t>
        </is>
      </c>
      <c r="M5998" s="12" t="inlineStr">
        <is>
          <t>16</t>
        </is>
      </c>
      <c r="N5998" s="12" t="n">
        <v>4</v>
      </c>
      <c r="O5998" s="12" t="n">
        <v>1</v>
      </c>
      <c r="P5998" s="12" t="n"/>
      <c r="Q5998" s="12" t="n"/>
      <c r="R5998" s="12" t="n"/>
      <c r="S5998" s="12" t="inlineStr">
        <is>
          <t>Tray / conduit</t>
        </is>
      </c>
      <c r="T5998" s="15" t="n">
        <v>77</v>
      </c>
      <c r="U5998" s="15" t="n">
        <v>10</v>
      </c>
      <c r="V5998" s="15">
        <f>ROUNDUP((T5998+U5998+2*'Read Me'!$B$13)*(1+'Read Me'!$B$12),-1)</f>
        <v/>
      </c>
      <c r="W5998" s="15">
        <f>V5998*N5998*O5998</f>
        <v/>
      </c>
      <c r="X5998" s="12">
        <f>IF(LEFT(I5998,2)="MV",2*N5998*IF(L5998="1/C",O5998,1),0)</f>
        <v/>
      </c>
      <c r="Y5998" s="12">
        <f>IF(OR(LEFT(K5998,4)="LVAX",LEFT(K5998,6)="MV15AX",LEFT(K5998,4)="CTAX",LEFT(K5998,2)="W|"),2*N5998*O5998,0)</f>
        <v/>
      </c>
      <c r="Z5998" s="12" t="inlineStr">
        <is>
          <t>device-to-JB field wiring, one cable per device</t>
        </is>
      </c>
      <c r="AA5998" s="12">
        <f>N5998*O5998</f>
        <v/>
      </c>
    </row>
    <row r="5999">
      <c r="A5999" s="12" t="inlineStr">
        <is>
          <t>K-I-0120</t>
        </is>
      </c>
      <c r="B5999" s="12" t="inlineStr">
        <is>
          <t>K</t>
        </is>
      </c>
      <c r="C5999" s="12" t="inlineStr">
        <is>
          <t>Fuel supply (adjacent market)</t>
        </is>
      </c>
      <c r="D5999" s="12" t="inlineStr">
        <is>
          <t>Home run JB-LNG-T6-AI01 to the control / marshalling room</t>
        </is>
      </c>
      <c r="E5999" s="12" t="inlineStr"/>
      <c r="F5999" s="12" t="inlineStr">
        <is>
          <t>LNG 17: LNG e-house (13.8 kV / 480 V)</t>
        </is>
      </c>
      <c r="G5999" s="12" t="inlineStr">
        <is>
          <t>JB-LNG-T6-AI01</t>
        </is>
      </c>
      <c r="H5999" s="12" t="inlineStr">
        <is>
          <t>LNG 11: tank 6, Chart HS 50000 (51,780 gal)</t>
        </is>
      </c>
      <c r="I5999" s="12" t="inlineStr">
        <is>
          <t>Instrumentation</t>
        </is>
      </c>
      <c r="J5999" s="12" t="inlineStr">
        <is>
          <t>Instrumentation ITC / PLTC, IS, #18 shielded pairs, blue jacket</t>
        </is>
      </c>
      <c r="K5999" s="12" t="inlineStr">
        <is>
          <t>ITC|24 pr|18</t>
        </is>
      </c>
      <c r="L5999" s="12" t="inlineStr">
        <is>
          <t>24 pr</t>
        </is>
      </c>
      <c r="M5999" s="12" t="inlineStr">
        <is>
          <t>18</t>
        </is>
      </c>
      <c r="N5999" s="12" t="n">
        <v>1</v>
      </c>
      <c r="O5999" s="12" t="n">
        <v>1</v>
      </c>
      <c r="P5999" s="12" t="n"/>
      <c r="Q5999" s="12" t="n"/>
      <c r="R5999" s="12" t="n"/>
      <c r="S5999" s="12" t="inlineStr">
        <is>
          <t>Duct bank</t>
        </is>
      </c>
      <c r="T5999" s="15" t="n">
        <v>310</v>
      </c>
      <c r="U5999" s="15" t="n">
        <v>32</v>
      </c>
      <c r="V5999" s="15">
        <f>ROUNDUP((T5999+U5999+2*'Read Me'!$B$13)*(1+'Read Me'!$B$12),-1)</f>
        <v/>
      </c>
      <c r="W5999" s="15">
        <f>V5999*N5999*O5999</f>
        <v/>
      </c>
      <c r="X5999" s="12">
        <f>IF(LEFT(I5999,2)="MV",2*N5999*IF(L5999="1/C",O5999,1),0)</f>
        <v/>
      </c>
      <c r="Y5999" s="12">
        <f>IF(OR(LEFT(K5999,4)="LVAX",LEFT(K5999,6)="MV15AX",LEFT(K5999,4)="CTAX",LEFT(K5999,2)="W|"),2*N5999*O5999,0)</f>
        <v/>
      </c>
      <c r="Z5999" s="12" t="inlineStr"/>
      <c r="AA5999" s="12">
        <f>N5999*O5999</f>
        <v/>
      </c>
    </row>
    <row r="6000">
      <c r="A6000" s="12" t="inlineStr">
        <is>
          <t>K-I-0121</t>
        </is>
      </c>
      <c r="B6000" s="12" t="inlineStr">
        <is>
          <t>K</t>
        </is>
      </c>
      <c r="C6000" s="12" t="inlineStr">
        <is>
          <t>Fuel supply (adjacent market)</t>
        </is>
      </c>
      <c r="D6000" s="12" t="inlineStr">
        <is>
          <t>Discrete device to JB JB-LNG-T6-DI01: 4 x 1 pr (field cables)</t>
        </is>
      </c>
      <c r="E6000" s="12" t="inlineStr">
        <is>
          <t>LNG-T6</t>
        </is>
      </c>
      <c r="F6000" s="12" t="inlineStr">
        <is>
          <t>LNG 11: tank 6, Chart HS 50000 (51,780 gal)</t>
        </is>
      </c>
      <c r="G6000" s="12" t="inlineStr">
        <is>
          <t>JB-LNG-T6-DI01</t>
        </is>
      </c>
      <c r="H6000" s="12" t="inlineStr">
        <is>
          <t>LNG 11: tank 6, Chart HS 50000 (51,780 gal)</t>
        </is>
      </c>
      <c r="I6000" s="12" t="inlineStr">
        <is>
          <t>Instrumentation</t>
        </is>
      </c>
      <c r="J6000" s="12" t="inlineStr">
        <is>
          <t>Instrumentation ITC / PLTC, IS, #18 shielded pairs, blue jacket</t>
        </is>
      </c>
      <c r="K6000" s="12" t="inlineStr">
        <is>
          <t>ITC|1 pr|16</t>
        </is>
      </c>
      <c r="L6000" s="12" t="inlineStr">
        <is>
          <t>1 pr</t>
        </is>
      </c>
      <c r="M6000" s="12" t="inlineStr">
        <is>
          <t>16</t>
        </is>
      </c>
      <c r="N6000" s="12" t="n">
        <v>4</v>
      </c>
      <c r="O6000" s="12" t="n">
        <v>1</v>
      </c>
      <c r="P6000" s="12" t="n"/>
      <c r="Q6000" s="12" t="n"/>
      <c r="R6000" s="12" t="n"/>
      <c r="S6000" s="12" t="inlineStr">
        <is>
          <t>Tray / conduit</t>
        </is>
      </c>
      <c r="T6000" s="15" t="n">
        <v>77</v>
      </c>
      <c r="U6000" s="15" t="n">
        <v>10</v>
      </c>
      <c r="V6000" s="15">
        <f>ROUNDUP((T6000+U6000+2*'Read Me'!$B$13)*(1+'Read Me'!$B$12),-1)</f>
        <v/>
      </c>
      <c r="W6000" s="15">
        <f>V6000*N6000*O6000</f>
        <v/>
      </c>
      <c r="X6000" s="12">
        <f>IF(LEFT(I6000,2)="MV",2*N6000*IF(L6000="1/C",O6000,1),0)</f>
        <v/>
      </c>
      <c r="Y6000" s="12">
        <f>IF(OR(LEFT(K6000,4)="LVAX",LEFT(K6000,6)="MV15AX",LEFT(K6000,4)="CTAX",LEFT(K6000,2)="W|"),2*N6000*O6000,0)</f>
        <v/>
      </c>
      <c r="Z6000" s="12" t="inlineStr">
        <is>
          <t>device-to-JB field wiring, one cable per device</t>
        </is>
      </c>
      <c r="AA6000" s="12">
        <f>N6000*O6000</f>
        <v/>
      </c>
    </row>
    <row r="6001">
      <c r="A6001" s="12" t="inlineStr">
        <is>
          <t>K-I-0122</t>
        </is>
      </c>
      <c r="B6001" s="12" t="inlineStr">
        <is>
          <t>K</t>
        </is>
      </c>
      <c r="C6001" s="12" t="inlineStr">
        <is>
          <t>Fuel supply (adjacent market)</t>
        </is>
      </c>
      <c r="D6001" s="12" t="inlineStr">
        <is>
          <t>Home run JB-LNG-T6-DI01 to the control / marshalling room</t>
        </is>
      </c>
      <c r="E6001" s="12" t="inlineStr"/>
      <c r="F6001" s="12" t="inlineStr">
        <is>
          <t>LNG 17: LNG e-house (13.8 kV / 480 V)</t>
        </is>
      </c>
      <c r="G6001" s="12" t="inlineStr">
        <is>
          <t>JB-LNG-T6-DI01</t>
        </is>
      </c>
      <c r="H6001" s="12" t="inlineStr">
        <is>
          <t>LNG 11: tank 6, Chart HS 50000 (51,780 gal)</t>
        </is>
      </c>
      <c r="I6001" s="12" t="inlineStr">
        <is>
          <t>Instrumentation</t>
        </is>
      </c>
      <c r="J6001" s="12" t="inlineStr">
        <is>
          <t>Instrumentation ITC / PLTC, IS, #18 shielded pairs, blue jacket</t>
        </is>
      </c>
      <c r="K6001" s="12" t="inlineStr">
        <is>
          <t>ITC|24 pr|18</t>
        </is>
      </c>
      <c r="L6001" s="12" t="inlineStr">
        <is>
          <t>24 pr</t>
        </is>
      </c>
      <c r="M6001" s="12" t="inlineStr">
        <is>
          <t>18</t>
        </is>
      </c>
      <c r="N6001" s="12" t="n">
        <v>1</v>
      </c>
      <c r="O6001" s="12" t="n">
        <v>1</v>
      </c>
      <c r="P6001" s="12" t="n"/>
      <c r="Q6001" s="12" t="n"/>
      <c r="R6001" s="12" t="n"/>
      <c r="S6001" s="12" t="inlineStr">
        <is>
          <t>Duct bank</t>
        </is>
      </c>
      <c r="T6001" s="15" t="n">
        <v>310</v>
      </c>
      <c r="U6001" s="15" t="n">
        <v>32</v>
      </c>
      <c r="V6001" s="15">
        <f>ROUNDUP((T6001+U6001+2*'Read Me'!$B$13)*(1+'Read Me'!$B$12),-1)</f>
        <v/>
      </c>
      <c r="W6001" s="15">
        <f>V6001*N6001*O6001</f>
        <v/>
      </c>
      <c r="X6001" s="12">
        <f>IF(LEFT(I6001,2)="MV",2*N6001*IF(L6001="1/C",O6001,1),0)</f>
        <v/>
      </c>
      <c r="Y6001" s="12">
        <f>IF(OR(LEFT(K6001,4)="LVAX",LEFT(K6001,6)="MV15AX",LEFT(K6001,4)="CTAX",LEFT(K6001,2)="W|"),2*N6001*O6001,0)</f>
        <v/>
      </c>
      <c r="Z6001" s="12" t="inlineStr"/>
      <c r="AA6001" s="12">
        <f>N6001*O6001</f>
        <v/>
      </c>
    </row>
    <row r="6002">
      <c r="A6002" s="12" t="inlineStr">
        <is>
          <t>K-I-0123</t>
        </is>
      </c>
      <c r="B6002" s="12" t="inlineStr">
        <is>
          <t>K</t>
        </is>
      </c>
      <c r="C6002" s="12" t="inlineStr">
        <is>
          <t>Fuel supply (adjacent market)</t>
        </is>
      </c>
      <c r="D6002" s="12" t="inlineStr">
        <is>
          <t>Analog instrument to JB JB-LNG-T7-AI01: 4 x 1 pr (field cables)</t>
        </is>
      </c>
      <c r="E6002" s="12" t="inlineStr">
        <is>
          <t>LNG-T7</t>
        </is>
      </c>
      <c r="F6002" s="12" t="inlineStr">
        <is>
          <t>LNG 11: tank 7, Chart HS 50000 (51,780 gal)</t>
        </is>
      </c>
      <c r="G6002" s="12" t="inlineStr">
        <is>
          <t>JB-LNG-T7-AI01</t>
        </is>
      </c>
      <c r="H6002" s="12" t="inlineStr">
        <is>
          <t>LNG 11: tank 7, Chart HS 50000 (51,780 gal)</t>
        </is>
      </c>
      <c r="I6002" s="12" t="inlineStr">
        <is>
          <t>Instrumentation</t>
        </is>
      </c>
      <c r="J6002" s="12" t="inlineStr">
        <is>
          <t>Instrumentation ITC / PLTC, IS, #18 shielded pairs, blue jacket</t>
        </is>
      </c>
      <c r="K6002" s="12" t="inlineStr">
        <is>
          <t>ITC|1 pr|16</t>
        </is>
      </c>
      <c r="L6002" s="12" t="inlineStr">
        <is>
          <t>1 pr</t>
        </is>
      </c>
      <c r="M6002" s="12" t="inlineStr">
        <is>
          <t>16</t>
        </is>
      </c>
      <c r="N6002" s="12" t="n">
        <v>4</v>
      </c>
      <c r="O6002" s="12" t="n">
        <v>1</v>
      </c>
      <c r="P6002" s="12" t="n"/>
      <c r="Q6002" s="12" t="n"/>
      <c r="R6002" s="12" t="n"/>
      <c r="S6002" s="12" t="inlineStr">
        <is>
          <t>Tray / conduit</t>
        </is>
      </c>
      <c r="T6002" s="15" t="n">
        <v>77</v>
      </c>
      <c r="U6002" s="15" t="n">
        <v>10</v>
      </c>
      <c r="V6002" s="15">
        <f>ROUNDUP((T6002+U6002+2*'Read Me'!$B$13)*(1+'Read Me'!$B$12),-1)</f>
        <v/>
      </c>
      <c r="W6002" s="15">
        <f>V6002*N6002*O6002</f>
        <v/>
      </c>
      <c r="X6002" s="12">
        <f>IF(LEFT(I6002,2)="MV",2*N6002*IF(L6002="1/C",O6002,1),0)</f>
        <v/>
      </c>
      <c r="Y6002" s="12">
        <f>IF(OR(LEFT(K6002,4)="LVAX",LEFT(K6002,6)="MV15AX",LEFT(K6002,4)="CTAX",LEFT(K6002,2)="W|"),2*N6002*O6002,0)</f>
        <v/>
      </c>
      <c r="Z6002" s="12" t="inlineStr">
        <is>
          <t>device-to-JB field wiring, one cable per device</t>
        </is>
      </c>
      <c r="AA6002" s="12">
        <f>N6002*O6002</f>
        <v/>
      </c>
    </row>
    <row r="6003">
      <c r="A6003" s="12" t="inlineStr">
        <is>
          <t>K-I-0124</t>
        </is>
      </c>
      <c r="B6003" s="12" t="inlineStr">
        <is>
          <t>K</t>
        </is>
      </c>
      <c r="C6003" s="12" t="inlineStr">
        <is>
          <t>Fuel supply (adjacent market)</t>
        </is>
      </c>
      <c r="D6003" s="12" t="inlineStr">
        <is>
          <t>Home run JB-LNG-T7-AI01 to the control / marshalling room</t>
        </is>
      </c>
      <c r="E6003" s="12" t="inlineStr"/>
      <c r="F6003" s="12" t="inlineStr">
        <is>
          <t>LNG 17: LNG e-house (13.8 kV / 480 V)</t>
        </is>
      </c>
      <c r="G6003" s="12" t="inlineStr">
        <is>
          <t>JB-LNG-T7-AI01</t>
        </is>
      </c>
      <c r="H6003" s="12" t="inlineStr">
        <is>
          <t>LNG 11: tank 7, Chart HS 50000 (51,780 gal)</t>
        </is>
      </c>
      <c r="I6003" s="12" t="inlineStr">
        <is>
          <t>Instrumentation</t>
        </is>
      </c>
      <c r="J6003" s="12" t="inlineStr">
        <is>
          <t>Instrumentation ITC / PLTC, IS, #18 shielded pairs, blue jacket</t>
        </is>
      </c>
      <c r="K6003" s="12" t="inlineStr">
        <is>
          <t>ITC|24 pr|18</t>
        </is>
      </c>
      <c r="L6003" s="12" t="inlineStr">
        <is>
          <t>24 pr</t>
        </is>
      </c>
      <c r="M6003" s="12" t="inlineStr">
        <is>
          <t>18</t>
        </is>
      </c>
      <c r="N6003" s="12" t="n">
        <v>1</v>
      </c>
      <c r="O6003" s="12" t="n">
        <v>1</v>
      </c>
      <c r="P6003" s="12" t="n"/>
      <c r="Q6003" s="12" t="n"/>
      <c r="R6003" s="12" t="n"/>
      <c r="S6003" s="12" t="inlineStr">
        <is>
          <t>Duct bank</t>
        </is>
      </c>
      <c r="T6003" s="15" t="n">
        <v>330</v>
      </c>
      <c r="U6003" s="15" t="n">
        <v>32</v>
      </c>
      <c r="V6003" s="15">
        <f>ROUNDUP((T6003+U6003+2*'Read Me'!$B$13)*(1+'Read Me'!$B$12),-1)</f>
        <v/>
      </c>
      <c r="W6003" s="15">
        <f>V6003*N6003*O6003</f>
        <v/>
      </c>
      <c r="X6003" s="12">
        <f>IF(LEFT(I6003,2)="MV",2*N6003*IF(L6003="1/C",O6003,1),0)</f>
        <v/>
      </c>
      <c r="Y6003" s="12">
        <f>IF(OR(LEFT(K6003,4)="LVAX",LEFT(K6003,6)="MV15AX",LEFT(K6003,4)="CTAX",LEFT(K6003,2)="W|"),2*N6003*O6003,0)</f>
        <v/>
      </c>
      <c r="Z6003" s="12" t="inlineStr"/>
      <c r="AA6003" s="12">
        <f>N6003*O6003</f>
        <v/>
      </c>
    </row>
    <row r="6004">
      <c r="A6004" s="12" t="inlineStr">
        <is>
          <t>K-I-0125</t>
        </is>
      </c>
      <c r="B6004" s="12" t="inlineStr">
        <is>
          <t>K</t>
        </is>
      </c>
      <c r="C6004" s="12" t="inlineStr">
        <is>
          <t>Fuel supply (adjacent market)</t>
        </is>
      </c>
      <c r="D6004" s="12" t="inlineStr">
        <is>
          <t>Discrete device to JB JB-LNG-T7-DI01: 4 x 1 pr (field cables)</t>
        </is>
      </c>
      <c r="E6004" s="12" t="inlineStr">
        <is>
          <t>LNG-T7</t>
        </is>
      </c>
      <c r="F6004" s="12" t="inlineStr">
        <is>
          <t>LNG 11: tank 7, Chart HS 50000 (51,780 gal)</t>
        </is>
      </c>
      <c r="G6004" s="12" t="inlineStr">
        <is>
          <t>JB-LNG-T7-DI01</t>
        </is>
      </c>
      <c r="H6004" s="12" t="inlineStr">
        <is>
          <t>LNG 11: tank 7, Chart HS 50000 (51,780 gal)</t>
        </is>
      </c>
      <c r="I6004" s="12" t="inlineStr">
        <is>
          <t>Instrumentation</t>
        </is>
      </c>
      <c r="J6004" s="12" t="inlineStr">
        <is>
          <t>Instrumentation ITC / PLTC, IS, #18 shielded pairs, blue jacket</t>
        </is>
      </c>
      <c r="K6004" s="12" t="inlineStr">
        <is>
          <t>ITC|1 pr|16</t>
        </is>
      </c>
      <c r="L6004" s="12" t="inlineStr">
        <is>
          <t>1 pr</t>
        </is>
      </c>
      <c r="M6004" s="12" t="inlineStr">
        <is>
          <t>16</t>
        </is>
      </c>
      <c r="N6004" s="12" t="n">
        <v>4</v>
      </c>
      <c r="O6004" s="12" t="n">
        <v>1</v>
      </c>
      <c r="P6004" s="12" t="n"/>
      <c r="Q6004" s="12" t="n"/>
      <c r="R6004" s="12" t="n"/>
      <c r="S6004" s="12" t="inlineStr">
        <is>
          <t>Tray / conduit</t>
        </is>
      </c>
      <c r="T6004" s="15" t="n">
        <v>77</v>
      </c>
      <c r="U6004" s="15" t="n">
        <v>10</v>
      </c>
      <c r="V6004" s="15">
        <f>ROUNDUP((T6004+U6004+2*'Read Me'!$B$13)*(1+'Read Me'!$B$12),-1)</f>
        <v/>
      </c>
      <c r="W6004" s="15">
        <f>V6004*N6004*O6004</f>
        <v/>
      </c>
      <c r="X6004" s="12">
        <f>IF(LEFT(I6004,2)="MV",2*N6004*IF(L6004="1/C",O6004,1),0)</f>
        <v/>
      </c>
      <c r="Y6004" s="12">
        <f>IF(OR(LEFT(K6004,4)="LVAX",LEFT(K6004,6)="MV15AX",LEFT(K6004,4)="CTAX",LEFT(K6004,2)="W|"),2*N6004*O6004,0)</f>
        <v/>
      </c>
      <c r="Z6004" s="12" t="inlineStr">
        <is>
          <t>device-to-JB field wiring, one cable per device</t>
        </is>
      </c>
      <c r="AA6004" s="12">
        <f>N6004*O6004</f>
        <v/>
      </c>
    </row>
    <row r="6005">
      <c r="A6005" s="12" t="inlineStr">
        <is>
          <t>K-I-0126</t>
        </is>
      </c>
      <c r="B6005" s="12" t="inlineStr">
        <is>
          <t>K</t>
        </is>
      </c>
      <c r="C6005" s="12" t="inlineStr">
        <is>
          <t>Fuel supply (adjacent market)</t>
        </is>
      </c>
      <c r="D6005" s="12" t="inlineStr">
        <is>
          <t>Home run JB-LNG-T7-DI01 to the control / marshalling room</t>
        </is>
      </c>
      <c r="E6005" s="12" t="inlineStr"/>
      <c r="F6005" s="12" t="inlineStr">
        <is>
          <t>LNG 17: LNG e-house (13.8 kV / 480 V)</t>
        </is>
      </c>
      <c r="G6005" s="12" t="inlineStr">
        <is>
          <t>JB-LNG-T7-DI01</t>
        </is>
      </c>
      <c r="H6005" s="12" t="inlineStr">
        <is>
          <t>LNG 11: tank 7, Chart HS 50000 (51,780 gal)</t>
        </is>
      </c>
      <c r="I6005" s="12" t="inlineStr">
        <is>
          <t>Instrumentation</t>
        </is>
      </c>
      <c r="J6005" s="12" t="inlineStr">
        <is>
          <t>Instrumentation ITC / PLTC, IS, #18 shielded pairs, blue jacket</t>
        </is>
      </c>
      <c r="K6005" s="12" t="inlineStr">
        <is>
          <t>ITC|24 pr|18</t>
        </is>
      </c>
      <c r="L6005" s="12" t="inlineStr">
        <is>
          <t>24 pr</t>
        </is>
      </c>
      <c r="M6005" s="12" t="inlineStr">
        <is>
          <t>18</t>
        </is>
      </c>
      <c r="N6005" s="12" t="n">
        <v>1</v>
      </c>
      <c r="O6005" s="12" t="n">
        <v>1</v>
      </c>
      <c r="P6005" s="12" t="n"/>
      <c r="Q6005" s="12" t="n"/>
      <c r="R6005" s="12" t="n"/>
      <c r="S6005" s="12" t="inlineStr">
        <is>
          <t>Duct bank</t>
        </is>
      </c>
      <c r="T6005" s="15" t="n">
        <v>330</v>
      </c>
      <c r="U6005" s="15" t="n">
        <v>32</v>
      </c>
      <c r="V6005" s="15">
        <f>ROUNDUP((T6005+U6005+2*'Read Me'!$B$13)*(1+'Read Me'!$B$12),-1)</f>
        <v/>
      </c>
      <c r="W6005" s="15">
        <f>V6005*N6005*O6005</f>
        <v/>
      </c>
      <c r="X6005" s="12">
        <f>IF(LEFT(I6005,2)="MV",2*N6005*IF(L6005="1/C",O6005,1),0)</f>
        <v/>
      </c>
      <c r="Y6005" s="12">
        <f>IF(OR(LEFT(K6005,4)="LVAX",LEFT(K6005,6)="MV15AX",LEFT(K6005,4)="CTAX",LEFT(K6005,2)="W|"),2*N6005*O6005,0)</f>
        <v/>
      </c>
      <c r="Z6005" s="12" t="inlineStr"/>
      <c r="AA6005" s="12">
        <f>N6005*O6005</f>
        <v/>
      </c>
    </row>
    <row r="6006">
      <c r="A6006" s="12" t="inlineStr">
        <is>
          <t>K-I-0127</t>
        </is>
      </c>
      <c r="B6006" s="12" t="inlineStr">
        <is>
          <t>K</t>
        </is>
      </c>
      <c r="C6006" s="12" t="inlineStr">
        <is>
          <t>Fuel supply (adjacent market)</t>
        </is>
      </c>
      <c r="D6006" s="12" t="inlineStr">
        <is>
          <t>Analog instrument to JB JB-LNG-T8-AI01: 4 x 1 pr (field cables)</t>
        </is>
      </c>
      <c r="E6006" s="12" t="inlineStr">
        <is>
          <t>LNG-T8</t>
        </is>
      </c>
      <c r="F6006" s="12" t="inlineStr">
        <is>
          <t>LNG 11: tank 8, Chart HS 50000 (51,780 gal)</t>
        </is>
      </c>
      <c r="G6006" s="12" t="inlineStr">
        <is>
          <t>JB-LNG-T8-AI01</t>
        </is>
      </c>
      <c r="H6006" s="12" t="inlineStr">
        <is>
          <t>LNG 11: tank 8, Chart HS 50000 (51,780 gal)</t>
        </is>
      </c>
      <c r="I6006" s="12" t="inlineStr">
        <is>
          <t>Instrumentation</t>
        </is>
      </c>
      <c r="J6006" s="12" t="inlineStr">
        <is>
          <t>Instrumentation ITC / PLTC, IS, #18 shielded pairs, blue jacket</t>
        </is>
      </c>
      <c r="K6006" s="12" t="inlineStr">
        <is>
          <t>ITC|1 pr|16</t>
        </is>
      </c>
      <c r="L6006" s="12" t="inlineStr">
        <is>
          <t>1 pr</t>
        </is>
      </c>
      <c r="M6006" s="12" t="inlineStr">
        <is>
          <t>16</t>
        </is>
      </c>
      <c r="N6006" s="12" t="n">
        <v>4</v>
      </c>
      <c r="O6006" s="12" t="n">
        <v>1</v>
      </c>
      <c r="P6006" s="12" t="n"/>
      <c r="Q6006" s="12" t="n"/>
      <c r="R6006" s="12" t="n"/>
      <c r="S6006" s="12" t="inlineStr">
        <is>
          <t>Tray / conduit</t>
        </is>
      </c>
      <c r="T6006" s="15" t="n">
        <v>77</v>
      </c>
      <c r="U6006" s="15" t="n">
        <v>10</v>
      </c>
      <c r="V6006" s="15">
        <f>ROUNDUP((T6006+U6006+2*'Read Me'!$B$13)*(1+'Read Me'!$B$12),-1)</f>
        <v/>
      </c>
      <c r="W6006" s="15">
        <f>V6006*N6006*O6006</f>
        <v/>
      </c>
      <c r="X6006" s="12">
        <f>IF(LEFT(I6006,2)="MV",2*N6006*IF(L6006="1/C",O6006,1),0)</f>
        <v/>
      </c>
      <c r="Y6006" s="12">
        <f>IF(OR(LEFT(K6006,4)="LVAX",LEFT(K6006,6)="MV15AX",LEFT(K6006,4)="CTAX",LEFT(K6006,2)="W|"),2*N6006*O6006,0)</f>
        <v/>
      </c>
      <c r="Z6006" s="12" t="inlineStr">
        <is>
          <t>device-to-JB field wiring, one cable per device</t>
        </is>
      </c>
      <c r="AA6006" s="12">
        <f>N6006*O6006</f>
        <v/>
      </c>
    </row>
    <row r="6007">
      <c r="A6007" s="12" t="inlineStr">
        <is>
          <t>K-I-0128</t>
        </is>
      </c>
      <c r="B6007" s="12" t="inlineStr">
        <is>
          <t>K</t>
        </is>
      </c>
      <c r="C6007" s="12" t="inlineStr">
        <is>
          <t>Fuel supply (adjacent market)</t>
        </is>
      </c>
      <c r="D6007" s="12" t="inlineStr">
        <is>
          <t>Home run JB-LNG-T8-AI01 to the control / marshalling room</t>
        </is>
      </c>
      <c r="E6007" s="12" t="inlineStr"/>
      <c r="F6007" s="12" t="inlineStr">
        <is>
          <t>LNG 17: LNG e-house (13.8 kV / 480 V)</t>
        </is>
      </c>
      <c r="G6007" s="12" t="inlineStr">
        <is>
          <t>JB-LNG-T8-AI01</t>
        </is>
      </c>
      <c r="H6007" s="12" t="inlineStr">
        <is>
          <t>LNG 11: tank 8, Chart HS 50000 (51,780 gal)</t>
        </is>
      </c>
      <c r="I6007" s="12" t="inlineStr">
        <is>
          <t>Instrumentation</t>
        </is>
      </c>
      <c r="J6007" s="12" t="inlineStr">
        <is>
          <t>Instrumentation ITC / PLTC, IS, #18 shielded pairs, blue jacket</t>
        </is>
      </c>
      <c r="K6007" s="12" t="inlineStr">
        <is>
          <t>ITC|24 pr|18</t>
        </is>
      </c>
      <c r="L6007" s="12" t="inlineStr">
        <is>
          <t>24 pr</t>
        </is>
      </c>
      <c r="M6007" s="12" t="inlineStr">
        <is>
          <t>18</t>
        </is>
      </c>
      <c r="N6007" s="12" t="n">
        <v>1</v>
      </c>
      <c r="O6007" s="12" t="n">
        <v>1</v>
      </c>
      <c r="P6007" s="12" t="n"/>
      <c r="Q6007" s="12" t="n"/>
      <c r="R6007" s="12" t="n"/>
      <c r="S6007" s="12" t="inlineStr">
        <is>
          <t>Duct bank</t>
        </is>
      </c>
      <c r="T6007" s="15" t="n">
        <v>350</v>
      </c>
      <c r="U6007" s="15" t="n">
        <v>32</v>
      </c>
      <c r="V6007" s="15">
        <f>ROUNDUP((T6007+U6007+2*'Read Me'!$B$13)*(1+'Read Me'!$B$12),-1)</f>
        <v/>
      </c>
      <c r="W6007" s="15">
        <f>V6007*N6007*O6007</f>
        <v/>
      </c>
      <c r="X6007" s="12">
        <f>IF(LEFT(I6007,2)="MV",2*N6007*IF(L6007="1/C",O6007,1),0)</f>
        <v/>
      </c>
      <c r="Y6007" s="12">
        <f>IF(OR(LEFT(K6007,4)="LVAX",LEFT(K6007,6)="MV15AX",LEFT(K6007,4)="CTAX",LEFT(K6007,2)="W|"),2*N6007*O6007,0)</f>
        <v/>
      </c>
      <c r="Z6007" s="12" t="inlineStr"/>
      <c r="AA6007" s="12">
        <f>N6007*O6007</f>
        <v/>
      </c>
    </row>
    <row r="6008">
      <c r="A6008" s="12" t="inlineStr">
        <is>
          <t>K-I-0129</t>
        </is>
      </c>
      <c r="B6008" s="12" t="inlineStr">
        <is>
          <t>K</t>
        </is>
      </c>
      <c r="C6008" s="12" t="inlineStr">
        <is>
          <t>Fuel supply (adjacent market)</t>
        </is>
      </c>
      <c r="D6008" s="12" t="inlineStr">
        <is>
          <t>Discrete device to JB JB-LNG-T8-DI01: 4 x 1 pr (field cables)</t>
        </is>
      </c>
      <c r="E6008" s="12" t="inlineStr">
        <is>
          <t>LNG-T8</t>
        </is>
      </c>
      <c r="F6008" s="12" t="inlineStr">
        <is>
          <t>LNG 11: tank 8, Chart HS 50000 (51,780 gal)</t>
        </is>
      </c>
      <c r="G6008" s="12" t="inlineStr">
        <is>
          <t>JB-LNG-T8-DI01</t>
        </is>
      </c>
      <c r="H6008" s="12" t="inlineStr">
        <is>
          <t>LNG 11: tank 8, Chart HS 50000 (51,780 gal)</t>
        </is>
      </c>
      <c r="I6008" s="12" t="inlineStr">
        <is>
          <t>Instrumentation</t>
        </is>
      </c>
      <c r="J6008" s="12" t="inlineStr">
        <is>
          <t>Instrumentation ITC / PLTC, IS, #18 shielded pairs, blue jacket</t>
        </is>
      </c>
      <c r="K6008" s="12" t="inlineStr">
        <is>
          <t>ITC|1 pr|16</t>
        </is>
      </c>
      <c r="L6008" s="12" t="inlineStr">
        <is>
          <t>1 pr</t>
        </is>
      </c>
      <c r="M6008" s="12" t="inlineStr">
        <is>
          <t>16</t>
        </is>
      </c>
      <c r="N6008" s="12" t="n">
        <v>4</v>
      </c>
      <c r="O6008" s="12" t="n">
        <v>1</v>
      </c>
      <c r="P6008" s="12" t="n"/>
      <c r="Q6008" s="12" t="n"/>
      <c r="R6008" s="12" t="n"/>
      <c r="S6008" s="12" t="inlineStr">
        <is>
          <t>Tray / conduit</t>
        </is>
      </c>
      <c r="T6008" s="15" t="n">
        <v>77</v>
      </c>
      <c r="U6008" s="15" t="n">
        <v>10</v>
      </c>
      <c r="V6008" s="15">
        <f>ROUNDUP((T6008+U6008+2*'Read Me'!$B$13)*(1+'Read Me'!$B$12),-1)</f>
        <v/>
      </c>
      <c r="W6008" s="15">
        <f>V6008*N6008*O6008</f>
        <v/>
      </c>
      <c r="X6008" s="12">
        <f>IF(LEFT(I6008,2)="MV",2*N6008*IF(L6008="1/C",O6008,1),0)</f>
        <v/>
      </c>
      <c r="Y6008" s="12">
        <f>IF(OR(LEFT(K6008,4)="LVAX",LEFT(K6008,6)="MV15AX",LEFT(K6008,4)="CTAX",LEFT(K6008,2)="W|"),2*N6008*O6008,0)</f>
        <v/>
      </c>
      <c r="Z6008" s="12" t="inlineStr">
        <is>
          <t>device-to-JB field wiring, one cable per device</t>
        </is>
      </c>
      <c r="AA6008" s="12">
        <f>N6008*O6008</f>
        <v/>
      </c>
    </row>
    <row r="6009">
      <c r="A6009" s="12" t="inlineStr">
        <is>
          <t>K-I-0130</t>
        </is>
      </c>
      <c r="B6009" s="12" t="inlineStr">
        <is>
          <t>K</t>
        </is>
      </c>
      <c r="C6009" s="12" t="inlineStr">
        <is>
          <t>Fuel supply (adjacent market)</t>
        </is>
      </c>
      <c r="D6009" s="12" t="inlineStr">
        <is>
          <t>Home run JB-LNG-T8-DI01 to the control / marshalling room</t>
        </is>
      </c>
      <c r="E6009" s="12" t="inlineStr"/>
      <c r="F6009" s="12" t="inlineStr">
        <is>
          <t>LNG 17: LNG e-house (13.8 kV / 480 V)</t>
        </is>
      </c>
      <c r="G6009" s="12" t="inlineStr">
        <is>
          <t>JB-LNG-T8-DI01</t>
        </is>
      </c>
      <c r="H6009" s="12" t="inlineStr">
        <is>
          <t>LNG 11: tank 8, Chart HS 50000 (51,780 gal)</t>
        </is>
      </c>
      <c r="I6009" s="12" t="inlineStr">
        <is>
          <t>Instrumentation</t>
        </is>
      </c>
      <c r="J6009" s="12" t="inlineStr">
        <is>
          <t>Instrumentation ITC / PLTC, IS, #18 shielded pairs, blue jacket</t>
        </is>
      </c>
      <c r="K6009" s="12" t="inlineStr">
        <is>
          <t>ITC|24 pr|18</t>
        </is>
      </c>
      <c r="L6009" s="12" t="inlineStr">
        <is>
          <t>24 pr</t>
        </is>
      </c>
      <c r="M6009" s="12" t="inlineStr">
        <is>
          <t>18</t>
        </is>
      </c>
      <c r="N6009" s="12" t="n">
        <v>1</v>
      </c>
      <c r="O6009" s="12" t="n">
        <v>1</v>
      </c>
      <c r="P6009" s="12" t="n"/>
      <c r="Q6009" s="12" t="n"/>
      <c r="R6009" s="12" t="n"/>
      <c r="S6009" s="12" t="inlineStr">
        <is>
          <t>Duct bank</t>
        </is>
      </c>
      <c r="T6009" s="15" t="n">
        <v>350</v>
      </c>
      <c r="U6009" s="15" t="n">
        <v>32</v>
      </c>
      <c r="V6009" s="15">
        <f>ROUNDUP((T6009+U6009+2*'Read Me'!$B$13)*(1+'Read Me'!$B$12),-1)</f>
        <v/>
      </c>
      <c r="W6009" s="15">
        <f>V6009*N6009*O6009</f>
        <v/>
      </c>
      <c r="X6009" s="12">
        <f>IF(LEFT(I6009,2)="MV",2*N6009*IF(L6009="1/C",O6009,1),0)</f>
        <v/>
      </c>
      <c r="Y6009" s="12">
        <f>IF(OR(LEFT(K6009,4)="LVAX",LEFT(K6009,6)="MV15AX",LEFT(K6009,4)="CTAX",LEFT(K6009,2)="W|"),2*N6009*O6009,0)</f>
        <v/>
      </c>
      <c r="Z6009" s="12" t="inlineStr"/>
      <c r="AA6009" s="12">
        <f>N6009*O6009</f>
        <v/>
      </c>
    </row>
    <row r="6010">
      <c r="A6010" s="12" t="inlineStr">
        <is>
          <t>K-I-0131</t>
        </is>
      </c>
      <c r="B6010" s="12" t="inlineStr">
        <is>
          <t>K</t>
        </is>
      </c>
      <c r="C6010" s="12" t="inlineStr">
        <is>
          <t>Fuel supply (adjacent market)</t>
        </is>
      </c>
      <c r="D6010" s="12" t="inlineStr">
        <is>
          <t>Analog instrument to JB JB-LNG 12: spill impo-AI01: 12 x 1 pr (field cables)</t>
        </is>
      </c>
      <c r="E6010" s="12" t="inlineStr"/>
      <c r="F6010" s="12" t="inlineStr">
        <is>
          <t>LNG 12: spill impoundment (NFPA 59A, to verify)</t>
        </is>
      </c>
      <c r="G6010" s="12" t="inlineStr">
        <is>
          <t>JB-LNG 12: spill impo-AI01</t>
        </is>
      </c>
      <c r="H6010" s="12" t="inlineStr">
        <is>
          <t>LNG 12: spill impoundment (NFPA 59A, to verify)</t>
        </is>
      </c>
      <c r="I6010" s="12" t="inlineStr">
        <is>
          <t>Instrumentation</t>
        </is>
      </c>
      <c r="J6010" s="12" t="inlineStr">
        <is>
          <t>Instrumentation ITC / PLTC, IS, #18 shielded pairs, blue jacket</t>
        </is>
      </c>
      <c r="K6010" s="12" t="inlineStr">
        <is>
          <t>ITC|1 pr|16</t>
        </is>
      </c>
      <c r="L6010" s="12" t="inlineStr">
        <is>
          <t>1 pr</t>
        </is>
      </c>
      <c r="M6010" s="12" t="inlineStr">
        <is>
          <t>16</t>
        </is>
      </c>
      <c r="N6010" s="12" t="n">
        <v>12</v>
      </c>
      <c r="O6010" s="12" t="n">
        <v>1</v>
      </c>
      <c r="P6010" s="12" t="n"/>
      <c r="Q6010" s="12" t="n"/>
      <c r="R6010" s="12" t="n"/>
      <c r="S6010" s="12" t="inlineStr">
        <is>
          <t>Tray / conduit</t>
        </is>
      </c>
      <c r="T6010" s="15" t="n">
        <v>170</v>
      </c>
      <c r="U6010" s="15" t="n">
        <v>10</v>
      </c>
      <c r="V6010" s="15">
        <f>ROUNDUP((T6010+U6010+2*'Read Me'!$B$13)*(1+'Read Me'!$B$12),-1)</f>
        <v/>
      </c>
      <c r="W6010" s="15">
        <f>V6010*N6010*O6010</f>
        <v/>
      </c>
      <c r="X6010" s="12">
        <f>IF(LEFT(I6010,2)="MV",2*N6010*IF(L6010="1/C",O6010,1),0)</f>
        <v/>
      </c>
      <c r="Y6010" s="12">
        <f>IF(OR(LEFT(K6010,4)="LVAX",LEFT(K6010,6)="MV15AX",LEFT(K6010,4)="CTAX",LEFT(K6010,2)="W|"),2*N6010*O6010,0)</f>
        <v/>
      </c>
      <c r="Z6010" s="12" t="inlineStr">
        <is>
          <t>device-to-JB field wiring, one cable per device</t>
        </is>
      </c>
      <c r="AA6010" s="12">
        <f>N6010*O6010</f>
        <v/>
      </c>
    </row>
    <row r="6011">
      <c r="A6011" s="12" t="inlineStr">
        <is>
          <t>K-I-0132</t>
        </is>
      </c>
      <c r="B6011" s="12" t="inlineStr">
        <is>
          <t>K</t>
        </is>
      </c>
      <c r="C6011" s="12" t="inlineStr">
        <is>
          <t>Fuel supply (adjacent market)</t>
        </is>
      </c>
      <c r="D6011" s="12" t="inlineStr">
        <is>
          <t>Home run JB-LNG 12: spill impo-AI01 to the control / marshalling room</t>
        </is>
      </c>
      <c r="E6011" s="12" t="inlineStr"/>
      <c r="F6011" s="12" t="inlineStr">
        <is>
          <t>LNG 17: LNG e-house (13.8 kV / 480 V)</t>
        </is>
      </c>
      <c r="G6011" s="12" t="inlineStr">
        <is>
          <t>JB-LNG 12: spill impo-AI01</t>
        </is>
      </c>
      <c r="H6011" s="12" t="inlineStr">
        <is>
          <t>LNG 12: spill impoundment (NFPA 59A, to verify)</t>
        </is>
      </c>
      <c r="I6011" s="12" t="inlineStr">
        <is>
          <t>Instrumentation</t>
        </is>
      </c>
      <c r="J6011" s="12" t="inlineStr">
        <is>
          <t>Instrumentation ITC / PLTC, IS, #18 shielded pairs, blue jacket</t>
        </is>
      </c>
      <c r="K6011" s="12" t="inlineStr">
        <is>
          <t>ITC|24 pr|18</t>
        </is>
      </c>
      <c r="L6011" s="12" t="inlineStr">
        <is>
          <t>24 pr</t>
        </is>
      </c>
      <c r="M6011" s="12" t="inlineStr">
        <is>
          <t>18</t>
        </is>
      </c>
      <c r="N6011" s="12" t="n">
        <v>1</v>
      </c>
      <c r="O6011" s="12" t="n">
        <v>1</v>
      </c>
      <c r="P6011" s="12" t="n"/>
      <c r="Q6011" s="12" t="n"/>
      <c r="R6011" s="12" t="n"/>
      <c r="S6011" s="12" t="inlineStr">
        <is>
          <t>Duct bank</t>
        </is>
      </c>
      <c r="T6011" s="15" t="n">
        <v>230</v>
      </c>
      <c r="U6011" s="15" t="n">
        <v>32</v>
      </c>
      <c r="V6011" s="15">
        <f>ROUNDUP((T6011+U6011+2*'Read Me'!$B$13)*(1+'Read Me'!$B$12),-1)</f>
        <v/>
      </c>
      <c r="W6011" s="15">
        <f>V6011*N6011*O6011</f>
        <v/>
      </c>
      <c r="X6011" s="12">
        <f>IF(LEFT(I6011,2)="MV",2*N6011*IF(L6011="1/C",O6011,1),0)</f>
        <v/>
      </c>
      <c r="Y6011" s="12">
        <f>IF(OR(LEFT(K6011,4)="LVAX",LEFT(K6011,6)="MV15AX",LEFT(K6011,4)="CTAX",LEFT(K6011,2)="W|"),2*N6011*O6011,0)</f>
        <v/>
      </c>
      <c r="Z6011" s="12" t="inlineStr"/>
      <c r="AA6011" s="12">
        <f>N6011*O6011</f>
        <v/>
      </c>
    </row>
    <row r="6012">
      <c r="A6012" s="12" t="inlineStr">
        <is>
          <t>K-I-0133</t>
        </is>
      </c>
      <c r="B6012" s="12" t="inlineStr">
        <is>
          <t>K</t>
        </is>
      </c>
      <c r="C6012" s="12" t="inlineStr">
        <is>
          <t>Fuel supply (adjacent market)</t>
        </is>
      </c>
      <c r="D6012" s="12" t="inlineStr">
        <is>
          <t>Discrete device to JB JB-LNG 12: spill impo-DI01: 12 x 1 pr (field cables)</t>
        </is>
      </c>
      <c r="E6012" s="12" t="inlineStr"/>
      <c r="F6012" s="12" t="inlineStr">
        <is>
          <t>LNG 12: spill impoundment (NFPA 59A, to verify)</t>
        </is>
      </c>
      <c r="G6012" s="12" t="inlineStr">
        <is>
          <t>JB-LNG 12: spill impo-DI01</t>
        </is>
      </c>
      <c r="H6012" s="12" t="inlineStr">
        <is>
          <t>LNG 12: spill impoundment (NFPA 59A, to verify)</t>
        </is>
      </c>
      <c r="I6012" s="12" t="inlineStr">
        <is>
          <t>Instrumentation</t>
        </is>
      </c>
      <c r="J6012" s="12" t="inlineStr">
        <is>
          <t>Instrumentation ITC / PLTC, IS, #18 shielded pairs, blue jacket</t>
        </is>
      </c>
      <c r="K6012" s="12" t="inlineStr">
        <is>
          <t>ITC|1 pr|16</t>
        </is>
      </c>
      <c r="L6012" s="12" t="inlineStr">
        <is>
          <t>1 pr</t>
        </is>
      </c>
      <c r="M6012" s="12" t="inlineStr">
        <is>
          <t>16</t>
        </is>
      </c>
      <c r="N6012" s="12" t="n">
        <v>12</v>
      </c>
      <c r="O6012" s="12" t="n">
        <v>1</v>
      </c>
      <c r="P6012" s="12" t="n"/>
      <c r="Q6012" s="12" t="n"/>
      <c r="R6012" s="12" t="n"/>
      <c r="S6012" s="12" t="inlineStr">
        <is>
          <t>Tray / conduit</t>
        </is>
      </c>
      <c r="T6012" s="15" t="n">
        <v>170</v>
      </c>
      <c r="U6012" s="15" t="n">
        <v>10</v>
      </c>
      <c r="V6012" s="15">
        <f>ROUNDUP((T6012+U6012+2*'Read Me'!$B$13)*(1+'Read Me'!$B$12),-1)</f>
        <v/>
      </c>
      <c r="W6012" s="15">
        <f>V6012*N6012*O6012</f>
        <v/>
      </c>
      <c r="X6012" s="12">
        <f>IF(LEFT(I6012,2)="MV",2*N6012*IF(L6012="1/C",O6012,1),0)</f>
        <v/>
      </c>
      <c r="Y6012" s="12">
        <f>IF(OR(LEFT(K6012,4)="LVAX",LEFT(K6012,6)="MV15AX",LEFT(K6012,4)="CTAX",LEFT(K6012,2)="W|"),2*N6012*O6012,0)</f>
        <v/>
      </c>
      <c r="Z6012" s="12" t="inlineStr">
        <is>
          <t>device-to-JB field wiring, one cable per device</t>
        </is>
      </c>
      <c r="AA6012" s="12">
        <f>N6012*O6012</f>
        <v/>
      </c>
    </row>
    <row r="6013">
      <c r="A6013" s="12" t="inlineStr">
        <is>
          <t>K-I-0134</t>
        </is>
      </c>
      <c r="B6013" s="12" t="inlineStr">
        <is>
          <t>K</t>
        </is>
      </c>
      <c r="C6013" s="12" t="inlineStr">
        <is>
          <t>Fuel supply (adjacent market)</t>
        </is>
      </c>
      <c r="D6013" s="12" t="inlineStr">
        <is>
          <t>Home run JB-LNG 12: spill impo-DI01 to the control / marshalling room</t>
        </is>
      </c>
      <c r="E6013" s="12" t="inlineStr"/>
      <c r="F6013" s="12" t="inlineStr">
        <is>
          <t>LNG 17: LNG e-house (13.8 kV / 480 V)</t>
        </is>
      </c>
      <c r="G6013" s="12" t="inlineStr">
        <is>
          <t>JB-LNG 12: spill impo-DI01</t>
        </is>
      </c>
      <c r="H6013" s="12" t="inlineStr">
        <is>
          <t>LNG 12: spill impoundment (NFPA 59A, to verify)</t>
        </is>
      </c>
      <c r="I6013" s="12" t="inlineStr">
        <is>
          <t>Instrumentation</t>
        </is>
      </c>
      <c r="J6013" s="12" t="inlineStr">
        <is>
          <t>Instrumentation ITC / PLTC, IS, #18 shielded pairs, blue jacket</t>
        </is>
      </c>
      <c r="K6013" s="12" t="inlineStr">
        <is>
          <t>ITC|24 pr|18</t>
        </is>
      </c>
      <c r="L6013" s="12" t="inlineStr">
        <is>
          <t>24 pr</t>
        </is>
      </c>
      <c r="M6013" s="12" t="inlineStr">
        <is>
          <t>18</t>
        </is>
      </c>
      <c r="N6013" s="12" t="n">
        <v>1</v>
      </c>
      <c r="O6013" s="12" t="n">
        <v>1</v>
      </c>
      <c r="P6013" s="12" t="n"/>
      <c r="Q6013" s="12" t="n"/>
      <c r="R6013" s="12" t="n"/>
      <c r="S6013" s="12" t="inlineStr">
        <is>
          <t>Duct bank</t>
        </is>
      </c>
      <c r="T6013" s="15" t="n">
        <v>230</v>
      </c>
      <c r="U6013" s="15" t="n">
        <v>32</v>
      </c>
      <c r="V6013" s="15">
        <f>ROUNDUP((T6013+U6013+2*'Read Me'!$B$13)*(1+'Read Me'!$B$12),-1)</f>
        <v/>
      </c>
      <c r="W6013" s="15">
        <f>V6013*N6013*O6013</f>
        <v/>
      </c>
      <c r="X6013" s="12">
        <f>IF(LEFT(I6013,2)="MV",2*N6013*IF(L6013="1/C",O6013,1),0)</f>
        <v/>
      </c>
      <c r="Y6013" s="12">
        <f>IF(OR(LEFT(K6013,4)="LVAX",LEFT(K6013,6)="MV15AX",LEFT(K6013,4)="CTAX",LEFT(K6013,2)="W|"),2*N6013*O6013,0)</f>
        <v/>
      </c>
      <c r="Z6013" s="12" t="inlineStr"/>
      <c r="AA6013" s="12">
        <f>N6013*O6013</f>
        <v/>
      </c>
    </row>
    <row r="6014">
      <c r="A6014" s="12" t="inlineStr">
        <is>
          <t>K-I-0135</t>
        </is>
      </c>
      <c r="B6014" s="12" t="inlineStr">
        <is>
          <t>K</t>
        </is>
      </c>
      <c r="C6014" s="12" t="inlineStr">
        <is>
          <t>Fuel supply (adjacent market)</t>
        </is>
      </c>
      <c r="D6014" s="12" t="inlineStr">
        <is>
          <t>Analog instrument to JB JB-LNG 13: send-out p-AI01: 12 x 1 pr (field cables)</t>
        </is>
      </c>
      <c r="E6014" s="12" t="inlineStr"/>
      <c r="F6014" s="12" t="inlineStr">
        <is>
          <t>LNG 13: send-out pumps 2 x 100%</t>
        </is>
      </c>
      <c r="G6014" s="12" t="inlineStr">
        <is>
          <t>JB-LNG 13: send-out p-AI01</t>
        </is>
      </c>
      <c r="H6014" s="12" t="inlineStr">
        <is>
          <t>LNG 13: send-out pumps 2 x 100%</t>
        </is>
      </c>
      <c r="I6014" s="12" t="inlineStr">
        <is>
          <t>Instrumentation</t>
        </is>
      </c>
      <c r="J6014" s="12" t="inlineStr">
        <is>
          <t>Instrumentation ITC / PLTC, IS, #18 shielded pairs, blue jacket</t>
        </is>
      </c>
      <c r="K6014" s="12" t="inlineStr">
        <is>
          <t>ITC|1 pr|16</t>
        </is>
      </c>
      <c r="L6014" s="12" t="inlineStr">
        <is>
          <t>1 pr</t>
        </is>
      </c>
      <c r="M6014" s="12" t="inlineStr">
        <is>
          <t>16</t>
        </is>
      </c>
      <c r="N6014" s="12" t="n">
        <v>12</v>
      </c>
      <c r="O6014" s="12" t="n">
        <v>1</v>
      </c>
      <c r="P6014" s="12" t="n"/>
      <c r="Q6014" s="12" t="n"/>
      <c r="R6014" s="12" t="n"/>
      <c r="S6014" s="12" t="inlineStr">
        <is>
          <t>Tray / conduit</t>
        </is>
      </c>
      <c r="T6014" s="15" t="n">
        <v>63</v>
      </c>
      <c r="U6014" s="15" t="n">
        <v>10</v>
      </c>
      <c r="V6014" s="15">
        <f>ROUNDUP((T6014+U6014+2*'Read Me'!$B$13)*(1+'Read Me'!$B$12),-1)</f>
        <v/>
      </c>
      <c r="W6014" s="15">
        <f>V6014*N6014*O6014</f>
        <v/>
      </c>
      <c r="X6014" s="12">
        <f>IF(LEFT(I6014,2)="MV",2*N6014*IF(L6014="1/C",O6014,1),0)</f>
        <v/>
      </c>
      <c r="Y6014" s="12">
        <f>IF(OR(LEFT(K6014,4)="LVAX",LEFT(K6014,6)="MV15AX",LEFT(K6014,4)="CTAX",LEFT(K6014,2)="W|"),2*N6014*O6014,0)</f>
        <v/>
      </c>
      <c r="Z6014" s="12" t="inlineStr">
        <is>
          <t>device-to-JB field wiring, one cable per device</t>
        </is>
      </c>
      <c r="AA6014" s="12">
        <f>N6014*O6014</f>
        <v/>
      </c>
    </row>
    <row r="6015">
      <c r="A6015" s="12" t="inlineStr">
        <is>
          <t>K-I-0136</t>
        </is>
      </c>
      <c r="B6015" s="12" t="inlineStr">
        <is>
          <t>K</t>
        </is>
      </c>
      <c r="C6015" s="12" t="inlineStr">
        <is>
          <t>Fuel supply (adjacent market)</t>
        </is>
      </c>
      <c r="D6015" s="12" t="inlineStr">
        <is>
          <t>Home run JB-LNG 13: send-out p-AI01 to the control / marshalling room</t>
        </is>
      </c>
      <c r="E6015" s="12" t="inlineStr"/>
      <c r="F6015" s="12" t="inlineStr">
        <is>
          <t>LNG 17: LNG e-house (13.8 kV / 480 V)</t>
        </is>
      </c>
      <c r="G6015" s="12" t="inlineStr">
        <is>
          <t>JB-LNG 13: send-out p-AI01</t>
        </is>
      </c>
      <c r="H6015" s="12" t="inlineStr">
        <is>
          <t>LNG 13: send-out pumps 2 x 100%</t>
        </is>
      </c>
      <c r="I6015" s="12" t="inlineStr">
        <is>
          <t>Instrumentation</t>
        </is>
      </c>
      <c r="J6015" s="12" t="inlineStr">
        <is>
          <t>Instrumentation ITC / PLTC, IS, #18 shielded pairs, blue jacket</t>
        </is>
      </c>
      <c r="K6015" s="12" t="inlineStr">
        <is>
          <t>ITC|24 pr|18</t>
        </is>
      </c>
      <c r="L6015" s="12" t="inlineStr">
        <is>
          <t>24 pr</t>
        </is>
      </c>
      <c r="M6015" s="12" t="inlineStr">
        <is>
          <t>18</t>
        </is>
      </c>
      <c r="N6015" s="12" t="n">
        <v>1</v>
      </c>
      <c r="O6015" s="12" t="n">
        <v>1</v>
      </c>
      <c r="P6015" s="12" t="n"/>
      <c r="Q6015" s="12" t="n"/>
      <c r="R6015" s="12" t="n"/>
      <c r="S6015" s="12" t="inlineStr">
        <is>
          <t>Duct bank</t>
        </is>
      </c>
      <c r="T6015" s="15" t="n">
        <v>110</v>
      </c>
      <c r="U6015" s="15" t="n">
        <v>32</v>
      </c>
      <c r="V6015" s="15">
        <f>ROUNDUP((T6015+U6015+2*'Read Me'!$B$13)*(1+'Read Me'!$B$12),-1)</f>
        <v/>
      </c>
      <c r="W6015" s="15">
        <f>V6015*N6015*O6015</f>
        <v/>
      </c>
      <c r="X6015" s="12">
        <f>IF(LEFT(I6015,2)="MV",2*N6015*IF(L6015="1/C",O6015,1),0)</f>
        <v/>
      </c>
      <c r="Y6015" s="12">
        <f>IF(OR(LEFT(K6015,4)="LVAX",LEFT(K6015,6)="MV15AX",LEFT(K6015,4)="CTAX",LEFT(K6015,2)="W|"),2*N6015*O6015,0)</f>
        <v/>
      </c>
      <c r="Z6015" s="12" t="inlineStr"/>
      <c r="AA6015" s="12">
        <f>N6015*O6015</f>
        <v/>
      </c>
    </row>
    <row r="6016">
      <c r="A6016" s="12" t="inlineStr">
        <is>
          <t>K-I-0137</t>
        </is>
      </c>
      <c r="B6016" s="12" t="inlineStr">
        <is>
          <t>K</t>
        </is>
      </c>
      <c r="C6016" s="12" t="inlineStr">
        <is>
          <t>Fuel supply (adjacent market)</t>
        </is>
      </c>
      <c r="D6016" s="12" t="inlineStr">
        <is>
          <t>Discrete device to JB JB-LNG 13: send-out p-DI01: 12 x 1 pr (field cables)</t>
        </is>
      </c>
      <c r="E6016" s="12" t="inlineStr"/>
      <c r="F6016" s="12" t="inlineStr">
        <is>
          <t>LNG 13: send-out pumps 2 x 100%</t>
        </is>
      </c>
      <c r="G6016" s="12" t="inlineStr">
        <is>
          <t>JB-LNG 13: send-out p-DI01</t>
        </is>
      </c>
      <c r="H6016" s="12" t="inlineStr">
        <is>
          <t>LNG 13: send-out pumps 2 x 100%</t>
        </is>
      </c>
      <c r="I6016" s="12" t="inlineStr">
        <is>
          <t>Instrumentation</t>
        </is>
      </c>
      <c r="J6016" s="12" t="inlineStr">
        <is>
          <t>Instrumentation ITC / PLTC, IS, #18 shielded pairs, blue jacket</t>
        </is>
      </c>
      <c r="K6016" s="12" t="inlineStr">
        <is>
          <t>ITC|1 pr|16</t>
        </is>
      </c>
      <c r="L6016" s="12" t="inlineStr">
        <is>
          <t>1 pr</t>
        </is>
      </c>
      <c r="M6016" s="12" t="inlineStr">
        <is>
          <t>16</t>
        </is>
      </c>
      <c r="N6016" s="12" t="n">
        <v>12</v>
      </c>
      <c r="O6016" s="12" t="n">
        <v>1</v>
      </c>
      <c r="P6016" s="12" t="n"/>
      <c r="Q6016" s="12" t="n"/>
      <c r="R6016" s="12" t="n"/>
      <c r="S6016" s="12" t="inlineStr">
        <is>
          <t>Tray / conduit</t>
        </is>
      </c>
      <c r="T6016" s="15" t="n">
        <v>63</v>
      </c>
      <c r="U6016" s="15" t="n">
        <v>10</v>
      </c>
      <c r="V6016" s="15">
        <f>ROUNDUP((T6016+U6016+2*'Read Me'!$B$13)*(1+'Read Me'!$B$12),-1)</f>
        <v/>
      </c>
      <c r="W6016" s="15">
        <f>V6016*N6016*O6016</f>
        <v/>
      </c>
      <c r="X6016" s="12">
        <f>IF(LEFT(I6016,2)="MV",2*N6016*IF(L6016="1/C",O6016,1),0)</f>
        <v/>
      </c>
      <c r="Y6016" s="12">
        <f>IF(OR(LEFT(K6016,4)="LVAX",LEFT(K6016,6)="MV15AX",LEFT(K6016,4)="CTAX",LEFT(K6016,2)="W|"),2*N6016*O6016,0)</f>
        <v/>
      </c>
      <c r="Z6016" s="12" t="inlineStr">
        <is>
          <t>device-to-JB field wiring, one cable per device</t>
        </is>
      </c>
      <c r="AA6016" s="12">
        <f>N6016*O6016</f>
        <v/>
      </c>
    </row>
    <row r="6017">
      <c r="A6017" s="12" t="inlineStr">
        <is>
          <t>K-I-0138</t>
        </is>
      </c>
      <c r="B6017" s="12" t="inlineStr">
        <is>
          <t>K</t>
        </is>
      </c>
      <c r="C6017" s="12" t="inlineStr">
        <is>
          <t>Fuel supply (adjacent market)</t>
        </is>
      </c>
      <c r="D6017" s="12" t="inlineStr">
        <is>
          <t>Home run JB-LNG 13: send-out p-DI01 to the control / marshalling room</t>
        </is>
      </c>
      <c r="E6017" s="12" t="inlineStr"/>
      <c r="F6017" s="12" t="inlineStr">
        <is>
          <t>LNG 17: LNG e-house (13.8 kV / 480 V)</t>
        </is>
      </c>
      <c r="G6017" s="12" t="inlineStr">
        <is>
          <t>JB-LNG 13: send-out p-DI01</t>
        </is>
      </c>
      <c r="H6017" s="12" t="inlineStr">
        <is>
          <t>LNG 13: send-out pumps 2 x 100%</t>
        </is>
      </c>
      <c r="I6017" s="12" t="inlineStr">
        <is>
          <t>Instrumentation</t>
        </is>
      </c>
      <c r="J6017" s="12" t="inlineStr">
        <is>
          <t>Instrumentation ITC / PLTC, IS, #18 shielded pairs, blue jacket</t>
        </is>
      </c>
      <c r="K6017" s="12" t="inlineStr">
        <is>
          <t>ITC|24 pr|18</t>
        </is>
      </c>
      <c r="L6017" s="12" t="inlineStr">
        <is>
          <t>24 pr</t>
        </is>
      </c>
      <c r="M6017" s="12" t="inlineStr">
        <is>
          <t>18</t>
        </is>
      </c>
      <c r="N6017" s="12" t="n">
        <v>1</v>
      </c>
      <c r="O6017" s="12" t="n">
        <v>1</v>
      </c>
      <c r="P6017" s="12" t="n"/>
      <c r="Q6017" s="12" t="n"/>
      <c r="R6017" s="12" t="n"/>
      <c r="S6017" s="12" t="inlineStr">
        <is>
          <t>Duct bank</t>
        </is>
      </c>
      <c r="T6017" s="15" t="n">
        <v>110</v>
      </c>
      <c r="U6017" s="15" t="n">
        <v>32</v>
      </c>
      <c r="V6017" s="15">
        <f>ROUNDUP((T6017+U6017+2*'Read Me'!$B$13)*(1+'Read Me'!$B$12),-1)</f>
        <v/>
      </c>
      <c r="W6017" s="15">
        <f>V6017*N6017*O6017</f>
        <v/>
      </c>
      <c r="X6017" s="12">
        <f>IF(LEFT(I6017,2)="MV",2*N6017*IF(L6017="1/C",O6017,1),0)</f>
        <v/>
      </c>
      <c r="Y6017" s="12">
        <f>IF(OR(LEFT(K6017,4)="LVAX",LEFT(K6017,6)="MV15AX",LEFT(K6017,4)="CTAX",LEFT(K6017,2)="W|"),2*N6017*O6017,0)</f>
        <v/>
      </c>
      <c r="Z6017" s="12" t="inlineStr"/>
      <c r="AA6017" s="12">
        <f>N6017*O6017</f>
        <v/>
      </c>
    </row>
    <row r="6018">
      <c r="A6018" s="12" t="inlineStr">
        <is>
          <t>K-I-0139</t>
        </is>
      </c>
      <c r="B6018" s="12" t="inlineStr">
        <is>
          <t>K</t>
        </is>
      </c>
      <c r="C6018" s="12" t="inlineStr">
        <is>
          <t>Fuel supply (adjacent market)</t>
        </is>
      </c>
      <c r="D6018" s="12" t="inlineStr">
        <is>
          <t>Analog instrument to JB JB-LNG 14: vaporizers-AI01: 12 x 1 pr (field cables)</t>
        </is>
      </c>
      <c r="E6018" s="12" t="inlineStr"/>
      <c r="F6018" s="12" t="inlineStr">
        <is>
          <t>LNG 14: vaporizers + glycol heater</t>
        </is>
      </c>
      <c r="G6018" s="12" t="inlineStr">
        <is>
          <t>JB-LNG 14: vaporizers-AI01</t>
        </is>
      </c>
      <c r="H6018" s="12" t="inlineStr">
        <is>
          <t>LNG 14: vaporizers + glycol heater</t>
        </is>
      </c>
      <c r="I6018" s="12" t="inlineStr">
        <is>
          <t>Instrumentation</t>
        </is>
      </c>
      <c r="J6018" s="12" t="inlineStr">
        <is>
          <t>Instrumentation ITC / PLTC, IS, #18 shielded pairs, blue jacket</t>
        </is>
      </c>
      <c r="K6018" s="12" t="inlineStr">
        <is>
          <t>ITC|1 pr|16</t>
        </is>
      </c>
      <c r="L6018" s="12" t="inlineStr">
        <is>
          <t>1 pr</t>
        </is>
      </c>
      <c r="M6018" s="12" t="inlineStr">
        <is>
          <t>16</t>
        </is>
      </c>
      <c r="N6018" s="12" t="n">
        <v>12</v>
      </c>
      <c r="O6018" s="12" t="n">
        <v>1</v>
      </c>
      <c r="P6018" s="12" t="n"/>
      <c r="Q6018" s="12" t="n"/>
      <c r="R6018" s="12" t="n"/>
      <c r="S6018" s="12" t="inlineStr">
        <is>
          <t>Tray / conduit</t>
        </is>
      </c>
      <c r="T6018" s="15" t="n">
        <v>122</v>
      </c>
      <c r="U6018" s="15" t="n">
        <v>10</v>
      </c>
      <c r="V6018" s="15">
        <f>ROUNDUP((T6018+U6018+2*'Read Me'!$B$13)*(1+'Read Me'!$B$12),-1)</f>
        <v/>
      </c>
      <c r="W6018" s="15">
        <f>V6018*N6018*O6018</f>
        <v/>
      </c>
      <c r="X6018" s="12">
        <f>IF(LEFT(I6018,2)="MV",2*N6018*IF(L6018="1/C",O6018,1),0)</f>
        <v/>
      </c>
      <c r="Y6018" s="12">
        <f>IF(OR(LEFT(K6018,4)="LVAX",LEFT(K6018,6)="MV15AX",LEFT(K6018,4)="CTAX",LEFT(K6018,2)="W|"),2*N6018*O6018,0)</f>
        <v/>
      </c>
      <c r="Z6018" s="12" t="inlineStr">
        <is>
          <t>device-to-JB field wiring, one cable per device</t>
        </is>
      </c>
      <c r="AA6018" s="12">
        <f>N6018*O6018</f>
        <v/>
      </c>
    </row>
    <row r="6019">
      <c r="A6019" s="12" t="inlineStr">
        <is>
          <t>K-I-0140</t>
        </is>
      </c>
      <c r="B6019" s="12" t="inlineStr">
        <is>
          <t>K</t>
        </is>
      </c>
      <c r="C6019" s="12" t="inlineStr">
        <is>
          <t>Fuel supply (adjacent market)</t>
        </is>
      </c>
      <c r="D6019" s="12" t="inlineStr">
        <is>
          <t>Home run JB-LNG 14: vaporizers-AI01 to the control / marshalling room</t>
        </is>
      </c>
      <c r="E6019" s="12" t="inlineStr"/>
      <c r="F6019" s="12" t="inlineStr">
        <is>
          <t>LNG 17: LNG e-house (13.8 kV / 480 V)</t>
        </is>
      </c>
      <c r="G6019" s="12" t="inlineStr">
        <is>
          <t>JB-LNG 14: vaporizers-AI01</t>
        </is>
      </c>
      <c r="H6019" s="12" t="inlineStr">
        <is>
          <t>LNG 14: vaporizers + glycol heater</t>
        </is>
      </c>
      <c r="I6019" s="12" t="inlineStr">
        <is>
          <t>Instrumentation</t>
        </is>
      </c>
      <c r="J6019" s="12" t="inlineStr">
        <is>
          <t>Instrumentation ITC / PLTC, IS, #18 shielded pairs, blue jacket</t>
        </is>
      </c>
      <c r="K6019" s="12" t="inlineStr">
        <is>
          <t>ITC|24 pr|18</t>
        </is>
      </c>
      <c r="L6019" s="12" t="inlineStr">
        <is>
          <t>24 pr</t>
        </is>
      </c>
      <c r="M6019" s="12" t="inlineStr">
        <is>
          <t>18</t>
        </is>
      </c>
      <c r="N6019" s="12" t="n">
        <v>1</v>
      </c>
      <c r="O6019" s="12" t="n">
        <v>1</v>
      </c>
      <c r="P6019" s="12" t="n"/>
      <c r="Q6019" s="12" t="n"/>
      <c r="R6019" s="12" t="n"/>
      <c r="S6019" s="12" t="inlineStr">
        <is>
          <t>Duct bank</t>
        </is>
      </c>
      <c r="T6019" s="15" t="n">
        <v>259</v>
      </c>
      <c r="U6019" s="15" t="n">
        <v>32</v>
      </c>
      <c r="V6019" s="15">
        <f>ROUNDUP((T6019+U6019+2*'Read Me'!$B$13)*(1+'Read Me'!$B$12),-1)</f>
        <v/>
      </c>
      <c r="W6019" s="15">
        <f>V6019*N6019*O6019</f>
        <v/>
      </c>
      <c r="X6019" s="12">
        <f>IF(LEFT(I6019,2)="MV",2*N6019*IF(L6019="1/C",O6019,1),0)</f>
        <v/>
      </c>
      <c r="Y6019" s="12">
        <f>IF(OR(LEFT(K6019,4)="LVAX",LEFT(K6019,6)="MV15AX",LEFT(K6019,4)="CTAX",LEFT(K6019,2)="W|"),2*N6019*O6019,0)</f>
        <v/>
      </c>
      <c r="Z6019" s="12" t="inlineStr"/>
      <c r="AA6019" s="12">
        <f>N6019*O6019</f>
        <v/>
      </c>
    </row>
    <row r="6020">
      <c r="A6020" s="12" t="inlineStr">
        <is>
          <t>K-I-0141</t>
        </is>
      </c>
      <c r="B6020" s="12" t="inlineStr">
        <is>
          <t>K</t>
        </is>
      </c>
      <c r="C6020" s="12" t="inlineStr">
        <is>
          <t>Fuel supply (adjacent market)</t>
        </is>
      </c>
      <c r="D6020" s="12" t="inlineStr">
        <is>
          <t>Discrete device to JB JB-LNG 14: vaporizers-DI01: 12 x 1 pr (field cables)</t>
        </is>
      </c>
      <c r="E6020" s="12" t="inlineStr"/>
      <c r="F6020" s="12" t="inlineStr">
        <is>
          <t>LNG 14: vaporizers + glycol heater</t>
        </is>
      </c>
      <c r="G6020" s="12" t="inlineStr">
        <is>
          <t>JB-LNG 14: vaporizers-DI01</t>
        </is>
      </c>
      <c r="H6020" s="12" t="inlineStr">
        <is>
          <t>LNG 14: vaporizers + glycol heater</t>
        </is>
      </c>
      <c r="I6020" s="12" t="inlineStr">
        <is>
          <t>Instrumentation</t>
        </is>
      </c>
      <c r="J6020" s="12" t="inlineStr">
        <is>
          <t>Instrumentation ITC / PLTC, IS, #18 shielded pairs, blue jacket</t>
        </is>
      </c>
      <c r="K6020" s="12" t="inlineStr">
        <is>
          <t>ITC|1 pr|16</t>
        </is>
      </c>
      <c r="L6020" s="12" t="inlineStr">
        <is>
          <t>1 pr</t>
        </is>
      </c>
      <c r="M6020" s="12" t="inlineStr">
        <is>
          <t>16</t>
        </is>
      </c>
      <c r="N6020" s="12" t="n">
        <v>12</v>
      </c>
      <c r="O6020" s="12" t="n">
        <v>1</v>
      </c>
      <c r="P6020" s="12" t="n"/>
      <c r="Q6020" s="12" t="n"/>
      <c r="R6020" s="12" t="n"/>
      <c r="S6020" s="12" t="inlineStr">
        <is>
          <t>Tray / conduit</t>
        </is>
      </c>
      <c r="T6020" s="15" t="n">
        <v>122</v>
      </c>
      <c r="U6020" s="15" t="n">
        <v>10</v>
      </c>
      <c r="V6020" s="15">
        <f>ROUNDUP((T6020+U6020+2*'Read Me'!$B$13)*(1+'Read Me'!$B$12),-1)</f>
        <v/>
      </c>
      <c r="W6020" s="15">
        <f>V6020*N6020*O6020</f>
        <v/>
      </c>
      <c r="X6020" s="12">
        <f>IF(LEFT(I6020,2)="MV",2*N6020*IF(L6020="1/C",O6020,1),0)</f>
        <v/>
      </c>
      <c r="Y6020" s="12">
        <f>IF(OR(LEFT(K6020,4)="LVAX",LEFT(K6020,6)="MV15AX",LEFT(K6020,4)="CTAX",LEFT(K6020,2)="W|"),2*N6020*O6020,0)</f>
        <v/>
      </c>
      <c r="Z6020" s="12" t="inlineStr">
        <is>
          <t>device-to-JB field wiring, one cable per device</t>
        </is>
      </c>
      <c r="AA6020" s="12">
        <f>N6020*O6020</f>
        <v/>
      </c>
    </row>
    <row r="6021">
      <c r="A6021" s="12" t="inlineStr">
        <is>
          <t>K-I-0142</t>
        </is>
      </c>
      <c r="B6021" s="12" t="inlineStr">
        <is>
          <t>K</t>
        </is>
      </c>
      <c r="C6021" s="12" t="inlineStr">
        <is>
          <t>Fuel supply (adjacent market)</t>
        </is>
      </c>
      <c r="D6021" s="12" t="inlineStr">
        <is>
          <t>Home run JB-LNG 14: vaporizers-DI01 to the control / marshalling room</t>
        </is>
      </c>
      <c r="E6021" s="12" t="inlineStr"/>
      <c r="F6021" s="12" t="inlineStr">
        <is>
          <t>LNG 17: LNG e-house (13.8 kV / 480 V)</t>
        </is>
      </c>
      <c r="G6021" s="12" t="inlineStr">
        <is>
          <t>JB-LNG 14: vaporizers-DI01</t>
        </is>
      </c>
      <c r="H6021" s="12" t="inlineStr">
        <is>
          <t>LNG 14: vaporizers + glycol heater</t>
        </is>
      </c>
      <c r="I6021" s="12" t="inlineStr">
        <is>
          <t>Instrumentation</t>
        </is>
      </c>
      <c r="J6021" s="12" t="inlineStr">
        <is>
          <t>Instrumentation ITC / PLTC, IS, #18 shielded pairs, blue jacket</t>
        </is>
      </c>
      <c r="K6021" s="12" t="inlineStr">
        <is>
          <t>ITC|24 pr|18</t>
        </is>
      </c>
      <c r="L6021" s="12" t="inlineStr">
        <is>
          <t>24 pr</t>
        </is>
      </c>
      <c r="M6021" s="12" t="inlineStr">
        <is>
          <t>18</t>
        </is>
      </c>
      <c r="N6021" s="12" t="n">
        <v>1</v>
      </c>
      <c r="O6021" s="12" t="n">
        <v>1</v>
      </c>
      <c r="P6021" s="12" t="n"/>
      <c r="Q6021" s="12" t="n"/>
      <c r="R6021" s="12" t="n"/>
      <c r="S6021" s="12" t="inlineStr">
        <is>
          <t>Duct bank</t>
        </is>
      </c>
      <c r="T6021" s="15" t="n">
        <v>259</v>
      </c>
      <c r="U6021" s="15" t="n">
        <v>32</v>
      </c>
      <c r="V6021" s="15">
        <f>ROUNDUP((T6021+U6021+2*'Read Me'!$B$13)*(1+'Read Me'!$B$12),-1)</f>
        <v/>
      </c>
      <c r="W6021" s="15">
        <f>V6021*N6021*O6021</f>
        <v/>
      </c>
      <c r="X6021" s="12">
        <f>IF(LEFT(I6021,2)="MV",2*N6021*IF(L6021="1/C",O6021,1),0)</f>
        <v/>
      </c>
      <c r="Y6021" s="12">
        <f>IF(OR(LEFT(K6021,4)="LVAX",LEFT(K6021,6)="MV15AX",LEFT(K6021,4)="CTAX",LEFT(K6021,2)="W|"),2*N6021*O6021,0)</f>
        <v/>
      </c>
      <c r="Z6021" s="12" t="inlineStr"/>
      <c r="AA6021" s="12">
        <f>N6021*O6021</f>
        <v/>
      </c>
    </row>
    <row r="6022">
      <c r="A6022" s="12" t="inlineStr">
        <is>
          <t>K-I-0143</t>
        </is>
      </c>
      <c r="B6022" s="12" t="inlineStr">
        <is>
          <t>K</t>
        </is>
      </c>
      <c r="C6022" s="12" t="inlineStr">
        <is>
          <t>Fuel supply (adjacent market)</t>
        </is>
      </c>
      <c r="D6022" s="12" t="inlineStr">
        <is>
          <t>Analog instrument to JB JB-LNG 15: boil-off g-AI01: 12 x 1 pr (field cables)</t>
        </is>
      </c>
      <c r="E6022" s="12" t="inlineStr"/>
      <c r="F6022" s="12" t="inlineStr">
        <is>
          <t>LNG 15: boil-off gas compressor</t>
        </is>
      </c>
      <c r="G6022" s="12" t="inlineStr">
        <is>
          <t>JB-LNG 15: boil-off g-AI01</t>
        </is>
      </c>
      <c r="H6022" s="12" t="inlineStr">
        <is>
          <t>LNG 15: boil-off gas compressor</t>
        </is>
      </c>
      <c r="I6022" s="12" t="inlineStr">
        <is>
          <t>Instrumentation</t>
        </is>
      </c>
      <c r="J6022" s="12" t="inlineStr">
        <is>
          <t>Instrumentation ITC / PLTC, IS, #18 shielded pairs, blue jacket</t>
        </is>
      </c>
      <c r="K6022" s="12" t="inlineStr">
        <is>
          <t>ITC|1 pr|16</t>
        </is>
      </c>
      <c r="L6022" s="12" t="inlineStr">
        <is>
          <t>1 pr</t>
        </is>
      </c>
      <c r="M6022" s="12" t="inlineStr">
        <is>
          <t>16</t>
        </is>
      </c>
      <c r="N6022" s="12" t="n">
        <v>12</v>
      </c>
      <c r="O6022" s="12" t="n">
        <v>1</v>
      </c>
      <c r="P6022" s="12" t="n"/>
      <c r="Q6022" s="12" t="n"/>
      <c r="R6022" s="12" t="n"/>
      <c r="S6022" s="12" t="inlineStr">
        <is>
          <t>Tray / conduit</t>
        </is>
      </c>
      <c r="T6022" s="15" t="n">
        <v>67</v>
      </c>
      <c r="U6022" s="15" t="n">
        <v>10</v>
      </c>
      <c r="V6022" s="15">
        <f>ROUNDUP((T6022+U6022+2*'Read Me'!$B$13)*(1+'Read Me'!$B$12),-1)</f>
        <v/>
      </c>
      <c r="W6022" s="15">
        <f>V6022*N6022*O6022</f>
        <v/>
      </c>
      <c r="X6022" s="12">
        <f>IF(LEFT(I6022,2)="MV",2*N6022*IF(L6022="1/C",O6022,1),0)</f>
        <v/>
      </c>
      <c r="Y6022" s="12">
        <f>IF(OR(LEFT(K6022,4)="LVAX",LEFT(K6022,6)="MV15AX",LEFT(K6022,4)="CTAX",LEFT(K6022,2)="W|"),2*N6022*O6022,0)</f>
        <v/>
      </c>
      <c r="Z6022" s="12" t="inlineStr">
        <is>
          <t>device-to-JB field wiring, one cable per device</t>
        </is>
      </c>
      <c r="AA6022" s="12">
        <f>N6022*O6022</f>
        <v/>
      </c>
    </row>
    <row r="6023">
      <c r="A6023" s="12" t="inlineStr">
        <is>
          <t>K-I-0144</t>
        </is>
      </c>
      <c r="B6023" s="12" t="inlineStr">
        <is>
          <t>K</t>
        </is>
      </c>
      <c r="C6023" s="12" t="inlineStr">
        <is>
          <t>Fuel supply (adjacent market)</t>
        </is>
      </c>
      <c r="D6023" s="12" t="inlineStr">
        <is>
          <t>Home run JB-LNG 15: boil-off g-AI01 to the control / marshalling room</t>
        </is>
      </c>
      <c r="E6023" s="12" t="inlineStr"/>
      <c r="F6023" s="12" t="inlineStr">
        <is>
          <t>LNG 17: LNG e-house (13.8 kV / 480 V)</t>
        </is>
      </c>
      <c r="G6023" s="12" t="inlineStr">
        <is>
          <t>JB-LNG 15: boil-off g-AI01</t>
        </is>
      </c>
      <c r="H6023" s="12" t="inlineStr">
        <is>
          <t>LNG 15: boil-off gas compressor</t>
        </is>
      </c>
      <c r="I6023" s="12" t="inlineStr">
        <is>
          <t>Instrumentation</t>
        </is>
      </c>
      <c r="J6023" s="12" t="inlineStr">
        <is>
          <t>Instrumentation ITC / PLTC, IS, #18 shielded pairs, blue jacket</t>
        </is>
      </c>
      <c r="K6023" s="12" t="inlineStr">
        <is>
          <t>ITC|24 pr|18</t>
        </is>
      </c>
      <c r="L6023" s="12" t="inlineStr">
        <is>
          <t>24 pr</t>
        </is>
      </c>
      <c r="M6023" s="12" t="inlineStr">
        <is>
          <t>18</t>
        </is>
      </c>
      <c r="N6023" s="12" t="n">
        <v>1</v>
      </c>
      <c r="O6023" s="12" t="n">
        <v>1</v>
      </c>
      <c r="P6023" s="12" t="n"/>
      <c r="Q6023" s="12" t="n"/>
      <c r="R6023" s="12" t="n"/>
      <c r="S6023" s="12" t="inlineStr">
        <is>
          <t>Duct bank</t>
        </is>
      </c>
      <c r="T6023" s="15" t="n">
        <v>25</v>
      </c>
      <c r="U6023" s="15" t="n">
        <v>54</v>
      </c>
      <c r="V6023" s="15">
        <f>ROUNDUP((T6023+U6023+2*'Read Me'!$B$13)*(1+'Read Me'!$B$12),-1)</f>
        <v/>
      </c>
      <c r="W6023" s="15">
        <f>V6023*N6023*O6023</f>
        <v/>
      </c>
      <c r="X6023" s="12">
        <f>IF(LEFT(I6023,2)="MV",2*N6023*IF(L6023="1/C",O6023,1),0)</f>
        <v/>
      </c>
      <c r="Y6023" s="12">
        <f>IF(OR(LEFT(K6023,4)="LVAX",LEFT(K6023,6)="MV15AX",LEFT(K6023,4)="CTAX",LEFT(K6023,2)="W|"),2*N6023*O6023,0)</f>
        <v/>
      </c>
      <c r="Z6023" s="12" t="inlineStr"/>
      <c r="AA6023" s="12">
        <f>N6023*O6023</f>
        <v/>
      </c>
    </row>
    <row r="6024">
      <c r="A6024" s="12" t="inlineStr">
        <is>
          <t>K-I-0145</t>
        </is>
      </c>
      <c r="B6024" s="12" t="inlineStr">
        <is>
          <t>K</t>
        </is>
      </c>
      <c r="C6024" s="12" t="inlineStr">
        <is>
          <t>Fuel supply (adjacent market)</t>
        </is>
      </c>
      <c r="D6024" s="12" t="inlineStr">
        <is>
          <t>Discrete device to JB JB-LNG 15: boil-off g-DI01: 12 x 1 pr (field cables)</t>
        </is>
      </c>
      <c r="E6024" s="12" t="inlineStr"/>
      <c r="F6024" s="12" t="inlineStr">
        <is>
          <t>LNG 15: boil-off gas compressor</t>
        </is>
      </c>
      <c r="G6024" s="12" t="inlineStr">
        <is>
          <t>JB-LNG 15: boil-off g-DI01</t>
        </is>
      </c>
      <c r="H6024" s="12" t="inlineStr">
        <is>
          <t>LNG 15: boil-off gas compressor</t>
        </is>
      </c>
      <c r="I6024" s="12" t="inlineStr">
        <is>
          <t>Instrumentation</t>
        </is>
      </c>
      <c r="J6024" s="12" t="inlineStr">
        <is>
          <t>Instrumentation ITC / PLTC, IS, #18 shielded pairs, blue jacket</t>
        </is>
      </c>
      <c r="K6024" s="12" t="inlineStr">
        <is>
          <t>ITC|1 pr|16</t>
        </is>
      </c>
      <c r="L6024" s="12" t="inlineStr">
        <is>
          <t>1 pr</t>
        </is>
      </c>
      <c r="M6024" s="12" t="inlineStr">
        <is>
          <t>16</t>
        </is>
      </c>
      <c r="N6024" s="12" t="n">
        <v>12</v>
      </c>
      <c r="O6024" s="12" t="n">
        <v>1</v>
      </c>
      <c r="P6024" s="12" t="n"/>
      <c r="Q6024" s="12" t="n"/>
      <c r="R6024" s="12" t="n"/>
      <c r="S6024" s="12" t="inlineStr">
        <is>
          <t>Tray / conduit</t>
        </is>
      </c>
      <c r="T6024" s="15" t="n">
        <v>67</v>
      </c>
      <c r="U6024" s="15" t="n">
        <v>10</v>
      </c>
      <c r="V6024" s="15">
        <f>ROUNDUP((T6024+U6024+2*'Read Me'!$B$13)*(1+'Read Me'!$B$12),-1)</f>
        <v/>
      </c>
      <c r="W6024" s="15">
        <f>V6024*N6024*O6024</f>
        <v/>
      </c>
      <c r="X6024" s="12">
        <f>IF(LEFT(I6024,2)="MV",2*N6024*IF(L6024="1/C",O6024,1),0)</f>
        <v/>
      </c>
      <c r="Y6024" s="12">
        <f>IF(OR(LEFT(K6024,4)="LVAX",LEFT(K6024,6)="MV15AX",LEFT(K6024,4)="CTAX",LEFT(K6024,2)="W|"),2*N6024*O6024,0)</f>
        <v/>
      </c>
      <c r="Z6024" s="12" t="inlineStr">
        <is>
          <t>device-to-JB field wiring, one cable per device</t>
        </is>
      </c>
      <c r="AA6024" s="12">
        <f>N6024*O6024</f>
        <v/>
      </c>
    </row>
    <row r="6025">
      <c r="A6025" s="12" t="inlineStr">
        <is>
          <t>K-I-0146</t>
        </is>
      </c>
      <c r="B6025" s="12" t="inlineStr">
        <is>
          <t>K</t>
        </is>
      </c>
      <c r="C6025" s="12" t="inlineStr">
        <is>
          <t>Fuel supply (adjacent market)</t>
        </is>
      </c>
      <c r="D6025" s="12" t="inlineStr">
        <is>
          <t>Home run JB-LNG 15: boil-off g-DI01 to the control / marshalling room</t>
        </is>
      </c>
      <c r="E6025" s="12" t="inlineStr"/>
      <c r="F6025" s="12" t="inlineStr">
        <is>
          <t>LNG 17: LNG e-house (13.8 kV / 480 V)</t>
        </is>
      </c>
      <c r="G6025" s="12" t="inlineStr">
        <is>
          <t>JB-LNG 15: boil-off g-DI01</t>
        </is>
      </c>
      <c r="H6025" s="12" t="inlineStr">
        <is>
          <t>LNG 15: boil-off gas compressor</t>
        </is>
      </c>
      <c r="I6025" s="12" t="inlineStr">
        <is>
          <t>Instrumentation</t>
        </is>
      </c>
      <c r="J6025" s="12" t="inlineStr">
        <is>
          <t>Instrumentation ITC / PLTC, IS, #18 shielded pairs, blue jacket</t>
        </is>
      </c>
      <c r="K6025" s="12" t="inlineStr">
        <is>
          <t>ITC|24 pr|18</t>
        </is>
      </c>
      <c r="L6025" s="12" t="inlineStr">
        <is>
          <t>24 pr</t>
        </is>
      </c>
      <c r="M6025" s="12" t="inlineStr">
        <is>
          <t>18</t>
        </is>
      </c>
      <c r="N6025" s="12" t="n">
        <v>1</v>
      </c>
      <c r="O6025" s="12" t="n">
        <v>1</v>
      </c>
      <c r="P6025" s="12" t="n"/>
      <c r="Q6025" s="12" t="n"/>
      <c r="R6025" s="12" t="n"/>
      <c r="S6025" s="12" t="inlineStr">
        <is>
          <t>Duct bank</t>
        </is>
      </c>
      <c r="T6025" s="15" t="n">
        <v>25</v>
      </c>
      <c r="U6025" s="15" t="n">
        <v>54</v>
      </c>
      <c r="V6025" s="15">
        <f>ROUNDUP((T6025+U6025+2*'Read Me'!$B$13)*(1+'Read Me'!$B$12),-1)</f>
        <v/>
      </c>
      <c r="W6025" s="15">
        <f>V6025*N6025*O6025</f>
        <v/>
      </c>
      <c r="X6025" s="12">
        <f>IF(LEFT(I6025,2)="MV",2*N6025*IF(L6025="1/C",O6025,1),0)</f>
        <v/>
      </c>
      <c r="Y6025" s="12">
        <f>IF(OR(LEFT(K6025,4)="LVAX",LEFT(K6025,6)="MV15AX",LEFT(K6025,4)="CTAX",LEFT(K6025,2)="W|"),2*N6025*O6025,0)</f>
        <v/>
      </c>
      <c r="Z6025" s="12" t="inlineStr"/>
      <c r="AA6025" s="12">
        <f>N6025*O6025</f>
        <v/>
      </c>
    </row>
    <row r="6026">
      <c r="A6026" s="12" t="inlineStr">
        <is>
          <t>K-I-0147</t>
        </is>
      </c>
      <c r="B6026" s="12" t="inlineStr">
        <is>
          <t>K</t>
        </is>
      </c>
      <c r="C6026" s="12" t="inlineStr">
        <is>
          <t>Fuel supply (adjacent market)</t>
        </is>
      </c>
      <c r="D6026" s="12" t="inlineStr">
        <is>
          <t>Analog instrument to JB JB-LNG 16: send-out m-AI01: 12 x 1 pr (field cables)</t>
        </is>
      </c>
      <c r="E6026" s="12" t="inlineStr"/>
      <c r="F6026" s="12" t="inlineStr">
        <is>
          <t>LNG 16: send-out metering + pressure control</t>
        </is>
      </c>
      <c r="G6026" s="12" t="inlineStr">
        <is>
          <t>JB-LNG 16: send-out m-AI01</t>
        </is>
      </c>
      <c r="H6026" s="12" t="inlineStr">
        <is>
          <t>LNG 16: send-out metering + pressure control</t>
        </is>
      </c>
      <c r="I6026" s="12" t="inlineStr">
        <is>
          <t>Instrumentation</t>
        </is>
      </c>
      <c r="J6026" s="12" t="inlineStr">
        <is>
          <t>Instrumentation ITC / PLTC, IS, #18 shielded pairs, blue jacket</t>
        </is>
      </c>
      <c r="K6026" s="12" t="inlineStr">
        <is>
          <t>ITC|1 pr|16</t>
        </is>
      </c>
      <c r="L6026" s="12" t="inlineStr">
        <is>
          <t>1 pr</t>
        </is>
      </c>
      <c r="M6026" s="12" t="inlineStr">
        <is>
          <t>16</t>
        </is>
      </c>
      <c r="N6026" s="12" t="n">
        <v>12</v>
      </c>
      <c r="O6026" s="12" t="n">
        <v>1</v>
      </c>
      <c r="P6026" s="12" t="n"/>
      <c r="Q6026" s="12" t="n"/>
      <c r="R6026" s="12" t="n"/>
      <c r="S6026" s="12" t="inlineStr">
        <is>
          <t>Tray / conduit</t>
        </is>
      </c>
      <c r="T6026" s="15" t="n">
        <v>74</v>
      </c>
      <c r="U6026" s="15" t="n">
        <v>10</v>
      </c>
      <c r="V6026" s="15">
        <f>ROUNDUP((T6026+U6026+2*'Read Me'!$B$13)*(1+'Read Me'!$B$12),-1)</f>
        <v/>
      </c>
      <c r="W6026" s="15">
        <f>V6026*N6026*O6026</f>
        <v/>
      </c>
      <c r="X6026" s="12">
        <f>IF(LEFT(I6026,2)="MV",2*N6026*IF(L6026="1/C",O6026,1),0)</f>
        <v/>
      </c>
      <c r="Y6026" s="12">
        <f>IF(OR(LEFT(K6026,4)="LVAX",LEFT(K6026,6)="MV15AX",LEFT(K6026,4)="CTAX",LEFT(K6026,2)="W|"),2*N6026*O6026,0)</f>
        <v/>
      </c>
      <c r="Z6026" s="12" t="inlineStr">
        <is>
          <t>device-to-JB field wiring, one cable per device</t>
        </is>
      </c>
      <c r="AA6026" s="12">
        <f>N6026*O6026</f>
        <v/>
      </c>
    </row>
    <row r="6027">
      <c r="A6027" s="12" t="inlineStr">
        <is>
          <t>K-I-0148</t>
        </is>
      </c>
      <c r="B6027" s="12" t="inlineStr">
        <is>
          <t>K</t>
        </is>
      </c>
      <c r="C6027" s="12" t="inlineStr">
        <is>
          <t>Fuel supply (adjacent market)</t>
        </is>
      </c>
      <c r="D6027" s="12" t="inlineStr">
        <is>
          <t>Home run JB-LNG 16: send-out m-AI01 to the control / marshalling room</t>
        </is>
      </c>
      <c r="E6027" s="12" t="inlineStr"/>
      <c r="F6027" s="12" t="inlineStr">
        <is>
          <t>LNG 17: LNG e-house (13.8 kV / 480 V)</t>
        </is>
      </c>
      <c r="G6027" s="12" t="inlineStr">
        <is>
          <t>JB-LNG 16: send-out m-AI01</t>
        </is>
      </c>
      <c r="H6027" s="12" t="inlineStr">
        <is>
          <t>LNG 16: send-out metering + pressure control</t>
        </is>
      </c>
      <c r="I6027" s="12" t="inlineStr">
        <is>
          <t>Instrumentation</t>
        </is>
      </c>
      <c r="J6027" s="12" t="inlineStr">
        <is>
          <t>Instrumentation ITC / PLTC, IS, #18 shielded pairs, blue jacket</t>
        </is>
      </c>
      <c r="K6027" s="12" t="inlineStr">
        <is>
          <t>ITC|24 pr|18</t>
        </is>
      </c>
      <c r="L6027" s="12" t="inlineStr">
        <is>
          <t>24 pr</t>
        </is>
      </c>
      <c r="M6027" s="12" t="inlineStr">
        <is>
          <t>18</t>
        </is>
      </c>
      <c r="N6027" s="12" t="n">
        <v>1</v>
      </c>
      <c r="O6027" s="12" t="n">
        <v>1</v>
      </c>
      <c r="P6027" s="12" t="n"/>
      <c r="Q6027" s="12" t="n"/>
      <c r="R6027" s="12" t="n"/>
      <c r="S6027" s="12" t="inlineStr">
        <is>
          <t>Duct bank</t>
        </is>
      </c>
      <c r="T6027" s="15" t="n">
        <v>20</v>
      </c>
      <c r="U6027" s="15" t="n">
        <v>32</v>
      </c>
      <c r="V6027" s="15">
        <f>ROUNDUP((T6027+U6027+2*'Read Me'!$B$13)*(1+'Read Me'!$B$12),-1)</f>
        <v/>
      </c>
      <c r="W6027" s="15">
        <f>V6027*N6027*O6027</f>
        <v/>
      </c>
      <c r="X6027" s="12">
        <f>IF(LEFT(I6027,2)="MV",2*N6027*IF(L6027="1/C",O6027,1),0)</f>
        <v/>
      </c>
      <c r="Y6027" s="12">
        <f>IF(OR(LEFT(K6027,4)="LVAX",LEFT(K6027,6)="MV15AX",LEFT(K6027,4)="CTAX",LEFT(K6027,2)="W|"),2*N6027*O6027,0)</f>
        <v/>
      </c>
      <c r="Z6027" s="12" t="inlineStr"/>
      <c r="AA6027" s="12">
        <f>N6027*O6027</f>
        <v/>
      </c>
    </row>
    <row r="6028">
      <c r="A6028" s="12" t="inlineStr">
        <is>
          <t>K-I-0149</t>
        </is>
      </c>
      <c r="B6028" s="12" t="inlineStr">
        <is>
          <t>K</t>
        </is>
      </c>
      <c r="C6028" s="12" t="inlineStr">
        <is>
          <t>Fuel supply (adjacent market)</t>
        </is>
      </c>
      <c r="D6028" s="12" t="inlineStr">
        <is>
          <t>Discrete device to JB JB-LNG 16: send-out m-DI01: 12 x 1 pr (field cables)</t>
        </is>
      </c>
      <c r="E6028" s="12" t="inlineStr"/>
      <c r="F6028" s="12" t="inlineStr">
        <is>
          <t>LNG 16: send-out metering + pressure control</t>
        </is>
      </c>
      <c r="G6028" s="12" t="inlineStr">
        <is>
          <t>JB-LNG 16: send-out m-DI01</t>
        </is>
      </c>
      <c r="H6028" s="12" t="inlineStr">
        <is>
          <t>LNG 16: send-out metering + pressure control</t>
        </is>
      </c>
      <c r="I6028" s="12" t="inlineStr">
        <is>
          <t>Instrumentation</t>
        </is>
      </c>
      <c r="J6028" s="12" t="inlineStr">
        <is>
          <t>Instrumentation ITC / PLTC, IS, #18 shielded pairs, blue jacket</t>
        </is>
      </c>
      <c r="K6028" s="12" t="inlineStr">
        <is>
          <t>ITC|1 pr|16</t>
        </is>
      </c>
      <c r="L6028" s="12" t="inlineStr">
        <is>
          <t>1 pr</t>
        </is>
      </c>
      <c r="M6028" s="12" t="inlineStr">
        <is>
          <t>16</t>
        </is>
      </c>
      <c r="N6028" s="12" t="n">
        <v>12</v>
      </c>
      <c r="O6028" s="12" t="n">
        <v>1</v>
      </c>
      <c r="P6028" s="12" t="n"/>
      <c r="Q6028" s="12" t="n"/>
      <c r="R6028" s="12" t="n"/>
      <c r="S6028" s="12" t="inlineStr">
        <is>
          <t>Tray / conduit</t>
        </is>
      </c>
      <c r="T6028" s="15" t="n">
        <v>74</v>
      </c>
      <c r="U6028" s="15" t="n">
        <v>10</v>
      </c>
      <c r="V6028" s="15">
        <f>ROUNDUP((T6028+U6028+2*'Read Me'!$B$13)*(1+'Read Me'!$B$12),-1)</f>
        <v/>
      </c>
      <c r="W6028" s="15">
        <f>V6028*N6028*O6028</f>
        <v/>
      </c>
      <c r="X6028" s="12">
        <f>IF(LEFT(I6028,2)="MV",2*N6028*IF(L6028="1/C",O6028,1),0)</f>
        <v/>
      </c>
      <c r="Y6028" s="12">
        <f>IF(OR(LEFT(K6028,4)="LVAX",LEFT(K6028,6)="MV15AX",LEFT(K6028,4)="CTAX",LEFT(K6028,2)="W|"),2*N6028*O6028,0)</f>
        <v/>
      </c>
      <c r="Z6028" s="12" t="inlineStr">
        <is>
          <t>device-to-JB field wiring, one cable per device</t>
        </is>
      </c>
      <c r="AA6028" s="12">
        <f>N6028*O6028</f>
        <v/>
      </c>
    </row>
    <row r="6029">
      <c r="A6029" s="12" t="inlineStr">
        <is>
          <t>K-I-0150</t>
        </is>
      </c>
      <c r="B6029" s="12" t="inlineStr">
        <is>
          <t>K</t>
        </is>
      </c>
      <c r="C6029" s="12" t="inlineStr">
        <is>
          <t>Fuel supply (adjacent market)</t>
        </is>
      </c>
      <c r="D6029" s="12" t="inlineStr">
        <is>
          <t>Home run JB-LNG 16: send-out m-DI01 to the control / marshalling room</t>
        </is>
      </c>
      <c r="E6029" s="12" t="inlineStr"/>
      <c r="F6029" s="12" t="inlineStr">
        <is>
          <t>LNG 17: LNG e-house (13.8 kV / 480 V)</t>
        </is>
      </c>
      <c r="G6029" s="12" t="inlineStr">
        <is>
          <t>JB-LNG 16: send-out m-DI01</t>
        </is>
      </c>
      <c r="H6029" s="12" t="inlineStr">
        <is>
          <t>LNG 16: send-out metering + pressure control</t>
        </is>
      </c>
      <c r="I6029" s="12" t="inlineStr">
        <is>
          <t>Instrumentation</t>
        </is>
      </c>
      <c r="J6029" s="12" t="inlineStr">
        <is>
          <t>Instrumentation ITC / PLTC, IS, #18 shielded pairs, blue jacket</t>
        </is>
      </c>
      <c r="K6029" s="12" t="inlineStr">
        <is>
          <t>ITC|24 pr|18</t>
        </is>
      </c>
      <c r="L6029" s="12" t="inlineStr">
        <is>
          <t>24 pr</t>
        </is>
      </c>
      <c r="M6029" s="12" t="inlineStr">
        <is>
          <t>18</t>
        </is>
      </c>
      <c r="N6029" s="12" t="n">
        <v>1</v>
      </c>
      <c r="O6029" s="12" t="n">
        <v>1</v>
      </c>
      <c r="P6029" s="12" t="n"/>
      <c r="Q6029" s="12" t="n"/>
      <c r="R6029" s="12" t="n"/>
      <c r="S6029" s="12" t="inlineStr">
        <is>
          <t>Duct bank</t>
        </is>
      </c>
      <c r="T6029" s="15" t="n">
        <v>20</v>
      </c>
      <c r="U6029" s="15" t="n">
        <v>32</v>
      </c>
      <c r="V6029" s="15">
        <f>ROUNDUP((T6029+U6029+2*'Read Me'!$B$13)*(1+'Read Me'!$B$12),-1)</f>
        <v/>
      </c>
      <c r="W6029" s="15">
        <f>V6029*N6029*O6029</f>
        <v/>
      </c>
      <c r="X6029" s="12">
        <f>IF(LEFT(I6029,2)="MV",2*N6029*IF(L6029="1/C",O6029,1),0)</f>
        <v/>
      </c>
      <c r="Y6029" s="12">
        <f>IF(OR(LEFT(K6029,4)="LVAX",LEFT(K6029,6)="MV15AX",LEFT(K6029,4)="CTAX",LEFT(K6029,2)="W|"),2*N6029*O6029,0)</f>
        <v/>
      </c>
      <c r="Z6029" s="12" t="inlineStr"/>
      <c r="AA6029" s="12">
        <f>N6029*O6029</f>
        <v/>
      </c>
    </row>
    <row r="6030">
      <c r="A6030" s="12" t="inlineStr">
        <is>
          <t>K-I-0151</t>
        </is>
      </c>
      <c r="B6030" s="12" t="inlineStr">
        <is>
          <t>K</t>
        </is>
      </c>
      <c r="C6030" s="12" t="inlineStr">
        <is>
          <t>Fuel supply (adjacent market)</t>
        </is>
      </c>
      <c r="D6030" s="12" t="inlineStr">
        <is>
          <t>Analog instrument to JB JB-LNG 17: LNG e-hous-AI01: 12 x 1 pr (field cables)</t>
        </is>
      </c>
      <c r="E6030" s="12" t="inlineStr"/>
      <c r="F6030" s="12" t="inlineStr">
        <is>
          <t>LNG 17: LNG e-house (13.8 kV / 480 V)</t>
        </is>
      </c>
      <c r="G6030" s="12" t="inlineStr">
        <is>
          <t>JB-LNG 17: LNG e-hous-AI01</t>
        </is>
      </c>
      <c r="H6030" s="12" t="inlineStr">
        <is>
          <t>LNG 17: LNG e-house (13.8 kV / 480 V)</t>
        </is>
      </c>
      <c r="I6030" s="12" t="inlineStr">
        <is>
          <t>Instrumentation</t>
        </is>
      </c>
      <c r="J6030" s="12" t="inlineStr">
        <is>
          <t>Instrumentation ITC / PLTC, IS, #18 shielded pairs, blue jacket</t>
        </is>
      </c>
      <c r="K6030" s="12" t="inlineStr">
        <is>
          <t>ITC|1 pr|16</t>
        </is>
      </c>
      <c r="L6030" s="12" t="inlineStr">
        <is>
          <t>1 pr</t>
        </is>
      </c>
      <c r="M6030" s="12" t="inlineStr">
        <is>
          <t>16</t>
        </is>
      </c>
      <c r="N6030" s="12" t="n">
        <v>12</v>
      </c>
      <c r="O6030" s="12" t="n">
        <v>1</v>
      </c>
      <c r="P6030" s="12" t="n"/>
      <c r="Q6030" s="12" t="n"/>
      <c r="R6030" s="12" t="n"/>
      <c r="S6030" s="12" t="inlineStr">
        <is>
          <t>Tray / conduit</t>
        </is>
      </c>
      <c r="T6030" s="15" t="n">
        <v>58</v>
      </c>
      <c r="U6030" s="15" t="n">
        <v>10</v>
      </c>
      <c r="V6030" s="15">
        <f>ROUNDUP((T6030+U6030+2*'Read Me'!$B$13)*(1+'Read Me'!$B$12),-1)</f>
        <v/>
      </c>
      <c r="W6030" s="15">
        <f>V6030*N6030*O6030</f>
        <v/>
      </c>
      <c r="X6030" s="12">
        <f>IF(LEFT(I6030,2)="MV",2*N6030*IF(L6030="1/C",O6030,1),0)</f>
        <v/>
      </c>
      <c r="Y6030" s="12">
        <f>IF(OR(LEFT(K6030,4)="LVAX",LEFT(K6030,6)="MV15AX",LEFT(K6030,4)="CTAX",LEFT(K6030,2)="W|"),2*N6030*O6030,0)</f>
        <v/>
      </c>
      <c r="Z6030" s="12" t="inlineStr">
        <is>
          <t>device-to-JB field wiring, one cable per device</t>
        </is>
      </c>
      <c r="AA6030" s="12">
        <f>N6030*O6030</f>
        <v/>
      </c>
    </row>
    <row r="6031">
      <c r="A6031" s="12" t="inlineStr">
        <is>
          <t>K-I-0152</t>
        </is>
      </c>
      <c r="B6031" s="12" t="inlineStr">
        <is>
          <t>K</t>
        </is>
      </c>
      <c r="C6031" s="12" t="inlineStr">
        <is>
          <t>Fuel supply (adjacent market)</t>
        </is>
      </c>
      <c r="D6031" s="12" t="inlineStr">
        <is>
          <t>Home run JB-LNG 17: LNG e-hous-AI01 to the control / marshalling room</t>
        </is>
      </c>
      <c r="E6031" s="12" t="inlineStr"/>
      <c r="F6031" s="12" t="inlineStr">
        <is>
          <t>LNG 17: LNG e-house (13.8 kV / 480 V)</t>
        </is>
      </c>
      <c r="G6031" s="12" t="inlineStr">
        <is>
          <t>JB-LNG 17: LNG e-hous-AI01</t>
        </is>
      </c>
      <c r="H6031" s="12" t="inlineStr">
        <is>
          <t>LNG 17: LNG e-house (13.8 kV / 480 V)</t>
        </is>
      </c>
      <c r="I6031" s="12" t="inlineStr">
        <is>
          <t>Instrumentation</t>
        </is>
      </c>
      <c r="J6031" s="12" t="inlineStr">
        <is>
          <t>Instrumentation ITC / PLTC, IS, #18 shielded pairs, blue jacket</t>
        </is>
      </c>
      <c r="K6031" s="12" t="inlineStr">
        <is>
          <t>ITC|24 pr|18</t>
        </is>
      </c>
      <c r="L6031" s="12" t="inlineStr">
        <is>
          <t>24 pr</t>
        </is>
      </c>
      <c r="M6031" s="12" t="inlineStr">
        <is>
          <t>18</t>
        </is>
      </c>
      <c r="N6031" s="12" t="n">
        <v>1</v>
      </c>
      <c r="O6031" s="12" t="n">
        <v>1</v>
      </c>
      <c r="P6031" s="12" t="n"/>
      <c r="Q6031" s="12" t="n"/>
      <c r="R6031" s="12" t="n"/>
      <c r="S6031" s="12" t="inlineStr">
        <is>
          <t>Tray</t>
        </is>
      </c>
      <c r="T6031" s="15" t="n">
        <v>0</v>
      </c>
      <c r="U6031" s="15" t="n">
        <v>32</v>
      </c>
      <c r="V6031" s="15">
        <f>ROUNDUP((T6031+U6031+2*'Read Me'!$B$13)*(1+'Read Me'!$B$12),-1)</f>
        <v/>
      </c>
      <c r="W6031" s="15">
        <f>V6031*N6031*O6031</f>
        <v/>
      </c>
      <c r="X6031" s="12">
        <f>IF(LEFT(I6031,2)="MV",2*N6031*IF(L6031="1/C",O6031,1),0)</f>
        <v/>
      </c>
      <c r="Y6031" s="12">
        <f>IF(OR(LEFT(K6031,4)="LVAX",LEFT(K6031,6)="MV15AX",LEFT(K6031,4)="CTAX",LEFT(K6031,2)="W|"),2*N6031*O6031,0)</f>
        <v/>
      </c>
      <c r="Z6031" s="12" t="inlineStr"/>
      <c r="AA6031" s="12">
        <f>N6031*O6031</f>
        <v/>
      </c>
    </row>
    <row r="6032">
      <c r="A6032" s="12" t="inlineStr">
        <is>
          <t>K-I-0153</t>
        </is>
      </c>
      <c r="B6032" s="12" t="inlineStr">
        <is>
          <t>K</t>
        </is>
      </c>
      <c r="C6032" s="12" t="inlineStr">
        <is>
          <t>Fuel supply (adjacent market)</t>
        </is>
      </c>
      <c r="D6032" s="12" t="inlineStr">
        <is>
          <t>Discrete device to JB JB-LNG 17: LNG e-hous-DI01: 12 x 1 pr (field cables)</t>
        </is>
      </c>
      <c r="E6032" s="12" t="inlineStr"/>
      <c r="F6032" s="12" t="inlineStr">
        <is>
          <t>LNG 17: LNG e-house (13.8 kV / 480 V)</t>
        </is>
      </c>
      <c r="G6032" s="12" t="inlineStr">
        <is>
          <t>JB-LNG 17: LNG e-hous-DI01</t>
        </is>
      </c>
      <c r="H6032" s="12" t="inlineStr">
        <is>
          <t>LNG 17: LNG e-house (13.8 kV / 480 V)</t>
        </is>
      </c>
      <c r="I6032" s="12" t="inlineStr">
        <is>
          <t>Instrumentation</t>
        </is>
      </c>
      <c r="J6032" s="12" t="inlineStr">
        <is>
          <t>Instrumentation ITC / PLTC, IS, #18 shielded pairs, blue jacket</t>
        </is>
      </c>
      <c r="K6032" s="12" t="inlineStr">
        <is>
          <t>ITC|1 pr|16</t>
        </is>
      </c>
      <c r="L6032" s="12" t="inlineStr">
        <is>
          <t>1 pr</t>
        </is>
      </c>
      <c r="M6032" s="12" t="inlineStr">
        <is>
          <t>16</t>
        </is>
      </c>
      <c r="N6032" s="12" t="n">
        <v>12</v>
      </c>
      <c r="O6032" s="12" t="n">
        <v>1</v>
      </c>
      <c r="P6032" s="12" t="n"/>
      <c r="Q6032" s="12" t="n"/>
      <c r="R6032" s="12" t="n"/>
      <c r="S6032" s="12" t="inlineStr">
        <is>
          <t>Tray / conduit</t>
        </is>
      </c>
      <c r="T6032" s="15" t="n">
        <v>58</v>
      </c>
      <c r="U6032" s="15" t="n">
        <v>10</v>
      </c>
      <c r="V6032" s="15">
        <f>ROUNDUP((T6032+U6032+2*'Read Me'!$B$13)*(1+'Read Me'!$B$12),-1)</f>
        <v/>
      </c>
      <c r="W6032" s="15">
        <f>V6032*N6032*O6032</f>
        <v/>
      </c>
      <c r="X6032" s="12">
        <f>IF(LEFT(I6032,2)="MV",2*N6032*IF(L6032="1/C",O6032,1),0)</f>
        <v/>
      </c>
      <c r="Y6032" s="12">
        <f>IF(OR(LEFT(K6032,4)="LVAX",LEFT(K6032,6)="MV15AX",LEFT(K6032,4)="CTAX",LEFT(K6032,2)="W|"),2*N6032*O6032,0)</f>
        <v/>
      </c>
      <c r="Z6032" s="12" t="inlineStr">
        <is>
          <t>device-to-JB field wiring, one cable per device</t>
        </is>
      </c>
      <c r="AA6032" s="12">
        <f>N6032*O6032</f>
        <v/>
      </c>
    </row>
    <row r="6033">
      <c r="A6033" s="12" t="inlineStr">
        <is>
          <t>K-I-0154</t>
        </is>
      </c>
      <c r="B6033" s="12" t="inlineStr">
        <is>
          <t>K</t>
        </is>
      </c>
      <c r="C6033" s="12" t="inlineStr">
        <is>
          <t>Fuel supply (adjacent market)</t>
        </is>
      </c>
      <c r="D6033" s="12" t="inlineStr">
        <is>
          <t>Home run JB-LNG 17: LNG e-hous-DI01 to the control / marshalling room</t>
        </is>
      </c>
      <c r="E6033" s="12" t="inlineStr"/>
      <c r="F6033" s="12" t="inlineStr">
        <is>
          <t>LNG 17: LNG e-house (13.8 kV / 480 V)</t>
        </is>
      </c>
      <c r="G6033" s="12" t="inlineStr">
        <is>
          <t>JB-LNG 17: LNG e-hous-DI01</t>
        </is>
      </c>
      <c r="H6033" s="12" t="inlineStr">
        <is>
          <t>LNG 17: LNG e-house (13.8 kV / 480 V)</t>
        </is>
      </c>
      <c r="I6033" s="12" t="inlineStr">
        <is>
          <t>Instrumentation</t>
        </is>
      </c>
      <c r="J6033" s="12" t="inlineStr">
        <is>
          <t>Instrumentation ITC / PLTC, IS, #18 shielded pairs, blue jacket</t>
        </is>
      </c>
      <c r="K6033" s="12" t="inlineStr">
        <is>
          <t>ITC|24 pr|18</t>
        </is>
      </c>
      <c r="L6033" s="12" t="inlineStr">
        <is>
          <t>24 pr</t>
        </is>
      </c>
      <c r="M6033" s="12" t="inlineStr">
        <is>
          <t>18</t>
        </is>
      </c>
      <c r="N6033" s="12" t="n">
        <v>1</v>
      </c>
      <c r="O6033" s="12" t="n">
        <v>1</v>
      </c>
      <c r="P6033" s="12" t="n"/>
      <c r="Q6033" s="12" t="n"/>
      <c r="R6033" s="12" t="n"/>
      <c r="S6033" s="12" t="inlineStr">
        <is>
          <t>Tray</t>
        </is>
      </c>
      <c r="T6033" s="15" t="n">
        <v>0</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K-I-0155</t>
        </is>
      </c>
      <c r="B6034" s="12" t="inlineStr">
        <is>
          <t>K</t>
        </is>
      </c>
      <c r="C6034" s="12" t="inlineStr">
        <is>
          <t>Fuel supply (adjacent market)</t>
        </is>
      </c>
      <c r="D6034" s="12" t="inlineStr">
        <is>
          <t>Analog instrument to JB JB-LNG 18: vent stack-AI01: 12 x 1 pr (field cables)</t>
        </is>
      </c>
      <c r="E6034" s="12" t="inlineStr"/>
      <c r="F6034" s="12" t="inlineStr">
        <is>
          <t>LNG 18: vent stack</t>
        </is>
      </c>
      <c r="G6034" s="12" t="inlineStr">
        <is>
          <t>JB-LNG 18: vent stack-AI01</t>
        </is>
      </c>
      <c r="H6034" s="12" t="inlineStr">
        <is>
          <t>LNG 18: vent stack</t>
        </is>
      </c>
      <c r="I6034" s="12" t="inlineStr">
        <is>
          <t>Instrumentation</t>
        </is>
      </c>
      <c r="J6034" s="12" t="inlineStr">
        <is>
          <t>Instrumentation ITC / PLTC, IS, #18 shielded pairs, blue jacket</t>
        </is>
      </c>
      <c r="K6034" s="12" t="inlineStr">
        <is>
          <t>ITC|1 pr|16</t>
        </is>
      </c>
      <c r="L6034" s="12" t="inlineStr">
        <is>
          <t>1 pr</t>
        </is>
      </c>
      <c r="M6034" s="12" t="inlineStr">
        <is>
          <t>16</t>
        </is>
      </c>
      <c r="N6034" s="12" t="n">
        <v>12</v>
      </c>
      <c r="O6034" s="12" t="n">
        <v>1</v>
      </c>
      <c r="P6034" s="12" t="n"/>
      <c r="Q6034" s="12" t="n"/>
      <c r="R6034" s="12" t="n"/>
      <c r="S6034" s="12" t="inlineStr">
        <is>
          <t>Tray / conduit</t>
        </is>
      </c>
      <c r="T6034" s="15" t="n">
        <v>55</v>
      </c>
      <c r="U6034" s="15" t="n">
        <v>10</v>
      </c>
      <c r="V6034" s="15">
        <f>ROUNDUP((T6034+U6034+2*'Read Me'!$B$13)*(1+'Read Me'!$B$12),-1)</f>
        <v/>
      </c>
      <c r="W6034" s="15">
        <f>V6034*N6034*O6034</f>
        <v/>
      </c>
      <c r="X6034" s="12">
        <f>IF(LEFT(I6034,2)="MV",2*N6034*IF(L6034="1/C",O6034,1),0)</f>
        <v/>
      </c>
      <c r="Y6034" s="12">
        <f>IF(OR(LEFT(K6034,4)="LVAX",LEFT(K6034,6)="MV15AX",LEFT(K6034,4)="CTAX",LEFT(K6034,2)="W|"),2*N6034*O6034,0)</f>
        <v/>
      </c>
      <c r="Z6034" s="12" t="inlineStr">
        <is>
          <t>device-to-JB field wiring, one cable per device</t>
        </is>
      </c>
      <c r="AA6034" s="12">
        <f>N6034*O6034</f>
        <v/>
      </c>
    </row>
    <row r="6035">
      <c r="A6035" s="12" t="inlineStr">
        <is>
          <t>K-I-0156</t>
        </is>
      </c>
      <c r="B6035" s="12" t="inlineStr">
        <is>
          <t>K</t>
        </is>
      </c>
      <c r="C6035" s="12" t="inlineStr">
        <is>
          <t>Fuel supply (adjacent market)</t>
        </is>
      </c>
      <c r="D6035" s="12" t="inlineStr">
        <is>
          <t>Home run JB-LNG 18: vent stack-AI01 to the control / marshalling room</t>
        </is>
      </c>
      <c r="E6035" s="12" t="inlineStr"/>
      <c r="F6035" s="12" t="inlineStr">
        <is>
          <t>LNG 17: LNG e-house (13.8 kV / 480 V)</t>
        </is>
      </c>
      <c r="G6035" s="12" t="inlineStr">
        <is>
          <t>JB-LNG 18: vent stack-AI01</t>
        </is>
      </c>
      <c r="H6035" s="12" t="inlineStr">
        <is>
          <t>LNG 18: vent stack</t>
        </is>
      </c>
      <c r="I6035" s="12" t="inlineStr">
        <is>
          <t>Instrumentation</t>
        </is>
      </c>
      <c r="J6035" s="12" t="inlineStr">
        <is>
          <t>Instrumentation ITC / PLTC, IS, #18 shielded pairs, blue jacket</t>
        </is>
      </c>
      <c r="K6035" s="12" t="inlineStr">
        <is>
          <t>ITC|24 pr|18</t>
        </is>
      </c>
      <c r="L6035" s="12" t="inlineStr">
        <is>
          <t>24 pr</t>
        </is>
      </c>
      <c r="M6035" s="12" t="inlineStr">
        <is>
          <t>18</t>
        </is>
      </c>
      <c r="N6035" s="12" t="n">
        <v>1</v>
      </c>
      <c r="O6035" s="12" t="n">
        <v>1</v>
      </c>
      <c r="P6035" s="12" t="n"/>
      <c r="Q6035" s="12" t="n"/>
      <c r="R6035" s="12" t="n"/>
      <c r="S6035" s="12" t="inlineStr">
        <is>
          <t>Duct bank</t>
        </is>
      </c>
      <c r="T6035" s="15" t="n">
        <v>25</v>
      </c>
      <c r="U6035" s="15" t="n">
        <v>117</v>
      </c>
      <c r="V6035" s="15">
        <f>ROUNDUP((T6035+U6035+2*'Read Me'!$B$13)*(1+'Read Me'!$B$12),-1)</f>
        <v/>
      </c>
      <c r="W6035" s="15">
        <f>V6035*N6035*O6035</f>
        <v/>
      </c>
      <c r="X6035" s="12">
        <f>IF(LEFT(I6035,2)="MV",2*N6035*IF(L6035="1/C",O6035,1),0)</f>
        <v/>
      </c>
      <c r="Y6035" s="12">
        <f>IF(OR(LEFT(K6035,4)="LVAX",LEFT(K6035,6)="MV15AX",LEFT(K6035,4)="CTAX",LEFT(K6035,2)="W|"),2*N6035*O6035,0)</f>
        <v/>
      </c>
      <c r="Z6035" s="12" t="inlineStr"/>
      <c r="AA6035" s="12">
        <f>N6035*O6035</f>
        <v/>
      </c>
    </row>
    <row r="6036">
      <c r="A6036" s="12" t="inlineStr">
        <is>
          <t>K-I-0157</t>
        </is>
      </c>
      <c r="B6036" s="12" t="inlineStr">
        <is>
          <t>K</t>
        </is>
      </c>
      <c r="C6036" s="12" t="inlineStr">
        <is>
          <t>Fuel supply (adjacent market)</t>
        </is>
      </c>
      <c r="D6036" s="12" t="inlineStr">
        <is>
          <t>Discrete device to JB JB-LNG 18: vent stack-DI01: 12 x 1 pr (field cables)</t>
        </is>
      </c>
      <c r="E6036" s="12" t="inlineStr"/>
      <c r="F6036" s="12" t="inlineStr">
        <is>
          <t>LNG 18: vent stack</t>
        </is>
      </c>
      <c r="G6036" s="12" t="inlineStr">
        <is>
          <t>JB-LNG 18: vent stack-DI01</t>
        </is>
      </c>
      <c r="H6036" s="12" t="inlineStr">
        <is>
          <t>LNG 18: vent stack</t>
        </is>
      </c>
      <c r="I6036" s="12" t="inlineStr">
        <is>
          <t>Instrumentation</t>
        </is>
      </c>
      <c r="J6036" s="12" t="inlineStr">
        <is>
          <t>Instrumentation ITC / PLTC, IS, #18 shielded pairs, blue jacket</t>
        </is>
      </c>
      <c r="K6036" s="12" t="inlineStr">
        <is>
          <t>ITC|1 pr|16</t>
        </is>
      </c>
      <c r="L6036" s="12" t="inlineStr">
        <is>
          <t>1 pr</t>
        </is>
      </c>
      <c r="M6036" s="12" t="inlineStr">
        <is>
          <t>16</t>
        </is>
      </c>
      <c r="N6036" s="12" t="n">
        <v>12</v>
      </c>
      <c r="O6036" s="12" t="n">
        <v>1</v>
      </c>
      <c r="P6036" s="12" t="n"/>
      <c r="Q6036" s="12" t="n"/>
      <c r="R6036" s="12" t="n"/>
      <c r="S6036" s="12" t="inlineStr">
        <is>
          <t>Tray / conduit</t>
        </is>
      </c>
      <c r="T6036" s="15" t="n">
        <v>55</v>
      </c>
      <c r="U6036" s="15" t="n">
        <v>10</v>
      </c>
      <c r="V6036" s="15">
        <f>ROUNDUP((T6036+U6036+2*'Read Me'!$B$13)*(1+'Read Me'!$B$12),-1)</f>
        <v/>
      </c>
      <c r="W6036" s="15">
        <f>V6036*N6036*O6036</f>
        <v/>
      </c>
      <c r="X6036" s="12">
        <f>IF(LEFT(I6036,2)="MV",2*N6036*IF(L6036="1/C",O6036,1),0)</f>
        <v/>
      </c>
      <c r="Y6036" s="12">
        <f>IF(OR(LEFT(K6036,4)="LVAX",LEFT(K6036,6)="MV15AX",LEFT(K6036,4)="CTAX",LEFT(K6036,2)="W|"),2*N6036*O6036,0)</f>
        <v/>
      </c>
      <c r="Z6036" s="12" t="inlineStr">
        <is>
          <t>device-to-JB field wiring, one cable per device</t>
        </is>
      </c>
      <c r="AA6036" s="12">
        <f>N6036*O6036</f>
        <v/>
      </c>
    </row>
    <row r="6037">
      <c r="A6037" s="12" t="inlineStr">
        <is>
          <t>K-I-0158</t>
        </is>
      </c>
      <c r="B6037" s="12" t="inlineStr">
        <is>
          <t>K</t>
        </is>
      </c>
      <c r="C6037" s="12" t="inlineStr">
        <is>
          <t>Fuel supply (adjacent market)</t>
        </is>
      </c>
      <c r="D6037" s="12" t="inlineStr">
        <is>
          <t>Home run JB-LNG 18: vent stack-DI01 to the control / marshalling room</t>
        </is>
      </c>
      <c r="E6037" s="12" t="inlineStr"/>
      <c r="F6037" s="12" t="inlineStr">
        <is>
          <t>LNG 17: LNG e-house (13.8 kV / 480 V)</t>
        </is>
      </c>
      <c r="G6037" s="12" t="inlineStr">
        <is>
          <t>JB-LNG 18: vent stack-DI01</t>
        </is>
      </c>
      <c r="H6037" s="12" t="inlineStr">
        <is>
          <t>LNG 18: vent stack</t>
        </is>
      </c>
      <c r="I6037" s="12" t="inlineStr">
        <is>
          <t>Instrumentation</t>
        </is>
      </c>
      <c r="J6037" s="12" t="inlineStr">
        <is>
          <t>Instrumentation ITC / PLTC, IS, #18 shielded pairs, blue jacket</t>
        </is>
      </c>
      <c r="K6037" s="12" t="inlineStr">
        <is>
          <t>ITC|24 pr|18</t>
        </is>
      </c>
      <c r="L6037" s="12" t="inlineStr">
        <is>
          <t>24 pr</t>
        </is>
      </c>
      <c r="M6037" s="12" t="inlineStr">
        <is>
          <t>18</t>
        </is>
      </c>
      <c r="N6037" s="12" t="n">
        <v>1</v>
      </c>
      <c r="O6037" s="12" t="n">
        <v>1</v>
      </c>
      <c r="P6037" s="12" t="n"/>
      <c r="Q6037" s="12" t="n"/>
      <c r="R6037" s="12" t="n"/>
      <c r="S6037" s="12" t="inlineStr">
        <is>
          <t>Duct bank</t>
        </is>
      </c>
      <c r="T6037" s="15" t="n">
        <v>25</v>
      </c>
      <c r="U6037" s="15" t="n">
        <v>117</v>
      </c>
      <c r="V6037" s="15">
        <f>ROUNDUP((T6037+U6037+2*'Read Me'!$B$13)*(1+'Read Me'!$B$12),-1)</f>
        <v/>
      </c>
      <c r="W6037" s="15">
        <f>V6037*N6037*O6037</f>
        <v/>
      </c>
      <c r="X6037" s="12">
        <f>IF(LEFT(I6037,2)="MV",2*N6037*IF(L6037="1/C",O6037,1),0)</f>
        <v/>
      </c>
      <c r="Y6037" s="12">
        <f>IF(OR(LEFT(K6037,4)="LVAX",LEFT(K6037,6)="MV15AX",LEFT(K6037,4)="CTAX",LEFT(K6037,2)="W|"),2*N6037*O6037,0)</f>
        <v/>
      </c>
      <c r="Z6037" s="12" t="inlineStr"/>
      <c r="AA6037" s="12">
        <f>N6037*O6037</f>
        <v/>
      </c>
    </row>
    <row r="6038">
      <c r="A6038" s="12" t="inlineStr">
        <is>
          <t>K-I-0159</t>
        </is>
      </c>
      <c r="B6038" s="12" t="inlineStr">
        <is>
          <t>K</t>
        </is>
      </c>
      <c r="C6038" s="12" t="inlineStr">
        <is>
          <t>Fuel supply (adjacent market)</t>
        </is>
      </c>
      <c r="D6038" s="12" t="inlineStr">
        <is>
          <t>Instrumentation</t>
        </is>
      </c>
      <c r="E6038" s="12" t="inlineStr"/>
      <c r="F6038" s="12" t="inlineStr">
        <is>
          <t>LNG 17: LNG e-house (13.8 kV / 480 V)</t>
        </is>
      </c>
      <c r="G6038" s="12" t="inlineStr"/>
      <c r="H6038" s="12" t="inlineStr">
        <is>
          <t>LNG impoundment sump pump</t>
        </is>
      </c>
      <c r="I6038" s="12" t="inlineStr">
        <is>
          <t>Instrumentation</t>
        </is>
      </c>
      <c r="J6038" s="12" t="inlineStr">
        <is>
          <t>Instrumentation ITC / PLTC, IS, #18 shielded pairs, blue jacket</t>
        </is>
      </c>
      <c r="K6038" s="12" t="inlineStr">
        <is>
          <t>ITC|4 pr|18</t>
        </is>
      </c>
      <c r="L6038" s="12" t="inlineStr">
        <is>
          <t>4 pr</t>
        </is>
      </c>
      <c r="M6038" s="12" t="inlineStr">
        <is>
          <t>18</t>
        </is>
      </c>
      <c r="N6038" s="12" t="n">
        <v>1</v>
      </c>
      <c r="O6038" s="12" t="n">
        <v>1</v>
      </c>
      <c r="P6038" s="12" t="n"/>
      <c r="Q6038" s="12" t="n"/>
      <c r="R6038" s="12" t="n"/>
      <c r="S6038" s="12" t="inlineStr">
        <is>
          <t>Duct bank</t>
        </is>
      </c>
      <c r="T6038" s="15" t="n">
        <v>334</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K-I-0160</t>
        </is>
      </c>
      <c r="B6039" s="12" t="inlineStr">
        <is>
          <t>K</t>
        </is>
      </c>
      <c r="C6039" s="12" t="inlineStr">
        <is>
          <t>Fuel supply (adjacent market)</t>
        </is>
      </c>
      <c r="D6039" s="12" t="inlineStr">
        <is>
          <t>Instrumentation</t>
        </is>
      </c>
      <c r="E6039" s="12" t="inlineStr"/>
      <c r="F6039" s="12" t="inlineStr">
        <is>
          <t>LNG 17: LNG e-house (13.8 kV / 480 V)</t>
        </is>
      </c>
      <c r="G6039" s="12" t="inlineStr"/>
      <c r="H6039" s="12" t="inlineStr">
        <is>
          <t>M&amp;R 1: pig receiver, lateral terminus</t>
        </is>
      </c>
      <c r="I6039" s="12" t="inlineStr">
        <is>
          <t>Instrumentation</t>
        </is>
      </c>
      <c r="J6039" s="12" t="inlineStr">
        <is>
          <t>Instrumentation ITC / PLTC, IS, #18 shielded pairs, blue jacket</t>
        </is>
      </c>
      <c r="K6039" s="12" t="inlineStr">
        <is>
          <t>ITC|4 pr|18</t>
        </is>
      </c>
      <c r="L6039" s="12" t="inlineStr">
        <is>
          <t>4 pr</t>
        </is>
      </c>
      <c r="M6039" s="12" t="inlineStr">
        <is>
          <t>18</t>
        </is>
      </c>
      <c r="N6039" s="12" t="n">
        <v>1</v>
      </c>
      <c r="O6039" s="12" t="n">
        <v>1</v>
      </c>
      <c r="P6039" s="12" t="n"/>
      <c r="Q6039" s="12" t="n"/>
      <c r="R6039" s="12" t="n"/>
      <c r="S6039" s="12" t="inlineStr">
        <is>
          <t>Duct bank</t>
        </is>
      </c>
      <c r="T6039" s="15" t="n">
        <v>773</v>
      </c>
      <c r="U6039" s="15" t="n">
        <v>37</v>
      </c>
      <c r="V6039" s="15">
        <f>ROUNDUP((T6039+U6039+2*'Read Me'!$B$13)*(1+'Read Me'!$B$12),-1)</f>
        <v/>
      </c>
      <c r="W6039" s="15">
        <f>V6039*N6039*O6039</f>
        <v/>
      </c>
      <c r="X6039" s="12">
        <f>IF(LEFT(I6039,2)="MV",2*N6039*IF(L6039="1/C",O6039,1),0)</f>
        <v/>
      </c>
      <c r="Y6039" s="12">
        <f>IF(OR(LEFT(K6039,4)="LVAX",LEFT(K6039,6)="MV15AX",LEFT(K6039,4)="CTAX",LEFT(K6039,2)="W|"),2*N6039*O6039,0)</f>
        <v/>
      </c>
      <c r="Z6039" s="12" t="inlineStr"/>
      <c r="AA6039" s="12">
        <f>N6039*O6039</f>
        <v/>
      </c>
    </row>
    <row r="6040">
      <c r="A6040" s="12" t="inlineStr">
        <is>
          <t>K-I-0161</t>
        </is>
      </c>
      <c r="B6040" s="12" t="inlineStr">
        <is>
          <t>K</t>
        </is>
      </c>
      <c r="C6040" s="12" t="inlineStr">
        <is>
          <t>Fuel supply (adjacent market)</t>
        </is>
      </c>
      <c r="D6040" s="12" t="inlineStr">
        <is>
          <t>Discrete device to JB JB-M&amp;R 2: insulating -DI01: 8 x 1 pr (field cables)</t>
        </is>
      </c>
      <c r="E6040" s="12" t="inlineStr"/>
      <c r="F6040" s="12" t="inlineStr">
        <is>
          <t>M&amp;R 2: insulating joint + ESD valve</t>
        </is>
      </c>
      <c r="G6040" s="12" t="inlineStr">
        <is>
          <t>JB-M&amp;R 2: insulating -DI01</t>
        </is>
      </c>
      <c r="H6040" s="12" t="inlineStr">
        <is>
          <t>M&amp;R 2: insulating joint + ESD valve</t>
        </is>
      </c>
      <c r="I6040" s="12" t="inlineStr">
        <is>
          <t>Instrumentation</t>
        </is>
      </c>
      <c r="J6040" s="12" t="inlineStr">
        <is>
          <t>Instrumentation ITC / PLTC, IS, #18 shielded pairs, blue jacket</t>
        </is>
      </c>
      <c r="K6040" s="12" t="inlineStr">
        <is>
          <t>ITC|1 pr|16</t>
        </is>
      </c>
      <c r="L6040" s="12" t="inlineStr">
        <is>
          <t>1 pr</t>
        </is>
      </c>
      <c r="M6040" s="12" t="inlineStr">
        <is>
          <t>16</t>
        </is>
      </c>
      <c r="N6040" s="12" t="n">
        <v>8</v>
      </c>
      <c r="O6040" s="12" t="n">
        <v>1</v>
      </c>
      <c r="P6040" s="12" t="n"/>
      <c r="Q6040" s="12" t="n"/>
      <c r="R6040" s="12" t="n"/>
      <c r="S6040" s="12" t="inlineStr">
        <is>
          <t>Tray / conduit</t>
        </is>
      </c>
      <c r="T6040" s="15" t="n">
        <v>40</v>
      </c>
      <c r="U6040" s="15" t="n">
        <v>10</v>
      </c>
      <c r="V6040" s="15">
        <f>ROUNDUP((T6040+U6040+2*'Read Me'!$B$13)*(1+'Read Me'!$B$12),-1)</f>
        <v/>
      </c>
      <c r="W6040" s="15">
        <f>V6040*N6040*O6040</f>
        <v/>
      </c>
      <c r="X6040" s="12">
        <f>IF(LEFT(I6040,2)="MV",2*N6040*IF(L6040="1/C",O6040,1),0)</f>
        <v/>
      </c>
      <c r="Y6040" s="12">
        <f>IF(OR(LEFT(K6040,4)="LVAX",LEFT(K6040,6)="MV15AX",LEFT(K6040,4)="CTAX",LEFT(K6040,2)="W|"),2*N6040*O6040,0)</f>
        <v/>
      </c>
      <c r="Z6040" s="12" t="inlineStr">
        <is>
          <t>device-to-JB field wiring, one cable per device</t>
        </is>
      </c>
      <c r="AA6040" s="12">
        <f>N6040*O6040</f>
        <v/>
      </c>
    </row>
    <row r="6041">
      <c r="A6041" s="12" t="inlineStr">
        <is>
          <t>K-I-0162</t>
        </is>
      </c>
      <c r="B6041" s="12" t="inlineStr">
        <is>
          <t>K</t>
        </is>
      </c>
      <c r="C6041" s="12" t="inlineStr">
        <is>
          <t>Fuel supply (adjacent market)</t>
        </is>
      </c>
      <c r="D6041" s="12" t="inlineStr">
        <is>
          <t>Home run JB-M&amp;R 2: insulating -DI01 to the control / marshalling room</t>
        </is>
      </c>
      <c r="E6041" s="12" t="inlineStr"/>
      <c r="F6041" s="12" t="inlineStr">
        <is>
          <t>LNG 17: LNG e-house (13.8 kV / 480 V)</t>
        </is>
      </c>
      <c r="G6041" s="12" t="inlineStr">
        <is>
          <t>JB-M&amp;R 2: insulating -DI01</t>
        </is>
      </c>
      <c r="H6041" s="12" t="inlineStr">
        <is>
          <t>M&amp;R 2: insulating joint + ESD valve</t>
        </is>
      </c>
      <c r="I6041" s="12" t="inlineStr">
        <is>
          <t>Instrumentation</t>
        </is>
      </c>
      <c r="J6041" s="12" t="inlineStr">
        <is>
          <t>Instrumentation ITC / PLTC, IS, #18 shielded pairs, blue jacket</t>
        </is>
      </c>
      <c r="K6041" s="12" t="inlineStr">
        <is>
          <t>ITC|24 pr|18</t>
        </is>
      </c>
      <c r="L6041" s="12" t="inlineStr">
        <is>
          <t>24 pr</t>
        </is>
      </c>
      <c r="M6041" s="12" t="inlineStr">
        <is>
          <t>18</t>
        </is>
      </c>
      <c r="N6041" s="12" t="n">
        <v>1</v>
      </c>
      <c r="O6041" s="12" t="n">
        <v>1</v>
      </c>
      <c r="P6041" s="12" t="n"/>
      <c r="Q6041" s="12" t="n"/>
      <c r="R6041" s="12" t="n"/>
      <c r="S6041" s="12" t="inlineStr">
        <is>
          <t>Duct bank</t>
        </is>
      </c>
      <c r="T6041" s="15" t="n">
        <v>758</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K-I-0163</t>
        </is>
      </c>
      <c r="B6042" s="12" t="inlineStr">
        <is>
          <t>K</t>
        </is>
      </c>
      <c r="C6042" s="12" t="inlineStr">
        <is>
          <t>Fuel supply (adjacent market)</t>
        </is>
      </c>
      <c r="D6042" s="12" t="inlineStr">
        <is>
          <t>Analog instrument to JB JB-M&amp;R 3: horizontal -AI01: 8 x 1 pr (field cables)</t>
        </is>
      </c>
      <c r="E6042" s="12" t="inlineStr"/>
      <c r="F6042" s="12" t="inlineStr">
        <is>
          <t>M&amp;R 3: horizontal filter-separator</t>
        </is>
      </c>
      <c r="G6042" s="12" t="inlineStr">
        <is>
          <t>JB-M&amp;R 3: horizontal -AI01</t>
        </is>
      </c>
      <c r="H6042" s="12" t="inlineStr">
        <is>
          <t>M&amp;R 3: horizontal filter-separator</t>
        </is>
      </c>
      <c r="I6042" s="12" t="inlineStr">
        <is>
          <t>Instrumentation</t>
        </is>
      </c>
      <c r="J6042" s="12" t="inlineStr">
        <is>
          <t>Instrumentation ITC / PLTC, IS, #18 shielded pairs, blue jacket</t>
        </is>
      </c>
      <c r="K6042" s="12" t="inlineStr">
        <is>
          <t>ITC|1 pr|16</t>
        </is>
      </c>
      <c r="L6042" s="12" t="inlineStr">
        <is>
          <t>1 pr</t>
        </is>
      </c>
      <c r="M6042" s="12" t="inlineStr">
        <is>
          <t>16</t>
        </is>
      </c>
      <c r="N6042" s="12" t="n">
        <v>8</v>
      </c>
      <c r="O6042" s="12" t="n">
        <v>1</v>
      </c>
      <c r="P6042" s="12" t="n"/>
      <c r="Q6042" s="12" t="n"/>
      <c r="R6042" s="12" t="n"/>
      <c r="S6042" s="12" t="inlineStr">
        <is>
          <t>Tray / conduit</t>
        </is>
      </c>
      <c r="T6042" s="15" t="n">
        <v>53</v>
      </c>
      <c r="U6042" s="15" t="n">
        <v>10</v>
      </c>
      <c r="V6042" s="15">
        <f>ROUNDUP((T6042+U6042+2*'Read Me'!$B$13)*(1+'Read Me'!$B$12),-1)</f>
        <v/>
      </c>
      <c r="W6042" s="15">
        <f>V6042*N6042*O6042</f>
        <v/>
      </c>
      <c r="X6042" s="12">
        <f>IF(LEFT(I6042,2)="MV",2*N6042*IF(L6042="1/C",O6042,1),0)</f>
        <v/>
      </c>
      <c r="Y6042" s="12">
        <f>IF(OR(LEFT(K6042,4)="LVAX",LEFT(K6042,6)="MV15AX",LEFT(K6042,4)="CTAX",LEFT(K6042,2)="W|"),2*N6042*O6042,0)</f>
        <v/>
      </c>
      <c r="Z6042" s="12" t="inlineStr">
        <is>
          <t>device-to-JB field wiring, one cable per device</t>
        </is>
      </c>
      <c r="AA6042" s="12">
        <f>N6042*O6042</f>
        <v/>
      </c>
    </row>
    <row r="6043">
      <c r="A6043" s="12" t="inlineStr">
        <is>
          <t>K-I-0164</t>
        </is>
      </c>
      <c r="B6043" s="12" t="inlineStr">
        <is>
          <t>K</t>
        </is>
      </c>
      <c r="C6043" s="12" t="inlineStr">
        <is>
          <t>Fuel supply (adjacent market)</t>
        </is>
      </c>
      <c r="D6043" s="12" t="inlineStr">
        <is>
          <t>Home run JB-M&amp;R 3: horizontal -AI01 to the control / marshalling room</t>
        </is>
      </c>
      <c r="E6043" s="12" t="inlineStr"/>
      <c r="F6043" s="12" t="inlineStr">
        <is>
          <t>LNG 17: LNG e-house (13.8 kV / 480 V)</t>
        </is>
      </c>
      <c r="G6043" s="12" t="inlineStr">
        <is>
          <t>JB-M&amp;R 3: horizontal -AI01</t>
        </is>
      </c>
      <c r="H6043" s="12" t="inlineStr">
        <is>
          <t>M&amp;R 3: horizontal filter-separator</t>
        </is>
      </c>
      <c r="I6043" s="12" t="inlineStr">
        <is>
          <t>Instrumentation</t>
        </is>
      </c>
      <c r="J6043" s="12" t="inlineStr">
        <is>
          <t>Instrumentation ITC / PLTC, IS, #18 shielded pairs, blue jacket</t>
        </is>
      </c>
      <c r="K6043" s="12" t="inlineStr">
        <is>
          <t>ITC|24 pr|18</t>
        </is>
      </c>
      <c r="L6043" s="12" t="inlineStr">
        <is>
          <t>24 pr</t>
        </is>
      </c>
      <c r="M6043" s="12" t="inlineStr">
        <is>
          <t>18</t>
        </is>
      </c>
      <c r="N6043" s="12" t="n">
        <v>1</v>
      </c>
      <c r="O6043" s="12" t="n">
        <v>1</v>
      </c>
      <c r="P6043" s="12" t="n"/>
      <c r="Q6043" s="12" t="n"/>
      <c r="R6043" s="12" t="n"/>
      <c r="S6043" s="12" t="inlineStr">
        <is>
          <t>Duct bank</t>
        </is>
      </c>
      <c r="T6043" s="15" t="n">
        <v>797</v>
      </c>
      <c r="U6043" s="15" t="n">
        <v>32</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K-I-0165</t>
        </is>
      </c>
      <c r="B6044" s="12" t="inlineStr">
        <is>
          <t>K</t>
        </is>
      </c>
      <c r="C6044" s="12" t="inlineStr">
        <is>
          <t>Fuel supply (adjacent market)</t>
        </is>
      </c>
      <c r="D6044" s="12" t="inlineStr">
        <is>
          <t>Discrete device to JB JB-M&amp;R 3: horizontal -DI01: 12 x 1 pr (field cables)</t>
        </is>
      </c>
      <c r="E6044" s="12" t="inlineStr"/>
      <c r="F6044" s="12" t="inlineStr">
        <is>
          <t>M&amp;R 3: horizontal filter-separator</t>
        </is>
      </c>
      <c r="G6044" s="12" t="inlineStr">
        <is>
          <t>JB-M&amp;R 3: horizontal -DI01</t>
        </is>
      </c>
      <c r="H6044" s="12" t="inlineStr">
        <is>
          <t>M&amp;R 3: horizontal filter-separator</t>
        </is>
      </c>
      <c r="I6044" s="12" t="inlineStr">
        <is>
          <t>Instrumentation</t>
        </is>
      </c>
      <c r="J6044" s="12" t="inlineStr">
        <is>
          <t>Instrumentation ITC / PLTC, IS, #18 shielded pairs, blue jacket</t>
        </is>
      </c>
      <c r="K6044" s="12" t="inlineStr">
        <is>
          <t>ITC|1 pr|16</t>
        </is>
      </c>
      <c r="L6044" s="12" t="inlineStr">
        <is>
          <t>1 pr</t>
        </is>
      </c>
      <c r="M6044" s="12" t="inlineStr">
        <is>
          <t>16</t>
        </is>
      </c>
      <c r="N6044" s="12" t="n">
        <v>12</v>
      </c>
      <c r="O6044" s="12" t="n">
        <v>1</v>
      </c>
      <c r="P6044" s="12" t="n"/>
      <c r="Q6044" s="12" t="n"/>
      <c r="R6044" s="12" t="n"/>
      <c r="S6044" s="12" t="inlineStr">
        <is>
          <t>Tray / conduit</t>
        </is>
      </c>
      <c r="T6044" s="15" t="n">
        <v>53</v>
      </c>
      <c r="U6044" s="15" t="n">
        <v>10</v>
      </c>
      <c r="V6044" s="15">
        <f>ROUNDUP((T6044+U6044+2*'Read Me'!$B$13)*(1+'Read Me'!$B$12),-1)</f>
        <v/>
      </c>
      <c r="W6044" s="15">
        <f>V6044*N6044*O6044</f>
        <v/>
      </c>
      <c r="X6044" s="12">
        <f>IF(LEFT(I6044,2)="MV",2*N6044*IF(L6044="1/C",O6044,1),0)</f>
        <v/>
      </c>
      <c r="Y6044" s="12">
        <f>IF(OR(LEFT(K6044,4)="LVAX",LEFT(K6044,6)="MV15AX",LEFT(K6044,4)="CTAX",LEFT(K6044,2)="W|"),2*N6044*O6044,0)</f>
        <v/>
      </c>
      <c r="Z6044" s="12" t="inlineStr">
        <is>
          <t>device-to-JB field wiring, one cable per device</t>
        </is>
      </c>
      <c r="AA6044" s="12">
        <f>N6044*O6044</f>
        <v/>
      </c>
    </row>
    <row r="6045">
      <c r="A6045" s="12" t="inlineStr">
        <is>
          <t>K-I-0166</t>
        </is>
      </c>
      <c r="B6045" s="12" t="inlineStr">
        <is>
          <t>K</t>
        </is>
      </c>
      <c r="C6045" s="12" t="inlineStr">
        <is>
          <t>Fuel supply (adjacent market)</t>
        </is>
      </c>
      <c r="D6045" s="12" t="inlineStr">
        <is>
          <t>Home run JB-M&amp;R 3: horizontal -DI01 to the control / marshalling room</t>
        </is>
      </c>
      <c r="E6045" s="12" t="inlineStr"/>
      <c r="F6045" s="12" t="inlineStr">
        <is>
          <t>LNG 17: LNG e-house (13.8 kV / 480 V)</t>
        </is>
      </c>
      <c r="G6045" s="12" t="inlineStr">
        <is>
          <t>JB-M&amp;R 3: horizontal -DI01</t>
        </is>
      </c>
      <c r="H6045" s="12" t="inlineStr">
        <is>
          <t>M&amp;R 3: horizontal filter-separator</t>
        </is>
      </c>
      <c r="I6045" s="12" t="inlineStr">
        <is>
          <t>Instrumentation</t>
        </is>
      </c>
      <c r="J6045" s="12" t="inlineStr">
        <is>
          <t>Instrumentation ITC / PLTC, IS, #18 shielded pairs, blue jacket</t>
        </is>
      </c>
      <c r="K6045" s="12" t="inlineStr">
        <is>
          <t>ITC|24 pr|18</t>
        </is>
      </c>
      <c r="L6045" s="12" t="inlineStr">
        <is>
          <t>24 pr</t>
        </is>
      </c>
      <c r="M6045" s="12" t="inlineStr">
        <is>
          <t>18</t>
        </is>
      </c>
      <c r="N6045" s="12" t="n">
        <v>1</v>
      </c>
      <c r="O6045" s="12" t="n">
        <v>1</v>
      </c>
      <c r="P6045" s="12" t="n"/>
      <c r="Q6045" s="12" t="n"/>
      <c r="R6045" s="12" t="n"/>
      <c r="S6045" s="12" t="inlineStr">
        <is>
          <t>Duct bank</t>
        </is>
      </c>
      <c r="T6045" s="15" t="n">
        <v>797</v>
      </c>
      <c r="U6045" s="15" t="n">
        <v>32</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K-I-0167</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1 (water bath)</t>
        </is>
      </c>
      <c r="I6046" s="12" t="inlineStr">
        <is>
          <t>Instrumentation</t>
        </is>
      </c>
      <c r="J6046" s="12" t="inlineStr">
        <is>
          <t>Instrumentation ITC / PLTC, IS, #18 shielded pairs, blue jacket</t>
        </is>
      </c>
      <c r="K6046" s="12" t="inlineStr">
        <is>
          <t>ITC|4 pr|18</t>
        </is>
      </c>
      <c r="L6046" s="12" t="inlineStr">
        <is>
          <t>4 pr</t>
        </is>
      </c>
      <c r="M6046" s="12" t="inlineStr">
        <is>
          <t>18</t>
        </is>
      </c>
      <c r="N6046" s="12" t="n">
        <v>1</v>
      </c>
      <c r="O6046" s="12" t="n">
        <v>1</v>
      </c>
      <c r="P6046" s="12" t="n"/>
      <c r="Q6046" s="12" t="n"/>
      <c r="R6046" s="12" t="n"/>
      <c r="S6046" s="12" t="inlineStr">
        <is>
          <t>Duct bank</t>
        </is>
      </c>
      <c r="T6046" s="15" t="n">
        <v>593</v>
      </c>
      <c r="U6046" s="15" t="n">
        <v>32</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K-I-0168</t>
        </is>
      </c>
      <c r="B6047" s="12" t="inlineStr">
        <is>
          <t>K</t>
        </is>
      </c>
      <c r="C6047" s="12" t="inlineStr">
        <is>
          <t>Fuel supply (adjacent market)</t>
        </is>
      </c>
      <c r="D6047" s="12" t="inlineStr">
        <is>
          <t>Instrumentation</t>
        </is>
      </c>
      <c r="E6047" s="12" t="inlineStr"/>
      <c r="F6047" s="12" t="inlineStr">
        <is>
          <t>LNG 17: LNG e-house (13.8 kV / 480 V)</t>
        </is>
      </c>
      <c r="G6047" s="12" t="inlineStr"/>
      <c r="H6047" s="12" t="inlineStr">
        <is>
          <t>M&amp;R 4: line heater 1 (water bath)</t>
        </is>
      </c>
      <c r="I6047" s="12" t="inlineStr">
        <is>
          <t>Instrumentation</t>
        </is>
      </c>
      <c r="J6047" s="12" t="inlineStr">
        <is>
          <t>Instrumentation ITC / PLTC, IS, #18 shielded pairs, blue jacket</t>
        </is>
      </c>
      <c r="K6047" s="12" t="inlineStr">
        <is>
          <t>ITC|12 pr|18</t>
        </is>
      </c>
      <c r="L6047" s="12" t="inlineStr">
        <is>
          <t>12 pr</t>
        </is>
      </c>
      <c r="M6047" s="12" t="inlineStr">
        <is>
          <t>18</t>
        </is>
      </c>
      <c r="N6047" s="12" t="n">
        <v>1</v>
      </c>
      <c r="O6047" s="12" t="n">
        <v>1</v>
      </c>
      <c r="P6047" s="12" t="n"/>
      <c r="Q6047" s="12" t="n"/>
      <c r="R6047" s="12" t="n"/>
      <c r="S6047" s="12" t="inlineStr">
        <is>
          <t>Duct bank</t>
        </is>
      </c>
      <c r="T6047" s="15" t="n">
        <v>593</v>
      </c>
      <c r="U6047" s="15" t="n">
        <v>32</v>
      </c>
      <c r="V6047" s="15">
        <f>ROUNDUP((T6047+U6047+2*'Read Me'!$B$13)*(1+'Read Me'!$B$12),-1)</f>
        <v/>
      </c>
      <c r="W6047" s="15">
        <f>V6047*N6047*O6047</f>
        <v/>
      </c>
      <c r="X6047" s="12">
        <f>IF(LEFT(I6047,2)="MV",2*N6047*IF(L6047="1/C",O6047,1),0)</f>
        <v/>
      </c>
      <c r="Y6047" s="12">
        <f>IF(OR(LEFT(K6047,4)="LVAX",LEFT(K6047,6)="MV15AX",LEFT(K6047,4)="CTAX",LEFT(K6047,2)="W|"),2*N6047*O6047,0)</f>
        <v/>
      </c>
      <c r="Z6047" s="12" t="inlineStr"/>
      <c r="AA6047" s="12">
        <f>N6047*O6047</f>
        <v/>
      </c>
    </row>
    <row r="6048">
      <c r="A6048" s="12" t="inlineStr">
        <is>
          <t>K-I-0169</t>
        </is>
      </c>
      <c r="B6048" s="12" t="inlineStr">
        <is>
          <t>K</t>
        </is>
      </c>
      <c r="C6048" s="12" t="inlineStr">
        <is>
          <t>Fuel supply (adjacent market)</t>
        </is>
      </c>
      <c r="D6048" s="12" t="inlineStr">
        <is>
          <t>Instrumentation</t>
        </is>
      </c>
      <c r="E6048" s="12" t="inlineStr"/>
      <c r="F6048" s="12" t="inlineStr">
        <is>
          <t>LNG 17: LNG e-house (13.8 kV / 480 V)</t>
        </is>
      </c>
      <c r="G6048" s="12" t="inlineStr"/>
      <c r="H6048" s="12" t="inlineStr">
        <is>
          <t>M&amp;R 4: line heater 2 (water bath)</t>
        </is>
      </c>
      <c r="I6048" s="12" t="inlineStr">
        <is>
          <t>Instrumentation</t>
        </is>
      </c>
      <c r="J6048" s="12" t="inlineStr">
        <is>
          <t>Instrumentation ITC / PLTC, IS, #18 shielded pairs, blue jacket</t>
        </is>
      </c>
      <c r="K6048" s="12" t="inlineStr">
        <is>
          <t>ITC|4 pr|18</t>
        </is>
      </c>
      <c r="L6048" s="12" t="inlineStr">
        <is>
          <t>4 pr</t>
        </is>
      </c>
      <c r="M6048" s="12" t="inlineStr">
        <is>
          <t>18</t>
        </is>
      </c>
      <c r="N6048" s="12" t="n">
        <v>1</v>
      </c>
      <c r="O6048" s="12" t="n">
        <v>1</v>
      </c>
      <c r="P6048" s="12" t="n"/>
      <c r="Q6048" s="12" t="n"/>
      <c r="R6048" s="12" t="n"/>
      <c r="S6048" s="12" t="inlineStr">
        <is>
          <t>Duct bank</t>
        </is>
      </c>
      <c r="T6048" s="15" t="n">
        <v>593</v>
      </c>
      <c r="U6048" s="15" t="n">
        <v>50</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K-I-0170</t>
        </is>
      </c>
      <c r="B6049" s="12" t="inlineStr">
        <is>
          <t>K</t>
        </is>
      </c>
      <c r="C6049" s="12" t="inlineStr">
        <is>
          <t>Fuel supply (adjacent market)</t>
        </is>
      </c>
      <c r="D6049" s="12" t="inlineStr">
        <is>
          <t>Instrumentation</t>
        </is>
      </c>
      <c r="E6049" s="12" t="inlineStr"/>
      <c r="F6049" s="12" t="inlineStr">
        <is>
          <t>LNG 17: LNG e-house (13.8 kV / 480 V)</t>
        </is>
      </c>
      <c r="G6049" s="12" t="inlineStr"/>
      <c r="H6049" s="12" t="inlineStr">
        <is>
          <t>M&amp;R 4: line heater 2 (water bath)</t>
        </is>
      </c>
      <c r="I6049" s="12" t="inlineStr">
        <is>
          <t>Instrumentation</t>
        </is>
      </c>
      <c r="J6049" s="12" t="inlineStr">
        <is>
          <t>Instrumentation ITC / PLTC, IS, #18 shielded pairs, blue jacket</t>
        </is>
      </c>
      <c r="K6049" s="12" t="inlineStr">
        <is>
          <t>ITC|12 pr|18</t>
        </is>
      </c>
      <c r="L6049" s="12" t="inlineStr">
        <is>
          <t>12 pr</t>
        </is>
      </c>
      <c r="M6049" s="12" t="inlineStr">
        <is>
          <t>18</t>
        </is>
      </c>
      <c r="N6049" s="12" t="n">
        <v>1</v>
      </c>
      <c r="O6049" s="12" t="n">
        <v>1</v>
      </c>
      <c r="P6049" s="12" t="n"/>
      <c r="Q6049" s="12" t="n"/>
      <c r="R6049" s="12" t="n"/>
      <c r="S6049" s="12" t="inlineStr">
        <is>
          <t>Duct bank</t>
        </is>
      </c>
      <c r="T6049" s="15" t="n">
        <v>593</v>
      </c>
      <c r="U6049" s="15" t="n">
        <v>50</v>
      </c>
      <c r="V6049" s="15">
        <f>ROUNDUP((T6049+U6049+2*'Read Me'!$B$13)*(1+'Read Me'!$B$12),-1)</f>
        <v/>
      </c>
      <c r="W6049" s="15">
        <f>V6049*N6049*O6049</f>
        <v/>
      </c>
      <c r="X6049" s="12">
        <f>IF(LEFT(I6049,2)="MV",2*N6049*IF(L6049="1/C",O6049,1),0)</f>
        <v/>
      </c>
      <c r="Y6049" s="12">
        <f>IF(OR(LEFT(K6049,4)="LVAX",LEFT(K6049,6)="MV15AX",LEFT(K6049,4)="CTAX",LEFT(K6049,2)="W|"),2*N6049*O6049,0)</f>
        <v/>
      </c>
      <c r="Z6049" s="12" t="inlineStr"/>
      <c r="AA6049" s="12">
        <f>N6049*O6049</f>
        <v/>
      </c>
    </row>
    <row r="6050">
      <c r="A6050" s="12" t="inlineStr">
        <is>
          <t>K-I-0171</t>
        </is>
      </c>
      <c r="B6050" s="12" t="inlineStr">
        <is>
          <t>K</t>
        </is>
      </c>
      <c r="C6050" s="12" t="inlineStr">
        <is>
          <t>Fuel supply (adjacent market)</t>
        </is>
      </c>
      <c r="D6050" s="12" t="inlineStr">
        <is>
          <t>Instrumentation</t>
        </is>
      </c>
      <c r="E6050" s="12" t="inlineStr"/>
      <c r="F6050" s="12" t="inlineStr">
        <is>
          <t>LNG 17: LNG e-house (13.8 kV / 480 V)</t>
        </is>
      </c>
      <c r="G6050" s="12" t="inlineStr"/>
      <c r="H6050" s="12" t="inlineStr">
        <is>
          <t>M&amp;R 4: line heater 3 (water bath)</t>
        </is>
      </c>
      <c r="I6050" s="12" t="inlineStr">
        <is>
          <t>Instrumentation</t>
        </is>
      </c>
      <c r="J6050" s="12" t="inlineStr">
        <is>
          <t>Instrumentation ITC / PLTC, IS, #18 shielded pairs, blue jacket</t>
        </is>
      </c>
      <c r="K6050" s="12" t="inlineStr">
        <is>
          <t>ITC|4 pr|18</t>
        </is>
      </c>
      <c r="L6050" s="12" t="inlineStr">
        <is>
          <t>4 pr</t>
        </is>
      </c>
      <c r="M6050" s="12" t="inlineStr">
        <is>
          <t>18</t>
        </is>
      </c>
      <c r="N6050" s="12" t="n">
        <v>1</v>
      </c>
      <c r="O6050" s="12" t="n">
        <v>1</v>
      </c>
      <c r="P6050" s="12" t="n"/>
      <c r="Q6050" s="12" t="n"/>
      <c r="R6050" s="12" t="n"/>
      <c r="S6050" s="12" t="inlineStr">
        <is>
          <t>Duct bank</t>
        </is>
      </c>
      <c r="T6050" s="15" t="n">
        <v>593</v>
      </c>
      <c r="U6050" s="15" t="n">
        <v>68</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K-I-0172</t>
        </is>
      </c>
      <c r="B6051" s="12" t="inlineStr">
        <is>
          <t>K</t>
        </is>
      </c>
      <c r="C6051" s="12" t="inlineStr">
        <is>
          <t>Fuel supply (adjacent market)</t>
        </is>
      </c>
      <c r="D6051" s="12" t="inlineStr">
        <is>
          <t>Instrumentation</t>
        </is>
      </c>
      <c r="E6051" s="12" t="inlineStr"/>
      <c r="F6051" s="12" t="inlineStr">
        <is>
          <t>LNG 17: LNG e-house (13.8 kV / 480 V)</t>
        </is>
      </c>
      <c r="G6051" s="12" t="inlineStr"/>
      <c r="H6051" s="12" t="inlineStr">
        <is>
          <t>M&amp;R 4: line heater 3 (water bath)</t>
        </is>
      </c>
      <c r="I6051" s="12" t="inlineStr">
        <is>
          <t>Instrumentation</t>
        </is>
      </c>
      <c r="J6051" s="12" t="inlineStr">
        <is>
          <t>Instrumentation ITC / PLTC, IS, #18 shielded pairs, blue jacket</t>
        </is>
      </c>
      <c r="K6051" s="12" t="inlineStr">
        <is>
          <t>ITC|12 pr|18</t>
        </is>
      </c>
      <c r="L6051" s="12" t="inlineStr">
        <is>
          <t>12 pr</t>
        </is>
      </c>
      <c r="M6051" s="12" t="inlineStr">
        <is>
          <t>18</t>
        </is>
      </c>
      <c r="N6051" s="12" t="n">
        <v>1</v>
      </c>
      <c r="O6051" s="12" t="n">
        <v>1</v>
      </c>
      <c r="P6051" s="12" t="n"/>
      <c r="Q6051" s="12" t="n"/>
      <c r="R6051" s="12" t="n"/>
      <c r="S6051" s="12" t="inlineStr">
        <is>
          <t>Duct bank</t>
        </is>
      </c>
      <c r="T6051" s="15" t="n">
        <v>593</v>
      </c>
      <c r="U6051" s="15" t="n">
        <v>68</v>
      </c>
      <c r="V6051" s="15">
        <f>ROUNDUP((T6051+U6051+2*'Read Me'!$B$13)*(1+'Read Me'!$B$12),-1)</f>
        <v/>
      </c>
      <c r="W6051" s="15">
        <f>V6051*N6051*O6051</f>
        <v/>
      </c>
      <c r="X6051" s="12">
        <f>IF(LEFT(I6051,2)="MV",2*N6051*IF(L6051="1/C",O6051,1),0)</f>
        <v/>
      </c>
      <c r="Y6051" s="12">
        <f>IF(OR(LEFT(K6051,4)="LVAX",LEFT(K6051,6)="MV15AX",LEFT(K6051,4)="CTAX",LEFT(K6051,2)="W|"),2*N6051*O6051,0)</f>
        <v/>
      </c>
      <c r="Z6051" s="12" t="inlineStr"/>
      <c r="AA6051" s="12">
        <f>N6051*O6051</f>
        <v/>
      </c>
    </row>
    <row r="6052">
      <c r="A6052" s="12" t="inlineStr">
        <is>
          <t>K-I-0173</t>
        </is>
      </c>
      <c r="B6052" s="12" t="inlineStr">
        <is>
          <t>K</t>
        </is>
      </c>
      <c r="C6052" s="12" t="inlineStr">
        <is>
          <t>Fuel supply (adjacent market)</t>
        </is>
      </c>
      <c r="D6052" s="12" t="inlineStr">
        <is>
          <t>Analog instrument to JB JB-M&amp;R 5: ultrasonic -AI01: 20 x 1 pr (field cables)</t>
        </is>
      </c>
      <c r="E6052" s="12" t="inlineStr"/>
      <c r="F6052" s="12" t="inlineStr">
        <is>
          <t>M&amp;R 5: ultrasonic meters, 2 runs (custody transfer)</t>
        </is>
      </c>
      <c r="G6052" s="12" t="inlineStr">
        <is>
          <t>JB-M&amp;R 5: ultrasonic -AI01</t>
        </is>
      </c>
      <c r="H6052" s="12" t="inlineStr">
        <is>
          <t>M&amp;R 5: ultrasonic meters, 2 runs (custody transfer)</t>
        </is>
      </c>
      <c r="I6052" s="12" t="inlineStr">
        <is>
          <t>Instrumentation</t>
        </is>
      </c>
      <c r="J6052" s="12" t="inlineStr">
        <is>
          <t>Instrumentation ITC / PLTC, IS, #18 shielded pairs, blue jacket</t>
        </is>
      </c>
      <c r="K6052" s="12" t="inlineStr">
        <is>
          <t>ITC|1 pr|16</t>
        </is>
      </c>
      <c r="L6052" s="12" t="inlineStr">
        <is>
          <t>1 pr</t>
        </is>
      </c>
      <c r="M6052" s="12" t="inlineStr">
        <is>
          <t>16</t>
        </is>
      </c>
      <c r="N6052" s="12" t="n">
        <v>20</v>
      </c>
      <c r="O6052" s="12" t="n">
        <v>1</v>
      </c>
      <c r="P6052" s="12" t="n"/>
      <c r="Q6052" s="12" t="n"/>
      <c r="R6052" s="12" t="n"/>
      <c r="S6052" s="12" t="inlineStr">
        <is>
          <t>Tray / conduit</t>
        </is>
      </c>
      <c r="T6052" s="15" t="n">
        <v>60</v>
      </c>
      <c r="U6052" s="15" t="n">
        <v>10</v>
      </c>
      <c r="V6052" s="15">
        <f>ROUNDUP((T6052+U6052+2*'Read Me'!$B$13)*(1+'Read Me'!$B$12),-1)</f>
        <v/>
      </c>
      <c r="W6052" s="15">
        <f>V6052*N6052*O6052</f>
        <v/>
      </c>
      <c r="X6052" s="12">
        <f>IF(LEFT(I6052,2)="MV",2*N6052*IF(L6052="1/C",O6052,1),0)</f>
        <v/>
      </c>
      <c r="Y6052" s="12">
        <f>IF(OR(LEFT(K6052,4)="LVAX",LEFT(K6052,6)="MV15AX",LEFT(K6052,4)="CTAX",LEFT(K6052,2)="W|"),2*N6052*O6052,0)</f>
        <v/>
      </c>
      <c r="Z6052" s="12" t="inlineStr">
        <is>
          <t>device-to-JB field wiring, one cable per device</t>
        </is>
      </c>
      <c r="AA6052" s="12">
        <f>N6052*O6052</f>
        <v/>
      </c>
    </row>
    <row r="6053">
      <c r="A6053" s="12" t="inlineStr">
        <is>
          <t>K-I-0174</t>
        </is>
      </c>
      <c r="B6053" s="12" t="inlineStr">
        <is>
          <t>K</t>
        </is>
      </c>
      <c r="C6053" s="12" t="inlineStr">
        <is>
          <t>Fuel supply (adjacent market)</t>
        </is>
      </c>
      <c r="D6053" s="12" t="inlineStr">
        <is>
          <t>Home run JB-M&amp;R 5: ultrasonic -AI01 to the control / marshalling room</t>
        </is>
      </c>
      <c r="E6053" s="12" t="inlineStr"/>
      <c r="F6053" s="12" t="inlineStr">
        <is>
          <t>LNG 17: LNG e-house (13.8 kV / 480 V)</t>
        </is>
      </c>
      <c r="G6053" s="12" t="inlineStr">
        <is>
          <t>JB-M&amp;R 5: ultrasonic -AI01</t>
        </is>
      </c>
      <c r="H6053" s="12" t="inlineStr">
        <is>
          <t>M&amp;R 5: ultrasonic meters, 2 runs (custody transfer)</t>
        </is>
      </c>
      <c r="I6053" s="12" t="inlineStr">
        <is>
          <t>Instrumentation</t>
        </is>
      </c>
      <c r="J6053" s="12" t="inlineStr">
        <is>
          <t>Instrumentation ITC / PLTC, IS, #18 shielded pairs, blue jacket</t>
        </is>
      </c>
      <c r="K6053" s="12" t="inlineStr">
        <is>
          <t>ITC|24 pr|18</t>
        </is>
      </c>
      <c r="L6053" s="12" t="inlineStr">
        <is>
          <t>24 pr</t>
        </is>
      </c>
      <c r="M6053" s="12" t="inlineStr">
        <is>
          <t>18</t>
        </is>
      </c>
      <c r="N6053" s="12" t="n">
        <v>1</v>
      </c>
      <c r="O6053" s="12" t="n">
        <v>1</v>
      </c>
      <c r="P6053" s="12" t="n"/>
      <c r="Q6053" s="12" t="n"/>
      <c r="R6053" s="12" t="n"/>
      <c r="S6053" s="12" t="inlineStr">
        <is>
          <t>Duct bank</t>
        </is>
      </c>
      <c r="T6053" s="15" t="n">
        <v>651</v>
      </c>
      <c r="U6053" s="15" t="n">
        <v>57</v>
      </c>
      <c r="V6053" s="15">
        <f>ROUNDUP((T6053+U6053+2*'Read Me'!$B$13)*(1+'Read Me'!$B$12),-1)</f>
        <v/>
      </c>
      <c r="W6053" s="15">
        <f>V6053*N6053*O6053</f>
        <v/>
      </c>
      <c r="X6053" s="12">
        <f>IF(LEFT(I6053,2)="MV",2*N6053*IF(L6053="1/C",O6053,1),0)</f>
        <v/>
      </c>
      <c r="Y6053" s="12">
        <f>IF(OR(LEFT(K6053,4)="LVAX",LEFT(K6053,6)="MV15AX",LEFT(K6053,4)="CTAX",LEFT(K6053,2)="W|"),2*N6053*O6053,0)</f>
        <v/>
      </c>
      <c r="Z6053" s="12" t="inlineStr"/>
      <c r="AA6053" s="12">
        <f>N6053*O6053</f>
        <v/>
      </c>
    </row>
    <row r="6054">
      <c r="A6054" s="12" t="inlineStr">
        <is>
          <t>K-I-0175</t>
        </is>
      </c>
      <c r="B6054" s="12" t="inlineStr">
        <is>
          <t>K</t>
        </is>
      </c>
      <c r="C6054" s="12" t="inlineStr">
        <is>
          <t>Fuel supply (adjacent market)</t>
        </is>
      </c>
      <c r="D6054" s="12" t="inlineStr">
        <is>
          <t>Discrete device to JB JB-M&amp;R 5: ultrasonic -DI01: 8 x 1 pr (field cables)</t>
        </is>
      </c>
      <c r="E6054" s="12" t="inlineStr"/>
      <c r="F6054" s="12" t="inlineStr">
        <is>
          <t>M&amp;R 5: ultrasonic meters, 2 runs (custody transfer)</t>
        </is>
      </c>
      <c r="G6054" s="12" t="inlineStr">
        <is>
          <t>JB-M&amp;R 5: ultrasonic -DI01</t>
        </is>
      </c>
      <c r="H6054" s="12" t="inlineStr">
        <is>
          <t>M&amp;R 5: ultrasonic meters, 2 runs (custody transfer)</t>
        </is>
      </c>
      <c r="I6054" s="12" t="inlineStr">
        <is>
          <t>Instrumentation</t>
        </is>
      </c>
      <c r="J6054" s="12" t="inlineStr">
        <is>
          <t>Instrumentation ITC / PLTC, IS, #18 shielded pairs, blue jacket</t>
        </is>
      </c>
      <c r="K6054" s="12" t="inlineStr">
        <is>
          <t>ITC|1 pr|16</t>
        </is>
      </c>
      <c r="L6054" s="12" t="inlineStr">
        <is>
          <t>1 pr</t>
        </is>
      </c>
      <c r="M6054" s="12" t="inlineStr">
        <is>
          <t>16</t>
        </is>
      </c>
      <c r="N6054" s="12" t="n">
        <v>8</v>
      </c>
      <c r="O6054" s="12" t="n">
        <v>1</v>
      </c>
      <c r="P6054" s="12" t="n"/>
      <c r="Q6054" s="12" t="n"/>
      <c r="R6054" s="12" t="n"/>
      <c r="S6054" s="12" t="inlineStr">
        <is>
          <t>Tray / conduit</t>
        </is>
      </c>
      <c r="T6054" s="15" t="n">
        <v>60</v>
      </c>
      <c r="U6054" s="15" t="n">
        <v>10</v>
      </c>
      <c r="V6054" s="15">
        <f>ROUNDUP((T6054+U6054+2*'Read Me'!$B$13)*(1+'Read Me'!$B$12),-1)</f>
        <v/>
      </c>
      <c r="W6054" s="15">
        <f>V6054*N6054*O6054</f>
        <v/>
      </c>
      <c r="X6054" s="12">
        <f>IF(LEFT(I6054,2)="MV",2*N6054*IF(L6054="1/C",O6054,1),0)</f>
        <v/>
      </c>
      <c r="Y6054" s="12">
        <f>IF(OR(LEFT(K6054,4)="LVAX",LEFT(K6054,6)="MV15AX",LEFT(K6054,4)="CTAX",LEFT(K6054,2)="W|"),2*N6054*O6054,0)</f>
        <v/>
      </c>
      <c r="Z6054" s="12" t="inlineStr">
        <is>
          <t>device-to-JB field wiring, one cable per device</t>
        </is>
      </c>
      <c r="AA6054" s="12">
        <f>N6054*O6054</f>
        <v/>
      </c>
    </row>
    <row r="6055">
      <c r="A6055" s="12" t="inlineStr">
        <is>
          <t>K-I-0176</t>
        </is>
      </c>
      <c r="B6055" s="12" t="inlineStr">
        <is>
          <t>K</t>
        </is>
      </c>
      <c r="C6055" s="12" t="inlineStr">
        <is>
          <t>Fuel supply (adjacent market)</t>
        </is>
      </c>
      <c r="D6055" s="12" t="inlineStr">
        <is>
          <t>Home run JB-M&amp;R 5: ultrasonic -DI01 to the control / marshalling room</t>
        </is>
      </c>
      <c r="E6055" s="12" t="inlineStr"/>
      <c r="F6055" s="12" t="inlineStr">
        <is>
          <t>LNG 17: LNG e-house (13.8 kV / 480 V)</t>
        </is>
      </c>
      <c r="G6055" s="12" t="inlineStr">
        <is>
          <t>JB-M&amp;R 5: ultrasonic -DI01</t>
        </is>
      </c>
      <c r="H6055" s="12" t="inlineStr">
        <is>
          <t>M&amp;R 5: ultrasonic meters, 2 runs (custody transfer)</t>
        </is>
      </c>
      <c r="I6055" s="12" t="inlineStr">
        <is>
          <t>Instrumentation</t>
        </is>
      </c>
      <c r="J6055" s="12" t="inlineStr">
        <is>
          <t>Instrumentation ITC / PLTC, IS, #18 shielded pairs, blue jacket</t>
        </is>
      </c>
      <c r="K6055" s="12" t="inlineStr">
        <is>
          <t>ITC|24 pr|18</t>
        </is>
      </c>
      <c r="L6055" s="12" t="inlineStr">
        <is>
          <t>24 pr</t>
        </is>
      </c>
      <c r="M6055" s="12" t="inlineStr">
        <is>
          <t>18</t>
        </is>
      </c>
      <c r="N6055" s="12" t="n">
        <v>1</v>
      </c>
      <c r="O6055" s="12" t="n">
        <v>1</v>
      </c>
      <c r="P6055" s="12" t="n"/>
      <c r="Q6055" s="12" t="n"/>
      <c r="R6055" s="12" t="n"/>
      <c r="S6055" s="12" t="inlineStr">
        <is>
          <t>Duct bank</t>
        </is>
      </c>
      <c r="T6055" s="15" t="n">
        <v>651</v>
      </c>
      <c r="U6055" s="15" t="n">
        <v>57</v>
      </c>
      <c r="V6055" s="15">
        <f>ROUNDUP((T6055+U6055+2*'Read Me'!$B$13)*(1+'Read Me'!$B$12),-1)</f>
        <v/>
      </c>
      <c r="W6055" s="15">
        <f>V6055*N6055*O6055</f>
        <v/>
      </c>
      <c r="X6055" s="12">
        <f>IF(LEFT(I6055,2)="MV",2*N6055*IF(L6055="1/C",O6055,1),0)</f>
        <v/>
      </c>
      <c r="Y6055" s="12">
        <f>IF(OR(LEFT(K6055,4)="LVAX",LEFT(K6055,6)="MV15AX",LEFT(K6055,4)="CTAX",LEFT(K6055,2)="W|"),2*N6055*O6055,0)</f>
        <v/>
      </c>
      <c r="Z6055" s="12" t="inlineStr"/>
      <c r="AA6055" s="12">
        <f>N6055*O6055</f>
        <v/>
      </c>
    </row>
    <row r="6056">
      <c r="A6056" s="12" t="inlineStr">
        <is>
          <t>K-I-0177</t>
        </is>
      </c>
      <c r="B6056" s="12" t="inlineStr">
        <is>
          <t>K</t>
        </is>
      </c>
      <c r="C6056" s="12" t="inlineStr">
        <is>
          <t>Fuel supply (adjacent market)</t>
        </is>
      </c>
      <c r="D6056" s="12" t="inlineStr">
        <is>
          <t>Analog instrument to JB JB-M&amp;R 6: regulation -AI01: 12 x 1 pr (field cables)</t>
        </is>
      </c>
      <c r="E6056" s="12" t="inlineStr"/>
      <c r="F6056" s="12" t="inlineStr">
        <is>
          <t>M&amp;R 6: regulation / flow control building</t>
        </is>
      </c>
      <c r="G6056" s="12" t="inlineStr">
        <is>
          <t>JB-M&amp;R 6: regulation -AI01</t>
        </is>
      </c>
      <c r="H6056" s="12" t="inlineStr">
        <is>
          <t>M&amp;R 6: regulation / flow control building</t>
        </is>
      </c>
      <c r="I6056" s="12" t="inlineStr">
        <is>
          <t>Instrumentation</t>
        </is>
      </c>
      <c r="J6056" s="12" t="inlineStr">
        <is>
          <t>Instrumentation ITC / PLTC, IS, #18 shielded pairs, blue jacket</t>
        </is>
      </c>
      <c r="K6056" s="12" t="inlineStr">
        <is>
          <t>ITC|1 pr|16</t>
        </is>
      </c>
      <c r="L6056" s="12" t="inlineStr">
        <is>
          <t>1 pr</t>
        </is>
      </c>
      <c r="M6056" s="12" t="inlineStr">
        <is>
          <t>16</t>
        </is>
      </c>
      <c r="N6056" s="12" t="n">
        <v>12</v>
      </c>
      <c r="O6056" s="12" t="n">
        <v>1</v>
      </c>
      <c r="P6056" s="12" t="n"/>
      <c r="Q6056" s="12" t="n"/>
      <c r="R6056" s="12" t="n"/>
      <c r="S6056" s="12" t="inlineStr">
        <is>
          <t>Tray / conduit</t>
        </is>
      </c>
      <c r="T6056" s="15" t="n">
        <v>61</v>
      </c>
      <c r="U6056" s="15" t="n">
        <v>10</v>
      </c>
      <c r="V6056" s="15">
        <f>ROUNDUP((T6056+U6056+2*'Read Me'!$B$13)*(1+'Read Me'!$B$12),-1)</f>
        <v/>
      </c>
      <c r="W6056" s="15">
        <f>V6056*N6056*O6056</f>
        <v/>
      </c>
      <c r="X6056" s="12">
        <f>IF(LEFT(I6056,2)="MV",2*N6056*IF(L6056="1/C",O6056,1),0)</f>
        <v/>
      </c>
      <c r="Y6056" s="12">
        <f>IF(OR(LEFT(K6056,4)="LVAX",LEFT(K6056,6)="MV15AX",LEFT(K6056,4)="CTAX",LEFT(K6056,2)="W|"),2*N6056*O6056,0)</f>
        <v/>
      </c>
      <c r="Z6056" s="12" t="inlineStr">
        <is>
          <t>device-to-JB field wiring, one cable per device</t>
        </is>
      </c>
      <c r="AA6056" s="12">
        <f>N6056*O6056</f>
        <v/>
      </c>
    </row>
    <row r="6057">
      <c r="A6057" s="12" t="inlineStr">
        <is>
          <t>K-I-0178</t>
        </is>
      </c>
      <c r="B6057" s="12" t="inlineStr">
        <is>
          <t>K</t>
        </is>
      </c>
      <c r="C6057" s="12" t="inlineStr">
        <is>
          <t>Fuel supply (adjacent market)</t>
        </is>
      </c>
      <c r="D6057" s="12" t="inlineStr">
        <is>
          <t>Home run JB-M&amp;R 6: regulation -AI01 to the control / marshalling room</t>
        </is>
      </c>
      <c r="E6057" s="12" t="inlineStr"/>
      <c r="F6057" s="12" t="inlineStr">
        <is>
          <t>LNG 17: LNG e-house (13.8 kV / 480 V)</t>
        </is>
      </c>
      <c r="G6057" s="12" t="inlineStr">
        <is>
          <t>JB-M&amp;R 6: regulation -AI01</t>
        </is>
      </c>
      <c r="H6057" s="12" t="inlineStr">
        <is>
          <t>M&amp;R 6: regulation / flow control building</t>
        </is>
      </c>
      <c r="I6057" s="12" t="inlineStr">
        <is>
          <t>Instrumentation</t>
        </is>
      </c>
      <c r="J6057" s="12" t="inlineStr">
        <is>
          <t>Instrumentation ITC / PLTC, IS, #18 shielded pairs, blue jacket</t>
        </is>
      </c>
      <c r="K6057" s="12" t="inlineStr">
        <is>
          <t>ITC|24 pr|18</t>
        </is>
      </c>
      <c r="L6057" s="12" t="inlineStr">
        <is>
          <t>24 pr</t>
        </is>
      </c>
      <c r="M6057" s="12" t="inlineStr">
        <is>
          <t>18</t>
        </is>
      </c>
      <c r="N6057" s="12" t="n">
        <v>1</v>
      </c>
      <c r="O6057" s="12" t="n">
        <v>1</v>
      </c>
      <c r="P6057" s="12" t="n"/>
      <c r="Q6057" s="12" t="n"/>
      <c r="R6057" s="12" t="n"/>
      <c r="S6057" s="12" t="inlineStr">
        <is>
          <t>Duct bank</t>
        </is>
      </c>
      <c r="T6057" s="15" t="n">
        <v>470</v>
      </c>
      <c r="U6057" s="15" t="n">
        <v>70</v>
      </c>
      <c r="V6057" s="15">
        <f>ROUNDUP((T6057+U6057+2*'Read Me'!$B$13)*(1+'Read Me'!$B$12),-1)</f>
        <v/>
      </c>
      <c r="W6057" s="15">
        <f>V6057*N6057*O6057</f>
        <v/>
      </c>
      <c r="X6057" s="12">
        <f>IF(LEFT(I6057,2)="MV",2*N6057*IF(L6057="1/C",O6057,1),0)</f>
        <v/>
      </c>
      <c r="Y6057" s="12">
        <f>IF(OR(LEFT(K6057,4)="LVAX",LEFT(K6057,6)="MV15AX",LEFT(K6057,4)="CTAX",LEFT(K6057,2)="W|"),2*N6057*O6057,0)</f>
        <v/>
      </c>
      <c r="Z6057" s="12" t="inlineStr"/>
      <c r="AA6057" s="12">
        <f>N6057*O6057</f>
        <v/>
      </c>
    </row>
    <row r="6058">
      <c r="A6058" s="12" t="inlineStr">
        <is>
          <t>K-I-0179</t>
        </is>
      </c>
      <c r="B6058" s="12" t="inlineStr">
        <is>
          <t>K</t>
        </is>
      </c>
      <c r="C6058" s="12" t="inlineStr">
        <is>
          <t>Fuel supply (adjacent market)</t>
        </is>
      </c>
      <c r="D6058" s="12" t="inlineStr">
        <is>
          <t>Discrete device to JB JB-M&amp;R 6: regulation -DI01: 12 x 1 pr (field cables)</t>
        </is>
      </c>
      <c r="E6058" s="12" t="inlineStr"/>
      <c r="F6058" s="12" t="inlineStr">
        <is>
          <t>M&amp;R 6: regulation / flow control building</t>
        </is>
      </c>
      <c r="G6058" s="12" t="inlineStr">
        <is>
          <t>JB-M&amp;R 6: regulation -DI01</t>
        </is>
      </c>
      <c r="H6058" s="12" t="inlineStr">
        <is>
          <t>M&amp;R 6: regulation / flow control building</t>
        </is>
      </c>
      <c r="I6058" s="12" t="inlineStr">
        <is>
          <t>Instrumentation</t>
        </is>
      </c>
      <c r="J6058" s="12" t="inlineStr">
        <is>
          <t>Instrumentation ITC / PLTC, IS, #18 shielded pairs, blue jacket</t>
        </is>
      </c>
      <c r="K6058" s="12" t="inlineStr">
        <is>
          <t>ITC|1 pr|16</t>
        </is>
      </c>
      <c r="L6058" s="12" t="inlineStr">
        <is>
          <t>1 pr</t>
        </is>
      </c>
      <c r="M6058" s="12" t="inlineStr">
        <is>
          <t>16</t>
        </is>
      </c>
      <c r="N6058" s="12" t="n">
        <v>12</v>
      </c>
      <c r="O6058" s="12" t="n">
        <v>1</v>
      </c>
      <c r="P6058" s="12" t="n"/>
      <c r="Q6058" s="12" t="n"/>
      <c r="R6058" s="12" t="n"/>
      <c r="S6058" s="12" t="inlineStr">
        <is>
          <t>Tray / conduit</t>
        </is>
      </c>
      <c r="T6058" s="15" t="n">
        <v>61</v>
      </c>
      <c r="U6058" s="15" t="n">
        <v>10</v>
      </c>
      <c r="V6058" s="15">
        <f>ROUNDUP((T6058+U6058+2*'Read Me'!$B$13)*(1+'Read Me'!$B$12),-1)</f>
        <v/>
      </c>
      <c r="W6058" s="15">
        <f>V6058*N6058*O6058</f>
        <v/>
      </c>
      <c r="X6058" s="12">
        <f>IF(LEFT(I6058,2)="MV",2*N6058*IF(L6058="1/C",O6058,1),0)</f>
        <v/>
      </c>
      <c r="Y6058" s="12">
        <f>IF(OR(LEFT(K6058,4)="LVAX",LEFT(K6058,6)="MV15AX",LEFT(K6058,4)="CTAX",LEFT(K6058,2)="W|"),2*N6058*O6058,0)</f>
        <v/>
      </c>
      <c r="Z6058" s="12" t="inlineStr">
        <is>
          <t>device-to-JB field wiring, one cable per device</t>
        </is>
      </c>
      <c r="AA6058" s="12">
        <f>N6058*O6058</f>
        <v/>
      </c>
    </row>
    <row r="6059">
      <c r="A6059" s="12" t="inlineStr">
        <is>
          <t>K-I-0180</t>
        </is>
      </c>
      <c r="B6059" s="12" t="inlineStr">
        <is>
          <t>K</t>
        </is>
      </c>
      <c r="C6059" s="12" t="inlineStr">
        <is>
          <t>Fuel supply (adjacent market)</t>
        </is>
      </c>
      <c r="D6059" s="12" t="inlineStr">
        <is>
          <t>Home run JB-M&amp;R 6: regulation -DI01 to the control / marshalling room</t>
        </is>
      </c>
      <c r="E6059" s="12" t="inlineStr"/>
      <c r="F6059" s="12" t="inlineStr">
        <is>
          <t>LNG 17: LNG e-house (13.8 kV / 480 V)</t>
        </is>
      </c>
      <c r="G6059" s="12" t="inlineStr">
        <is>
          <t>JB-M&amp;R 6: regulation -DI01</t>
        </is>
      </c>
      <c r="H6059" s="12" t="inlineStr">
        <is>
          <t>M&amp;R 6: regulation / flow control building</t>
        </is>
      </c>
      <c r="I6059" s="12" t="inlineStr">
        <is>
          <t>Instrumentation</t>
        </is>
      </c>
      <c r="J6059" s="12" t="inlineStr">
        <is>
          <t>Instrumentation ITC / PLTC, IS, #18 shielded pairs, blue jacket</t>
        </is>
      </c>
      <c r="K6059" s="12" t="inlineStr">
        <is>
          <t>ITC|24 pr|18</t>
        </is>
      </c>
      <c r="L6059" s="12" t="inlineStr">
        <is>
          <t>24 pr</t>
        </is>
      </c>
      <c r="M6059" s="12" t="inlineStr">
        <is>
          <t>18</t>
        </is>
      </c>
      <c r="N6059" s="12" t="n">
        <v>1</v>
      </c>
      <c r="O6059" s="12" t="n">
        <v>1</v>
      </c>
      <c r="P6059" s="12" t="n"/>
      <c r="Q6059" s="12" t="n"/>
      <c r="R6059" s="12" t="n"/>
      <c r="S6059" s="12" t="inlineStr">
        <is>
          <t>Duct bank</t>
        </is>
      </c>
      <c r="T6059" s="15" t="n">
        <v>470</v>
      </c>
      <c r="U6059" s="15" t="n">
        <v>70</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K-I-0181</t>
        </is>
      </c>
      <c r="B6060" s="12" t="inlineStr">
        <is>
          <t>K</t>
        </is>
      </c>
      <c r="C6060" s="12" t="inlineStr">
        <is>
          <t>Fuel supply (adjacent market)</t>
        </is>
      </c>
      <c r="D6060" s="12" t="inlineStr">
        <is>
          <t>Analog instrument to JB JB-M&amp;R 7: gas quality-AI01: 20 x 1 pr (field cables)</t>
        </is>
      </c>
      <c r="E6060" s="12" t="inlineStr"/>
      <c r="F6060" s="12" t="inlineStr">
        <is>
          <t>M&amp;R 7: gas quality + measurement building</t>
        </is>
      </c>
      <c r="G6060" s="12" t="inlineStr">
        <is>
          <t>JB-M&amp;R 7: gas quality-AI01</t>
        </is>
      </c>
      <c r="H6060" s="12" t="inlineStr">
        <is>
          <t>M&amp;R 7: gas quality + measurement building</t>
        </is>
      </c>
      <c r="I6060" s="12" t="inlineStr">
        <is>
          <t>Instrumentation</t>
        </is>
      </c>
      <c r="J6060" s="12" t="inlineStr">
        <is>
          <t>Instrumentation ITC / PLTC, IS, #18 shielded pairs, blue jacket</t>
        </is>
      </c>
      <c r="K6060" s="12" t="inlineStr">
        <is>
          <t>ITC|1 pr|16</t>
        </is>
      </c>
      <c r="L6060" s="12" t="inlineStr">
        <is>
          <t>1 pr</t>
        </is>
      </c>
      <c r="M6060" s="12" t="inlineStr">
        <is>
          <t>16</t>
        </is>
      </c>
      <c r="N6060" s="12" t="n">
        <v>20</v>
      </c>
      <c r="O6060" s="12" t="n">
        <v>1</v>
      </c>
      <c r="P6060" s="12" t="n"/>
      <c r="Q6060" s="12" t="n"/>
      <c r="R6060" s="12" t="n"/>
      <c r="S6060" s="12" t="inlineStr">
        <is>
          <t>Tray / conduit</t>
        </is>
      </c>
      <c r="T6060" s="15" t="n">
        <v>41</v>
      </c>
      <c r="U6060" s="15" t="n">
        <v>10</v>
      </c>
      <c r="V6060" s="15">
        <f>ROUNDUP((T6060+U6060+2*'Read Me'!$B$13)*(1+'Read Me'!$B$12),-1)</f>
        <v/>
      </c>
      <c r="W6060" s="15">
        <f>V6060*N6060*O6060</f>
        <v/>
      </c>
      <c r="X6060" s="12">
        <f>IF(LEFT(I6060,2)="MV",2*N6060*IF(L6060="1/C",O6060,1),0)</f>
        <v/>
      </c>
      <c r="Y6060" s="12">
        <f>IF(OR(LEFT(K6060,4)="LVAX",LEFT(K6060,6)="MV15AX",LEFT(K6060,4)="CTAX",LEFT(K6060,2)="W|"),2*N6060*O6060,0)</f>
        <v/>
      </c>
      <c r="Z6060" s="12" t="inlineStr">
        <is>
          <t>device-to-JB field wiring, one cable per device</t>
        </is>
      </c>
      <c r="AA6060" s="12">
        <f>N6060*O6060</f>
        <v/>
      </c>
    </row>
    <row r="6061">
      <c r="A6061" s="12" t="inlineStr">
        <is>
          <t>K-I-0182</t>
        </is>
      </c>
      <c r="B6061" s="12" t="inlineStr">
        <is>
          <t>K</t>
        </is>
      </c>
      <c r="C6061" s="12" t="inlineStr">
        <is>
          <t>Fuel supply (adjacent market)</t>
        </is>
      </c>
      <c r="D6061" s="12" t="inlineStr">
        <is>
          <t>Home run JB-M&amp;R 7: gas quality-AI01 to the control / marshalling room</t>
        </is>
      </c>
      <c r="E6061" s="12" t="inlineStr"/>
      <c r="F6061" s="12" t="inlineStr">
        <is>
          <t>LNG 17: LNG e-house (13.8 kV / 480 V)</t>
        </is>
      </c>
      <c r="G6061" s="12" t="inlineStr">
        <is>
          <t>JB-M&amp;R 7: gas quality-AI01</t>
        </is>
      </c>
      <c r="H6061" s="12" t="inlineStr">
        <is>
          <t>M&amp;R 7: gas quality + measurement building</t>
        </is>
      </c>
      <c r="I6061" s="12" t="inlineStr">
        <is>
          <t>Instrumentation</t>
        </is>
      </c>
      <c r="J6061" s="12" t="inlineStr">
        <is>
          <t>Instrumentation ITC / PLTC, IS, #18 shielded pairs, blue jacket</t>
        </is>
      </c>
      <c r="K6061" s="12" t="inlineStr">
        <is>
          <t>ITC|24 pr|18</t>
        </is>
      </c>
      <c r="L6061" s="12" t="inlineStr">
        <is>
          <t>24 pr</t>
        </is>
      </c>
      <c r="M6061" s="12" t="inlineStr">
        <is>
          <t>18</t>
        </is>
      </c>
      <c r="N6061" s="12" t="n">
        <v>1</v>
      </c>
      <c r="O6061" s="12" t="n">
        <v>1</v>
      </c>
      <c r="P6061" s="12" t="n"/>
      <c r="Q6061" s="12" t="n"/>
      <c r="R6061" s="12" t="n"/>
      <c r="S6061" s="12" t="inlineStr">
        <is>
          <t>Duct bank</t>
        </is>
      </c>
      <c r="T6061" s="15" t="n">
        <v>616</v>
      </c>
      <c r="U6061" s="15" t="n">
        <v>52</v>
      </c>
      <c r="V6061" s="15">
        <f>ROUNDUP((T6061+U6061+2*'Read Me'!$B$13)*(1+'Read Me'!$B$12),-1)</f>
        <v/>
      </c>
      <c r="W6061" s="15">
        <f>V6061*N6061*O6061</f>
        <v/>
      </c>
      <c r="X6061" s="12">
        <f>IF(LEFT(I6061,2)="MV",2*N6061*IF(L6061="1/C",O6061,1),0)</f>
        <v/>
      </c>
      <c r="Y6061" s="12">
        <f>IF(OR(LEFT(K6061,4)="LVAX",LEFT(K6061,6)="MV15AX",LEFT(K6061,4)="CTAX",LEFT(K6061,2)="W|"),2*N6061*O6061,0)</f>
        <v/>
      </c>
      <c r="Z6061" s="12" t="inlineStr"/>
      <c r="AA6061" s="12">
        <f>N6061*O6061</f>
        <v/>
      </c>
    </row>
    <row r="6062">
      <c r="A6062" s="12" t="inlineStr">
        <is>
          <t>K-I-0183</t>
        </is>
      </c>
      <c r="B6062" s="12" t="inlineStr">
        <is>
          <t>K</t>
        </is>
      </c>
      <c r="C6062" s="12" t="inlineStr">
        <is>
          <t>Fuel supply (adjacent market)</t>
        </is>
      </c>
      <c r="D6062" s="12" t="inlineStr">
        <is>
          <t>Discrete device to JB JB-M&amp;R 7: gas quality-DI01: 8 x 1 pr (field cables)</t>
        </is>
      </c>
      <c r="E6062" s="12" t="inlineStr"/>
      <c r="F6062" s="12" t="inlineStr">
        <is>
          <t>M&amp;R 7: gas quality + measurement building</t>
        </is>
      </c>
      <c r="G6062" s="12" t="inlineStr">
        <is>
          <t>JB-M&amp;R 7: gas quality-DI01</t>
        </is>
      </c>
      <c r="H6062" s="12" t="inlineStr">
        <is>
          <t>M&amp;R 7: gas quality + measurement building</t>
        </is>
      </c>
      <c r="I6062" s="12" t="inlineStr">
        <is>
          <t>Instrumentation</t>
        </is>
      </c>
      <c r="J6062" s="12" t="inlineStr">
        <is>
          <t>Instrumentation ITC / PLTC, IS, #18 shielded pairs, blue jacket</t>
        </is>
      </c>
      <c r="K6062" s="12" t="inlineStr">
        <is>
          <t>ITC|1 pr|16</t>
        </is>
      </c>
      <c r="L6062" s="12" t="inlineStr">
        <is>
          <t>1 pr</t>
        </is>
      </c>
      <c r="M6062" s="12" t="inlineStr">
        <is>
          <t>16</t>
        </is>
      </c>
      <c r="N6062" s="12" t="n">
        <v>8</v>
      </c>
      <c r="O6062" s="12" t="n">
        <v>1</v>
      </c>
      <c r="P6062" s="12" t="n"/>
      <c r="Q6062" s="12" t="n"/>
      <c r="R6062" s="12" t="n"/>
      <c r="S6062" s="12" t="inlineStr">
        <is>
          <t>Tray / conduit</t>
        </is>
      </c>
      <c r="T6062" s="15" t="n">
        <v>41</v>
      </c>
      <c r="U6062" s="15" t="n">
        <v>10</v>
      </c>
      <c r="V6062" s="15">
        <f>ROUNDUP((T6062+U6062+2*'Read Me'!$B$13)*(1+'Read Me'!$B$12),-1)</f>
        <v/>
      </c>
      <c r="W6062" s="15">
        <f>V6062*N6062*O6062</f>
        <v/>
      </c>
      <c r="X6062" s="12">
        <f>IF(LEFT(I6062,2)="MV",2*N6062*IF(L6062="1/C",O6062,1),0)</f>
        <v/>
      </c>
      <c r="Y6062" s="12">
        <f>IF(OR(LEFT(K6062,4)="LVAX",LEFT(K6062,6)="MV15AX",LEFT(K6062,4)="CTAX",LEFT(K6062,2)="W|"),2*N6062*O6062,0)</f>
        <v/>
      </c>
      <c r="Z6062" s="12" t="inlineStr">
        <is>
          <t>device-to-JB field wiring, one cable per device</t>
        </is>
      </c>
      <c r="AA6062" s="12">
        <f>N6062*O6062</f>
        <v/>
      </c>
    </row>
    <row r="6063">
      <c r="A6063" s="12" t="inlineStr">
        <is>
          <t>K-I-0184</t>
        </is>
      </c>
      <c r="B6063" s="12" t="inlineStr">
        <is>
          <t>K</t>
        </is>
      </c>
      <c r="C6063" s="12" t="inlineStr">
        <is>
          <t>Fuel supply (adjacent market)</t>
        </is>
      </c>
      <c r="D6063" s="12" t="inlineStr">
        <is>
          <t>Home run JB-M&amp;R 7: gas quality-DI01 to the control / marshalling room</t>
        </is>
      </c>
      <c r="E6063" s="12" t="inlineStr"/>
      <c r="F6063" s="12" t="inlineStr">
        <is>
          <t>LNG 17: LNG e-house (13.8 kV / 480 V)</t>
        </is>
      </c>
      <c r="G6063" s="12" t="inlineStr">
        <is>
          <t>JB-M&amp;R 7: gas quality-DI01</t>
        </is>
      </c>
      <c r="H6063" s="12" t="inlineStr">
        <is>
          <t>M&amp;R 7: gas quality + measurement building</t>
        </is>
      </c>
      <c r="I6063" s="12" t="inlineStr">
        <is>
          <t>Instrumentation</t>
        </is>
      </c>
      <c r="J6063" s="12" t="inlineStr">
        <is>
          <t>Instrumentation ITC / PLTC, IS, #18 shielded pairs, blue jacket</t>
        </is>
      </c>
      <c r="K6063" s="12" t="inlineStr">
        <is>
          <t>ITC|24 pr|18</t>
        </is>
      </c>
      <c r="L6063" s="12" t="inlineStr">
        <is>
          <t>24 pr</t>
        </is>
      </c>
      <c r="M6063" s="12" t="inlineStr">
        <is>
          <t>18</t>
        </is>
      </c>
      <c r="N6063" s="12" t="n">
        <v>1</v>
      </c>
      <c r="O6063" s="12" t="n">
        <v>1</v>
      </c>
      <c r="P6063" s="12" t="n"/>
      <c r="Q6063" s="12" t="n"/>
      <c r="R6063" s="12" t="n"/>
      <c r="S6063" s="12" t="inlineStr">
        <is>
          <t>Duct bank</t>
        </is>
      </c>
      <c r="T6063" s="15" t="n">
        <v>616</v>
      </c>
      <c r="U6063" s="15" t="n">
        <v>52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K-I-0185</t>
        </is>
      </c>
      <c r="B6064" s="12" t="inlineStr">
        <is>
          <t>K</t>
        </is>
      </c>
      <c r="C6064" s="12" t="inlineStr">
        <is>
          <t>Fuel supply (adjacent market)</t>
        </is>
      </c>
      <c r="D6064" s="12" t="inlineStr">
        <is>
          <t>Analog instrument to JB JB-M&amp;R 8: condensate -AI01: 4 x 1 pr (field cables)</t>
        </is>
      </c>
      <c r="E6064" s="12" t="inlineStr"/>
      <c r="F6064" s="12" t="inlineStr">
        <is>
          <t>M&amp;R 8: condensate tank</t>
        </is>
      </c>
      <c r="G6064" s="12" t="inlineStr">
        <is>
          <t>JB-M&amp;R 8: condensate -AI01</t>
        </is>
      </c>
      <c r="H6064" s="12" t="inlineStr">
        <is>
          <t>M&amp;R 8: condensate tank</t>
        </is>
      </c>
      <c r="I6064" s="12" t="inlineStr">
        <is>
          <t>Instrumentation</t>
        </is>
      </c>
      <c r="J6064" s="12" t="inlineStr">
        <is>
          <t>Instrumentation ITC / PLTC, IS, #18 shielded pairs, blue jacket</t>
        </is>
      </c>
      <c r="K6064" s="12" t="inlineStr">
        <is>
          <t>ITC|1 pr|16</t>
        </is>
      </c>
      <c r="L6064" s="12" t="inlineStr">
        <is>
          <t>1 pr</t>
        </is>
      </c>
      <c r="M6064" s="12" t="inlineStr">
        <is>
          <t>16</t>
        </is>
      </c>
      <c r="N6064" s="12" t="n">
        <v>4</v>
      </c>
      <c r="O6064" s="12" t="n">
        <v>1</v>
      </c>
      <c r="P6064" s="12" t="n"/>
      <c r="Q6064" s="12" t="n"/>
      <c r="R6064" s="12" t="n"/>
      <c r="S6064" s="12" t="inlineStr">
        <is>
          <t>Tray / conduit</t>
        </is>
      </c>
      <c r="T6064" s="15" t="n">
        <v>41</v>
      </c>
      <c r="U6064" s="15" t="n">
        <v>10</v>
      </c>
      <c r="V6064" s="15">
        <f>ROUNDUP((T6064+U6064+2*'Read Me'!$B$13)*(1+'Read Me'!$B$12),-1)</f>
        <v/>
      </c>
      <c r="W6064" s="15">
        <f>V6064*N6064*O6064</f>
        <v/>
      </c>
      <c r="X6064" s="12">
        <f>IF(LEFT(I6064,2)="MV",2*N6064*IF(L6064="1/C",O6064,1),0)</f>
        <v/>
      </c>
      <c r="Y6064" s="12">
        <f>IF(OR(LEFT(K6064,4)="LVAX",LEFT(K6064,6)="MV15AX",LEFT(K6064,4)="CTAX",LEFT(K6064,2)="W|"),2*N6064*O6064,0)</f>
        <v/>
      </c>
      <c r="Z6064" s="12" t="inlineStr">
        <is>
          <t>device-to-JB field wiring, one cable per device</t>
        </is>
      </c>
      <c r="AA6064" s="12">
        <f>N6064*O6064</f>
        <v/>
      </c>
    </row>
    <row r="6065">
      <c r="A6065" s="12" t="inlineStr">
        <is>
          <t>K-I-0186</t>
        </is>
      </c>
      <c r="B6065" s="12" t="inlineStr">
        <is>
          <t>K</t>
        </is>
      </c>
      <c r="C6065" s="12" t="inlineStr">
        <is>
          <t>Fuel supply (adjacent market)</t>
        </is>
      </c>
      <c r="D6065" s="12" t="inlineStr">
        <is>
          <t>Home run JB-M&amp;R 8: condensate -AI01 to the control / marshalling room</t>
        </is>
      </c>
      <c r="E6065" s="12" t="inlineStr"/>
      <c r="F6065" s="12" t="inlineStr">
        <is>
          <t>LNG 17: LNG e-house (13.8 kV / 480 V)</t>
        </is>
      </c>
      <c r="G6065" s="12" t="inlineStr">
        <is>
          <t>JB-M&amp;R 8: condensate -AI01</t>
        </is>
      </c>
      <c r="H6065" s="12" t="inlineStr">
        <is>
          <t>M&amp;R 8: condensate tank</t>
        </is>
      </c>
      <c r="I6065" s="12" t="inlineStr">
        <is>
          <t>Instrumentation</t>
        </is>
      </c>
      <c r="J6065" s="12" t="inlineStr">
        <is>
          <t>Instrumentation ITC / PLTC, IS, #18 shielded pairs, blue jacket</t>
        </is>
      </c>
      <c r="K6065" s="12" t="inlineStr">
        <is>
          <t>ITC|24 pr|18</t>
        </is>
      </c>
      <c r="L6065" s="12" t="inlineStr">
        <is>
          <t>24 pr</t>
        </is>
      </c>
      <c r="M6065" s="12" t="inlineStr">
        <is>
          <t>18</t>
        </is>
      </c>
      <c r="N6065" s="12" t="n">
        <v>1</v>
      </c>
      <c r="O6065" s="12" t="n">
        <v>1</v>
      </c>
      <c r="P6065" s="12" t="n"/>
      <c r="Q6065" s="12" t="n"/>
      <c r="R6065" s="12" t="n"/>
      <c r="S6065" s="12" t="inlineStr">
        <is>
          <t>Duct bank</t>
        </is>
      </c>
      <c r="T6065" s="15" t="n">
        <v>530</v>
      </c>
      <c r="U6065" s="15" t="n">
        <v>87</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K-I-0187</t>
        </is>
      </c>
      <c r="B6066" s="12" t="inlineStr">
        <is>
          <t>K</t>
        </is>
      </c>
      <c r="C6066" s="12" t="inlineStr">
        <is>
          <t>Fuel supply (adjacent market)</t>
        </is>
      </c>
      <c r="D6066" s="12" t="inlineStr">
        <is>
          <t>Discrete device to JB JB-M&amp;R 8: condensate -DI01: 4 x 1 pr (field cables)</t>
        </is>
      </c>
      <c r="E6066" s="12" t="inlineStr"/>
      <c r="F6066" s="12" t="inlineStr">
        <is>
          <t>M&amp;R 8: condensate tank</t>
        </is>
      </c>
      <c r="G6066" s="12" t="inlineStr">
        <is>
          <t>JB-M&amp;R 8: condensate -DI01</t>
        </is>
      </c>
      <c r="H6066" s="12" t="inlineStr">
        <is>
          <t>M&amp;R 8: condensate tank</t>
        </is>
      </c>
      <c r="I6066" s="12" t="inlineStr">
        <is>
          <t>Instrumentation</t>
        </is>
      </c>
      <c r="J6066" s="12" t="inlineStr">
        <is>
          <t>Instrumentation ITC / PLTC, IS, #18 shielded pairs, blue jacket</t>
        </is>
      </c>
      <c r="K6066" s="12" t="inlineStr">
        <is>
          <t>ITC|1 pr|16</t>
        </is>
      </c>
      <c r="L6066" s="12" t="inlineStr">
        <is>
          <t>1 pr</t>
        </is>
      </c>
      <c r="M6066" s="12" t="inlineStr">
        <is>
          <t>16</t>
        </is>
      </c>
      <c r="N6066" s="12" t="n">
        <v>4</v>
      </c>
      <c r="O6066" s="12" t="n">
        <v>1</v>
      </c>
      <c r="P6066" s="12" t="n"/>
      <c r="Q6066" s="12" t="n"/>
      <c r="R6066" s="12" t="n"/>
      <c r="S6066" s="12" t="inlineStr">
        <is>
          <t>Tray / conduit</t>
        </is>
      </c>
      <c r="T6066" s="15" t="n">
        <v>41</v>
      </c>
      <c r="U6066" s="15" t="n">
        <v>10</v>
      </c>
      <c r="V6066" s="15">
        <f>ROUNDUP((T6066+U6066+2*'Read Me'!$B$13)*(1+'Read Me'!$B$12),-1)</f>
        <v/>
      </c>
      <c r="W6066" s="15">
        <f>V6066*N6066*O6066</f>
        <v/>
      </c>
      <c r="X6066" s="12">
        <f>IF(LEFT(I6066,2)="MV",2*N6066*IF(L6066="1/C",O6066,1),0)</f>
        <v/>
      </c>
      <c r="Y6066" s="12">
        <f>IF(OR(LEFT(K6066,4)="LVAX",LEFT(K6066,6)="MV15AX",LEFT(K6066,4)="CTAX",LEFT(K6066,2)="W|"),2*N6066*O6066,0)</f>
        <v/>
      </c>
      <c r="Z6066" s="12" t="inlineStr">
        <is>
          <t>device-to-JB field wiring, one cable per device</t>
        </is>
      </c>
      <c r="AA6066" s="12">
        <f>N6066*O6066</f>
        <v/>
      </c>
    </row>
    <row r="6067">
      <c r="A6067" s="12" t="inlineStr">
        <is>
          <t>K-I-0188</t>
        </is>
      </c>
      <c r="B6067" s="12" t="inlineStr">
        <is>
          <t>K</t>
        </is>
      </c>
      <c r="C6067" s="12" t="inlineStr">
        <is>
          <t>Fuel supply (adjacent market)</t>
        </is>
      </c>
      <c r="D6067" s="12" t="inlineStr">
        <is>
          <t>Home run JB-M&amp;R 8: condensate -DI01 to the control / marshalling room</t>
        </is>
      </c>
      <c r="E6067" s="12" t="inlineStr"/>
      <c r="F6067" s="12" t="inlineStr">
        <is>
          <t>LNG 17: LNG e-house (13.8 kV / 480 V)</t>
        </is>
      </c>
      <c r="G6067" s="12" t="inlineStr">
        <is>
          <t>JB-M&amp;R 8: condensate -DI01</t>
        </is>
      </c>
      <c r="H6067" s="12" t="inlineStr">
        <is>
          <t>M&amp;R 8: condensate tank</t>
        </is>
      </c>
      <c r="I6067" s="12" t="inlineStr">
        <is>
          <t>Instrumentation</t>
        </is>
      </c>
      <c r="J6067" s="12" t="inlineStr">
        <is>
          <t>Instrumentation ITC / PLTC, IS, #18 shielded pairs, blue jacket</t>
        </is>
      </c>
      <c r="K6067" s="12" t="inlineStr">
        <is>
          <t>ITC|24 pr|18</t>
        </is>
      </c>
      <c r="L6067" s="12" t="inlineStr">
        <is>
          <t>24 pr</t>
        </is>
      </c>
      <c r="M6067" s="12" t="inlineStr">
        <is>
          <t>18</t>
        </is>
      </c>
      <c r="N6067" s="12" t="n">
        <v>1</v>
      </c>
      <c r="O6067" s="12" t="n">
        <v>1</v>
      </c>
      <c r="P6067" s="12" t="n"/>
      <c r="Q6067" s="12" t="n"/>
      <c r="R6067" s="12" t="n"/>
      <c r="S6067" s="12" t="inlineStr">
        <is>
          <t>Duct bank</t>
        </is>
      </c>
      <c r="T6067" s="15" t="n">
        <v>530</v>
      </c>
      <c r="U6067" s="15" t="n">
        <v>87</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K-I-0189</t>
        </is>
      </c>
      <c r="B6068" s="12" t="inlineStr">
        <is>
          <t>K</t>
        </is>
      </c>
      <c r="C6068" s="12" t="inlineStr">
        <is>
          <t>Fuel supply (adjacent market)</t>
        </is>
      </c>
      <c r="D6068" s="12" t="inlineStr">
        <is>
          <t>Instrumentation</t>
        </is>
      </c>
      <c r="E6068" s="12" t="inlineStr"/>
      <c r="F6068" s="12" t="inlineStr">
        <is>
          <t>LNG 17: LNG e-house (13.8 kV / 480 V)</t>
        </is>
      </c>
      <c r="G6068" s="12" t="inlineStr"/>
      <c r="H6068" s="12" t="inlineStr">
        <is>
          <t>M&amp;R CP test station (as drawn)</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441</v>
      </c>
      <c r="U6068" s="15" t="n">
        <v>42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K-I-0190</t>
        </is>
      </c>
      <c r="B6069" s="12" t="inlineStr">
        <is>
          <t>K</t>
        </is>
      </c>
      <c r="C6069" s="12" t="inlineStr">
        <is>
          <t>Fuel supply (adjacent market)</t>
        </is>
      </c>
      <c r="D6069" s="12" t="inlineStr">
        <is>
          <t>Instrumentation</t>
        </is>
      </c>
      <c r="E6069" s="12" t="inlineStr"/>
      <c r="F6069" s="12" t="inlineStr">
        <is>
          <t>H2 20: 13.8 kV e-house</t>
        </is>
      </c>
      <c r="G6069" s="12" t="inlineStr"/>
      <c r="H6069" s="12" t="inlineStr">
        <is>
          <t>PEM electrolyzer 1 (HyLYZER-1000)</t>
        </is>
      </c>
      <c r="I6069" s="12" t="inlineStr">
        <is>
          <t>Instrumentation</t>
        </is>
      </c>
      <c r="J6069" s="12" t="inlineStr">
        <is>
          <t>Instrumentation ITC / PLTC, IS, #18 shielded pairs, blue jacket</t>
        </is>
      </c>
      <c r="K6069" s="12" t="inlineStr">
        <is>
          <t>ITC|4 pr|18</t>
        </is>
      </c>
      <c r="L6069" s="12" t="inlineStr">
        <is>
          <t>4 pr</t>
        </is>
      </c>
      <c r="M6069" s="12" t="inlineStr">
        <is>
          <t>18</t>
        </is>
      </c>
      <c r="N6069" s="12" t="n">
        <v>1</v>
      </c>
      <c r="O6069" s="12" t="n">
        <v>1</v>
      </c>
      <c r="P6069" s="12" t="n"/>
      <c r="Q6069" s="12" t="n"/>
      <c r="R6069" s="12" t="n"/>
      <c r="S6069" s="12" t="inlineStr">
        <is>
          <t>Duct bank</t>
        </is>
      </c>
      <c r="T6069" s="15" t="n">
        <v>358</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K-I-0191</t>
        </is>
      </c>
      <c r="B6070" s="12" t="inlineStr">
        <is>
          <t>K</t>
        </is>
      </c>
      <c r="C6070" s="12" t="inlineStr">
        <is>
          <t>Fuel supply (adjacent market)</t>
        </is>
      </c>
      <c r="D6070" s="12" t="inlineStr">
        <is>
          <t>Instrumentation</t>
        </is>
      </c>
      <c r="E6070" s="12" t="inlineStr"/>
      <c r="F6070" s="12" t="inlineStr">
        <is>
          <t>H2 20: 13.8 kV e-house</t>
        </is>
      </c>
      <c r="G6070" s="12" t="inlineStr"/>
      <c r="H6070" s="12" t="inlineStr">
        <is>
          <t>PEM electrolyzer 2 (HyLYZER-1000)</t>
        </is>
      </c>
      <c r="I6070" s="12" t="inlineStr">
        <is>
          <t>Instrumentation</t>
        </is>
      </c>
      <c r="J6070" s="12" t="inlineStr">
        <is>
          <t>Instrumentation ITC / PLTC, IS, #18 shielded pairs, blue jacket</t>
        </is>
      </c>
      <c r="K6070" s="12" t="inlineStr">
        <is>
          <t>ITC|4 pr|18</t>
        </is>
      </c>
      <c r="L6070" s="12" t="inlineStr">
        <is>
          <t>4 pr</t>
        </is>
      </c>
      <c r="M6070" s="12" t="inlineStr">
        <is>
          <t>18</t>
        </is>
      </c>
      <c r="N6070" s="12" t="n">
        <v>1</v>
      </c>
      <c r="O6070" s="12" t="n">
        <v>1</v>
      </c>
      <c r="P6070" s="12" t="n"/>
      <c r="Q6070" s="12" t="n"/>
      <c r="R6070" s="12" t="n"/>
      <c r="S6070" s="12" t="inlineStr">
        <is>
          <t>Duct bank</t>
        </is>
      </c>
      <c r="T6070" s="15" t="n">
        <v>358</v>
      </c>
      <c r="U6070" s="15" t="n">
        <v>48</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K-I-0192</t>
        </is>
      </c>
      <c r="B6071" s="12" t="inlineStr">
        <is>
          <t>K</t>
        </is>
      </c>
      <c r="C6071" s="12" t="inlineStr">
        <is>
          <t>Fuel supply (adjacent market)</t>
        </is>
      </c>
      <c r="D6071" s="12" t="inlineStr">
        <is>
          <t>Instrumentation</t>
        </is>
      </c>
      <c r="E6071" s="12" t="inlineStr"/>
      <c r="F6071" s="12" t="inlineStr">
        <is>
          <t>H2 20: 13.8 kV e-house</t>
        </is>
      </c>
      <c r="G6071" s="12" t="inlineStr"/>
      <c r="H6071" s="12" t="inlineStr">
        <is>
          <t>PEM electrolyzer 3 (HyLYZER-1000)</t>
        </is>
      </c>
      <c r="I6071" s="12" t="inlineStr">
        <is>
          <t>Instrumentation</t>
        </is>
      </c>
      <c r="J6071" s="12" t="inlineStr">
        <is>
          <t>Instrumentation ITC / PLTC, IS, #18 shielded pairs, blue jacket</t>
        </is>
      </c>
      <c r="K6071" s="12" t="inlineStr">
        <is>
          <t>ITC|4 pr|18</t>
        </is>
      </c>
      <c r="L6071" s="12" t="inlineStr">
        <is>
          <t>4 pr</t>
        </is>
      </c>
      <c r="M6071" s="12" t="inlineStr">
        <is>
          <t>18</t>
        </is>
      </c>
      <c r="N6071" s="12" t="n">
        <v>1</v>
      </c>
      <c r="O6071" s="12" t="n">
        <v>1</v>
      </c>
      <c r="P6071" s="12" t="n"/>
      <c r="Q6071" s="12" t="n"/>
      <c r="R6071" s="12" t="n"/>
      <c r="S6071" s="12" t="inlineStr">
        <is>
          <t>Duct bank</t>
        </is>
      </c>
      <c r="T6071" s="15" t="n">
        <v>348</v>
      </c>
      <c r="U6071" s="15" t="n">
        <v>49</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K-I-0193</t>
        </is>
      </c>
      <c r="B6072" s="12" t="inlineStr">
        <is>
          <t>K</t>
        </is>
      </c>
      <c r="C6072" s="12" t="inlineStr">
        <is>
          <t>Fuel supply (adjacent market)</t>
        </is>
      </c>
      <c r="D6072" s="12" t="inlineStr">
        <is>
          <t>Instrumentation</t>
        </is>
      </c>
      <c r="E6072" s="12" t="inlineStr"/>
      <c r="F6072" s="12" t="inlineStr">
        <is>
          <t>H2 20: 13.8 kV e-house</t>
        </is>
      </c>
      <c r="G6072" s="12" t="inlineStr"/>
      <c r="H6072" s="12" t="inlineStr">
        <is>
          <t>PEM electrolyzer 4 (HyLYZER-1000)</t>
        </is>
      </c>
      <c r="I6072" s="12" t="inlineStr">
        <is>
          <t>Instrumentation</t>
        </is>
      </c>
      <c r="J6072" s="12" t="inlineStr">
        <is>
          <t>Instrumentation ITC / PLTC, IS, #18 shielded pairs, blue jacket</t>
        </is>
      </c>
      <c r="K6072" s="12" t="inlineStr">
        <is>
          <t>ITC|4 pr|18</t>
        </is>
      </c>
      <c r="L6072" s="12" t="inlineStr">
        <is>
          <t>4 pr</t>
        </is>
      </c>
      <c r="M6072" s="12" t="inlineStr">
        <is>
          <t>18</t>
        </is>
      </c>
      <c r="N6072" s="12" t="n">
        <v>1</v>
      </c>
      <c r="O6072" s="12" t="n">
        <v>1</v>
      </c>
      <c r="P6072" s="12" t="n"/>
      <c r="Q6072" s="12" t="n"/>
      <c r="R6072" s="12" t="n"/>
      <c r="S6072" s="12" t="inlineStr">
        <is>
          <t>Duct bank</t>
        </is>
      </c>
      <c r="T6072" s="15" t="n">
        <v>328</v>
      </c>
      <c r="U6072" s="15" t="n">
        <v>49</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K-I-0194</t>
        </is>
      </c>
      <c r="B6073" s="12" t="inlineStr">
        <is>
          <t>K</t>
        </is>
      </c>
      <c r="C6073" s="12" t="inlineStr">
        <is>
          <t>Fuel supply (adjacent market)</t>
        </is>
      </c>
      <c r="D6073" s="12" t="inlineStr">
        <is>
          <t>Instrumentation</t>
        </is>
      </c>
      <c r="E6073" s="12" t="inlineStr"/>
      <c r="F6073" s="12" t="inlineStr">
        <is>
          <t>H2 20: 13.8 kV e-house</t>
        </is>
      </c>
      <c r="G6073" s="12" t="inlineStr"/>
      <c r="H6073" s="12" t="inlineStr">
        <is>
          <t>PEM electrolyzer 5 (HyLYZER-1000)</t>
        </is>
      </c>
      <c r="I6073" s="12" t="inlineStr">
        <is>
          <t>Instrumentation</t>
        </is>
      </c>
      <c r="J6073" s="12" t="inlineStr">
        <is>
          <t>Instrumentation ITC / PLTC, IS, #18 shielded pairs, blue jacket</t>
        </is>
      </c>
      <c r="K6073" s="12" t="inlineStr">
        <is>
          <t>ITC|4 pr|18</t>
        </is>
      </c>
      <c r="L6073" s="12" t="inlineStr">
        <is>
          <t>4 pr</t>
        </is>
      </c>
      <c r="M6073" s="12" t="inlineStr">
        <is>
          <t>18</t>
        </is>
      </c>
      <c r="N6073" s="12" t="n">
        <v>1</v>
      </c>
      <c r="O6073" s="12" t="n">
        <v>1</v>
      </c>
      <c r="P6073" s="12" t="n"/>
      <c r="Q6073" s="12" t="n"/>
      <c r="R6073" s="12" t="n"/>
      <c r="S6073" s="12" t="inlineStr">
        <is>
          <t>Duct bank</t>
        </is>
      </c>
      <c r="T6073" s="15" t="n">
        <v>328</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c r="AA6073" s="12">
        <f>N6073*O6073</f>
        <v/>
      </c>
    </row>
    <row r="6074">
      <c r="A6074" s="12" t="inlineStr">
        <is>
          <t>K-P-0001</t>
        </is>
      </c>
      <c r="B6074" s="12" t="inlineStr">
        <is>
          <t>K</t>
        </is>
      </c>
      <c r="C6074" s="12" t="inlineStr">
        <is>
          <t>Fuel supply (adjacent market)</t>
        </is>
      </c>
      <c r="D6074" s="12" t="inlineStr">
        <is>
          <t>Motor 1 of 1, 15 kW</t>
        </is>
      </c>
      <c r="E6074" s="12" t="inlineStr"/>
      <c r="F6074" s="12" t="inlineStr">
        <is>
          <t>H2 20: 13.8 kV e-house</t>
        </is>
      </c>
      <c r="G6074" s="12" t="inlineStr">
        <is>
          <t>T-H2</t>
        </is>
      </c>
      <c r="H6074" s="12" t="inlineStr">
        <is>
          <t>H2 19: T-H2 230/13.8 kV (about 40 MVA)</t>
        </is>
      </c>
      <c r="I6074" s="12" t="inlineStr">
        <is>
          <t>LV 600 V</t>
        </is>
      </c>
      <c r="J6074" s="12" t="inlineStr">
        <is>
          <t>ARMOR-X MC-HL 600 V 3/C Cu XHHW-2 + ground, CWA, black PVC (Class I Div 2)</t>
        </is>
      </c>
      <c r="K6074" s="12" t="inlineStr">
        <is>
          <t>LVAX|3/C+G|10</t>
        </is>
      </c>
      <c r="L6074" s="12" t="inlineStr">
        <is>
          <t>3/C+G</t>
        </is>
      </c>
      <c r="M6074" s="12" t="inlineStr">
        <is>
          <t>10</t>
        </is>
      </c>
      <c r="N6074" s="12" t="n">
        <v>1</v>
      </c>
      <c r="O6074" s="12" t="n">
        <v>1</v>
      </c>
      <c r="P6074" s="12" t="n">
        <v>480</v>
      </c>
      <c r="Q6074" s="12" t="n">
        <v>15</v>
      </c>
      <c r="R6074" s="12" t="n">
        <v>21.2</v>
      </c>
      <c r="S6074" s="12" t="inlineStr">
        <is>
          <t>Duct bank</t>
        </is>
      </c>
      <c r="T6074" s="15" t="n">
        <v>35</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0.7 %</t>
        </is>
      </c>
      <c r="AA6074" s="12">
        <f>N6074*O6074</f>
        <v/>
      </c>
    </row>
    <row r="6075">
      <c r="A6075" s="12" t="inlineStr">
        <is>
          <t>K-P-0002</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20: 13.8 kV e-house</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Tray</t>
        </is>
      </c>
      <c r="T6075" s="15" t="n">
        <v>0</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0.3 %</t>
        </is>
      </c>
      <c r="AA6075" s="12">
        <f>N6075*O6075</f>
        <v/>
      </c>
    </row>
    <row r="6076">
      <c r="A6076" s="12" t="inlineStr">
        <is>
          <t>K-P-0003</t>
        </is>
      </c>
      <c r="B6076" s="12" t="inlineStr">
        <is>
          <t>K</t>
        </is>
      </c>
      <c r="C6076" s="12" t="inlineStr">
        <is>
          <t>Fuel supply (adjacent market)</t>
        </is>
      </c>
      <c r="D6076" s="12" t="inlineStr">
        <is>
          <t>Motor 1 of 1, 15 kW</t>
        </is>
      </c>
      <c r="E6076" s="12" t="inlineStr"/>
      <c r="F6076" s="12" t="inlineStr">
        <is>
          <t>H2 20: 13.8 kV e-house</t>
        </is>
      </c>
      <c r="G6076" s="12" t="inlineStr"/>
      <c r="H6076" s="12" t="inlineStr">
        <is>
          <t>H2 21: rectifier transformer 1 (7 MVA)</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356</v>
      </c>
      <c r="U6076" s="15" t="n">
        <v>48</v>
      </c>
      <c r="V6076" s="15">
        <f>ROUNDUP((T6076+U6076+2*'Read Me'!$B$13)*(1+'Read Me'!$B$12),-1)</f>
        <v/>
      </c>
      <c r="W6076" s="15">
        <f>V6076*N6076*O6076</f>
        <v/>
      </c>
      <c r="X6076" s="12">
        <f>IF(LEFT(I6076,2)="MV",2*N6076*IF(L6076="1/C",O6076,1),0)</f>
        <v/>
      </c>
      <c r="Y6076" s="12">
        <f>IF(OR(LEFT(K6076,4)="LVAX",LEFT(K6076,6)="MV15AX",LEFT(K6076,4)="CTAX",LEFT(K6076,2)="W|"),2*N6076*O6076,0)</f>
        <v/>
      </c>
      <c r="Z6076" s="12" t="inlineStr">
        <is>
          <t>VD 2.6 %</t>
        </is>
      </c>
      <c r="AA6076" s="12">
        <f>N6076*O6076</f>
        <v/>
      </c>
    </row>
    <row r="6077">
      <c r="A6077" s="12" t="inlineStr">
        <is>
          <t>K-P-0004</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21: rectifier transformer 2 (7 MVA)</t>
        </is>
      </c>
      <c r="I6077" s="12" t="inlineStr">
        <is>
          <t>LV 600 V</t>
        </is>
      </c>
      <c r="J6077" s="12" t="inlineStr">
        <is>
          <t>ARMOR-X MC-HL 600 V 3/C Cu XHHW-2 + ground, CWA, black PVC (Class I Div 2)</t>
        </is>
      </c>
      <c r="K6077" s="12" t="inlineStr">
        <is>
          <t>LVAX|3/C+G|8</t>
        </is>
      </c>
      <c r="L6077" s="12" t="inlineStr">
        <is>
          <t>3/C+G</t>
        </is>
      </c>
      <c r="M6077" s="12" t="inlineStr">
        <is>
          <t>8</t>
        </is>
      </c>
      <c r="N6077" s="12" t="n">
        <v>1</v>
      </c>
      <c r="O6077" s="12" t="n">
        <v>1</v>
      </c>
      <c r="P6077" s="12" t="n">
        <v>480</v>
      </c>
      <c r="Q6077" s="12" t="n">
        <v>15</v>
      </c>
      <c r="R6077" s="12" t="n">
        <v>21.2</v>
      </c>
      <c r="S6077" s="12" t="inlineStr">
        <is>
          <t>Duct bank</t>
        </is>
      </c>
      <c r="T6077" s="15" t="n">
        <v>356</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2.5 %</t>
        </is>
      </c>
      <c r="AA6077" s="12">
        <f>N6077*O6077</f>
        <v/>
      </c>
    </row>
    <row r="6078">
      <c r="A6078" s="12" t="inlineStr">
        <is>
          <t>K-P-0005</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21: rectifier transformer 3 (7 MVA)</t>
        </is>
      </c>
      <c r="I6078" s="12" t="inlineStr">
        <is>
          <t>LV 600 V</t>
        </is>
      </c>
      <c r="J6078" s="12" t="inlineStr">
        <is>
          <t>ARMOR-X MC-HL 600 V 3/C Cu XHHW-2 + ground, CWA, black PVC (Class I Div 2)</t>
        </is>
      </c>
      <c r="K6078" s="12" t="inlineStr">
        <is>
          <t>LVAX|3/C+G|8</t>
        </is>
      </c>
      <c r="L6078" s="12" t="inlineStr">
        <is>
          <t>3/C+G</t>
        </is>
      </c>
      <c r="M6078" s="12" t="inlineStr">
        <is>
          <t>8</t>
        </is>
      </c>
      <c r="N6078" s="12" t="n">
        <v>1</v>
      </c>
      <c r="O6078" s="12" t="n">
        <v>1</v>
      </c>
      <c r="P6078" s="12" t="n">
        <v>480</v>
      </c>
      <c r="Q6078" s="12" t="n">
        <v>15</v>
      </c>
      <c r="R6078" s="12" t="n">
        <v>21.2</v>
      </c>
      <c r="S6078" s="12" t="inlineStr">
        <is>
          <t>Duct bank</t>
        </is>
      </c>
      <c r="T6078" s="15" t="n">
        <v>334</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2.4 %</t>
        </is>
      </c>
      <c r="AA6078" s="12">
        <f>N6078*O6078</f>
        <v/>
      </c>
    </row>
    <row r="6079">
      <c r="A6079" s="12" t="inlineStr">
        <is>
          <t>K-P-0006</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21: rectifier transformer 4 (7 MVA)</t>
        </is>
      </c>
      <c r="I6079" s="12" t="inlineStr">
        <is>
          <t>LV 600 V</t>
        </is>
      </c>
      <c r="J6079" s="12" t="inlineStr">
        <is>
          <t>ARMOR-X MC-HL 600 V 3/C Cu XHHW-2 + ground, CWA, black PVC (Class I Div 2)</t>
        </is>
      </c>
      <c r="K6079" s="12" t="inlineStr">
        <is>
          <t>LVAX|3/C+G|8</t>
        </is>
      </c>
      <c r="L6079" s="12" t="inlineStr">
        <is>
          <t>3/C+G</t>
        </is>
      </c>
      <c r="M6079" s="12" t="inlineStr">
        <is>
          <t>8</t>
        </is>
      </c>
      <c r="N6079" s="12" t="n">
        <v>1</v>
      </c>
      <c r="O6079" s="12" t="n">
        <v>1</v>
      </c>
      <c r="P6079" s="12" t="n">
        <v>480</v>
      </c>
      <c r="Q6079" s="12" t="n">
        <v>15</v>
      </c>
      <c r="R6079" s="12" t="n">
        <v>21.2</v>
      </c>
      <c r="S6079" s="12" t="inlineStr">
        <is>
          <t>Duct bank</t>
        </is>
      </c>
      <c r="T6079" s="15" t="n">
        <v>312</v>
      </c>
      <c r="U6079" s="15" t="n">
        <v>32</v>
      </c>
      <c r="V6079" s="15">
        <f>ROUNDUP((T6079+U6079+2*'Read Me'!$B$13)*(1+'Read Me'!$B$12),-1)</f>
        <v/>
      </c>
      <c r="W6079" s="15">
        <f>V6079*N6079*O6079</f>
        <v/>
      </c>
      <c r="X6079" s="12">
        <f>IF(LEFT(I6079,2)="MV",2*N6079*IF(L6079="1/C",O6079,1),0)</f>
        <v/>
      </c>
      <c r="Y6079" s="12">
        <f>IF(OR(LEFT(K6079,4)="LVAX",LEFT(K6079,6)="MV15AX",LEFT(K6079,4)="CTAX",LEFT(K6079,2)="W|"),2*N6079*O6079,0)</f>
        <v/>
      </c>
      <c r="Z6079" s="12" t="inlineStr">
        <is>
          <t>VD 2.2 %</t>
        </is>
      </c>
      <c r="AA6079" s="12">
        <f>N6079*O6079</f>
        <v/>
      </c>
    </row>
    <row r="6080">
      <c r="A6080" s="12" t="inlineStr">
        <is>
          <t>K-P-0007</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21: rectifier transformer 5 (7 MVA)</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254</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2.9 %</t>
        </is>
      </c>
      <c r="AA6080" s="12">
        <f>N6080*O6080</f>
        <v/>
      </c>
    </row>
    <row r="6081">
      <c r="A6081" s="12" t="inlineStr">
        <is>
          <t>K-P-0008</t>
        </is>
      </c>
      <c r="B6081" s="12" t="inlineStr">
        <is>
          <t>K</t>
        </is>
      </c>
      <c r="C6081" s="12" t="inlineStr">
        <is>
          <t>Fuel supply (adjacent market)</t>
        </is>
      </c>
      <c r="D6081" s="12" t="inlineStr">
        <is>
          <t>Motor 1 of 1, 15 kW</t>
        </is>
      </c>
      <c r="E6081" s="12" t="inlineStr"/>
      <c r="F6081" s="12" t="inlineStr">
        <is>
          <t>H2 20: 13.8 kV e-house</t>
        </is>
      </c>
      <c r="G6081" s="12" t="inlineStr">
        <is>
          <t>H2-EL</t>
        </is>
      </c>
      <c r="H6081" s="12" t="inlineStr">
        <is>
          <t>H2 22: electrolyzer building (5 x HyLYZER-1000 + 5 rectifiers)</t>
        </is>
      </c>
      <c r="I6081" s="12" t="inlineStr">
        <is>
          <t>LV 600 V</t>
        </is>
      </c>
      <c r="J6081" s="12" t="inlineStr">
        <is>
          <t>ARMOR-X MC-HL 600 V 3/C Cu XHHW-2 + ground, CWA, black PVC (Class I Div 2)</t>
        </is>
      </c>
      <c r="K6081" s="12" t="inlineStr">
        <is>
          <t>LVAX|3/C+G|8</t>
        </is>
      </c>
      <c r="L6081" s="12" t="inlineStr">
        <is>
          <t>3/C+G</t>
        </is>
      </c>
      <c r="M6081" s="12" t="inlineStr">
        <is>
          <t>8</t>
        </is>
      </c>
      <c r="N6081" s="12" t="n">
        <v>1</v>
      </c>
      <c r="O6081" s="12" t="n">
        <v>1</v>
      </c>
      <c r="P6081" s="12" t="n">
        <v>480</v>
      </c>
      <c r="Q6081" s="12" t="n">
        <v>15</v>
      </c>
      <c r="R6081" s="12" t="n">
        <v>21.2</v>
      </c>
      <c r="S6081" s="12" t="inlineStr">
        <is>
          <t>Duct bank</t>
        </is>
      </c>
      <c r="T6081" s="15" t="n">
        <v>346</v>
      </c>
      <c r="U6081" s="15" t="n">
        <v>32</v>
      </c>
      <c r="V6081" s="15">
        <f>ROUNDUP((T6081+U6081+2*'Read Me'!$B$13)*(1+'Read Me'!$B$12),-1)</f>
        <v/>
      </c>
      <c r="W6081" s="15">
        <f>V6081*N6081*O6081</f>
        <v/>
      </c>
      <c r="X6081" s="12">
        <f>IF(LEFT(I6081,2)="MV",2*N6081*IF(L6081="1/C",O6081,1),0)</f>
        <v/>
      </c>
      <c r="Y6081" s="12">
        <f>IF(OR(LEFT(K6081,4)="LVAX",LEFT(K6081,6)="MV15AX",LEFT(K6081,4)="CTAX",LEFT(K6081,2)="W|"),2*N6081*O6081,0)</f>
        <v/>
      </c>
      <c r="Z6081" s="12" t="inlineStr">
        <is>
          <t>VD 2.4 %</t>
        </is>
      </c>
      <c r="AA6081" s="12">
        <f>N6081*O6081</f>
        <v/>
      </c>
    </row>
    <row r="6082">
      <c r="A6082" s="12" t="inlineStr">
        <is>
          <t>K-P-0009</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23: dry coolers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100</v>
      </c>
      <c r="U6082" s="15" t="n">
        <v>32</v>
      </c>
      <c r="V6082" s="15">
        <f>ROUNDUP((T6082+U6082+2*'Read Me'!$B$13)*(1+'Read Me'!$B$12),-1)</f>
        <v/>
      </c>
      <c r="W6082" s="15">
        <f>V6082*N6082*O6082</f>
        <v/>
      </c>
      <c r="X6082" s="12">
        <f>IF(LEFT(I6082,2)="MV",2*N6082*IF(L6082="1/C",O6082,1),0)</f>
        <v/>
      </c>
      <c r="Y6082" s="12">
        <f>IF(OR(LEFT(K6082,4)="LVAX",LEFT(K6082,6)="MV15AX",LEFT(K6082,4)="CTAX",LEFT(K6082,2)="W|"),2*N6082*O6082,0)</f>
        <v/>
      </c>
      <c r="Z6082" s="12" t="inlineStr">
        <is>
          <t>VD 1.3 %</t>
        </is>
      </c>
      <c r="AA6082" s="12">
        <f>N6082*O6082</f>
        <v/>
      </c>
    </row>
    <row r="6083">
      <c r="A6083" s="12" t="inlineStr">
        <is>
          <t>K-P-0010</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24: water purification (RO / EDI)</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146</v>
      </c>
      <c r="U6083" s="15" t="n">
        <v>32</v>
      </c>
      <c r="V6083" s="15">
        <f>ROUNDUP((T6083+U6083+2*'Read Me'!$B$13)*(1+'Read Me'!$B$12),-1)</f>
        <v/>
      </c>
      <c r="W6083" s="15">
        <f>V6083*N6083*O6083</f>
        <v/>
      </c>
      <c r="X6083" s="12">
        <f>IF(LEFT(I6083,2)="MV",2*N6083*IF(L6083="1/C",O6083,1),0)</f>
        <v/>
      </c>
      <c r="Y6083" s="12">
        <f>IF(OR(LEFT(K6083,4)="LVAX",LEFT(K6083,6)="MV15AX",LEFT(K6083,4)="CTAX",LEFT(K6083,2)="W|"),2*N6083*O6083,0)</f>
        <v/>
      </c>
      <c r="Z6083" s="12" t="inlineStr">
        <is>
          <t>VD 1.8 %</t>
        </is>
      </c>
      <c r="AA6083" s="12">
        <f>N6083*O6083</f>
        <v/>
      </c>
    </row>
    <row r="6084">
      <c r="A6084" s="12" t="inlineStr">
        <is>
          <t>K-P-0011</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25: H2 dryer / purification</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0</v>
      </c>
      <c r="U6084" s="15" t="n">
        <v>49</v>
      </c>
      <c r="V6084" s="15">
        <f>ROUNDUP((T6084+U6084+2*'Read Me'!$B$13)*(1+'Read Me'!$B$12),-1)</f>
        <v/>
      </c>
      <c r="W6084" s="15">
        <f>V6084*N6084*O6084</f>
        <v/>
      </c>
      <c r="X6084" s="12">
        <f>IF(LEFT(I6084,2)="MV",2*N6084*IF(L6084="1/C",O6084,1),0)</f>
        <v/>
      </c>
      <c r="Y6084" s="12">
        <f>IF(OR(LEFT(K6084,4)="LVAX",LEFT(K6084,6)="MV15AX",LEFT(K6084,4)="CTAX",LEFT(K6084,2)="W|"),2*N6084*O6084,0)</f>
        <v/>
      </c>
      <c r="Z6084" s="12" t="inlineStr">
        <is>
          <t>VD 0.5 %</t>
        </is>
      </c>
      <c r="AA6084" s="12">
        <f>N6084*O6084</f>
        <v/>
      </c>
    </row>
    <row r="6085">
      <c r="A6085" s="12" t="inlineStr">
        <is>
          <t>K-P-0012</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26: H2 compressor 1 (40 ft ISO)</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32</v>
      </c>
      <c r="V6085" s="15">
        <f>ROUNDUP((T6085+U6085+2*'Read Me'!$B$13)*(1+'Read Me'!$B$12),-1)</f>
        <v/>
      </c>
      <c r="W6085" s="15">
        <f>V6085*N6085*O6085</f>
        <v/>
      </c>
      <c r="X6085" s="12">
        <f>IF(LEFT(I6085,2)="MV",2*N6085*IF(L6085="1/C",O6085,1),0)</f>
        <v/>
      </c>
      <c r="Y6085" s="12">
        <f>IF(OR(LEFT(K6085,4)="LVAX",LEFT(K6085,6)="MV15AX",LEFT(K6085,4)="CTAX",LEFT(K6085,2)="W|"),2*N6085*O6085,0)</f>
        <v/>
      </c>
      <c r="Z6085" s="12" t="inlineStr">
        <is>
          <t>VD 0.8 %</t>
        </is>
      </c>
      <c r="AA6085" s="12">
        <f>N6085*O6085</f>
        <v/>
      </c>
    </row>
    <row r="6086">
      <c r="A6086" s="12" t="inlineStr">
        <is>
          <t>K-P-0013</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26: H2 compressor 2 (40 ft ISO)</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50</v>
      </c>
      <c r="U6086" s="15" t="n">
        <v>47</v>
      </c>
      <c r="V6086" s="15">
        <f>ROUNDUP((T6086+U6086+2*'Read Me'!$B$13)*(1+'Read Me'!$B$12),-1)</f>
        <v/>
      </c>
      <c r="W6086" s="15">
        <f>V6086*N6086*O6086</f>
        <v/>
      </c>
      <c r="X6086" s="12">
        <f>IF(LEFT(I6086,2)="MV",2*N6086*IF(L6086="1/C",O6086,1),0)</f>
        <v/>
      </c>
      <c r="Y6086" s="12">
        <f>IF(OR(LEFT(K6086,4)="LVAX",LEFT(K6086,6)="MV15AX",LEFT(K6086,4)="CTAX",LEFT(K6086,2)="W|"),2*N6086*O6086,0)</f>
        <v/>
      </c>
      <c r="Z6086" s="12" t="inlineStr">
        <is>
          <t>VD 1.0 %</t>
        </is>
      </c>
      <c r="AA6086" s="12">
        <f>N6086*O6086</f>
        <v/>
      </c>
    </row>
    <row r="6087">
      <c r="A6087" s="12" t="inlineStr">
        <is>
          <t>K-P-0014</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27: storage tube bank (~40 ft tubes)</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50</v>
      </c>
      <c r="U6087" s="15" t="n">
        <v>97</v>
      </c>
      <c r="V6087" s="15">
        <f>ROUNDUP((T6087+U6087+2*'Read Me'!$B$13)*(1+'Read Me'!$B$12),-1)</f>
        <v/>
      </c>
      <c r="W6087" s="15">
        <f>V6087*N6087*O6087</f>
        <v/>
      </c>
      <c r="X6087" s="12">
        <f>IF(LEFT(I6087,2)="MV",2*N6087*IF(L6087="1/C",O6087,1),0)</f>
        <v/>
      </c>
      <c r="Y6087" s="12">
        <f>IF(OR(LEFT(K6087,4)="LVAX",LEFT(K6087,6)="MV15AX",LEFT(K6087,4)="CTAX",LEFT(K6087,2)="W|"),2*N6087*O6087,0)</f>
        <v/>
      </c>
      <c r="Z6087" s="12" t="inlineStr">
        <is>
          <t>VD 1.5 %</t>
        </is>
      </c>
      <c r="AA6087" s="12">
        <f>N6087*O6087</f>
        <v/>
      </c>
    </row>
    <row r="6088">
      <c r="A6088" s="12" t="inlineStr">
        <is>
          <t>K-P-0015</t>
        </is>
      </c>
      <c r="B6088" s="12" t="inlineStr">
        <is>
          <t>K</t>
        </is>
      </c>
      <c r="C6088" s="12" t="inlineStr">
        <is>
          <t>Fuel supply (adjacent market)</t>
        </is>
      </c>
      <c r="D6088" s="12" t="inlineStr">
        <is>
          <t>Motor 1 of 1, 15 kW</t>
        </is>
      </c>
      <c r="E6088" s="12" t="inlineStr"/>
      <c r="F6088" s="12" t="inlineStr">
        <is>
          <t>H2 20: 13.8 kV e-house</t>
        </is>
      </c>
      <c r="G6088" s="12" t="inlineStr"/>
      <c r="H6088" s="12" t="inlineStr">
        <is>
          <t>H2 27: storage tube bank (~40 ft tubes)</t>
        </is>
      </c>
      <c r="I6088" s="12" t="inlineStr">
        <is>
          <t>LV 600 V</t>
        </is>
      </c>
      <c r="J6088" s="12" t="inlineStr">
        <is>
          <t>ARMOR-X MC-HL 600 V 3/C Cu XHHW-2 + ground, CWA, black PVC (Class I Div 2)</t>
        </is>
      </c>
      <c r="K6088" s="12" t="inlineStr">
        <is>
          <t>LVAX|3/C+G|10</t>
        </is>
      </c>
      <c r="L6088" s="12" t="inlineStr">
        <is>
          <t>3/C+G</t>
        </is>
      </c>
      <c r="M6088" s="12" t="inlineStr">
        <is>
          <t>10</t>
        </is>
      </c>
      <c r="N6088" s="12" t="n">
        <v>1</v>
      </c>
      <c r="O6088" s="12" t="n">
        <v>1</v>
      </c>
      <c r="P6088" s="12" t="n">
        <v>480</v>
      </c>
      <c r="Q6088" s="12" t="n">
        <v>15</v>
      </c>
      <c r="R6088" s="12" t="n">
        <v>21.2</v>
      </c>
      <c r="S6088" s="12" t="inlineStr">
        <is>
          <t>Duct bank</t>
        </is>
      </c>
      <c r="T6088" s="15" t="n">
        <v>50</v>
      </c>
      <c r="U6088" s="15" t="n">
        <v>117</v>
      </c>
      <c r="V6088" s="15">
        <f>ROUNDUP((T6088+U6088+2*'Read Me'!$B$13)*(1+'Read Me'!$B$12),-1)</f>
        <v/>
      </c>
      <c r="W6088" s="15">
        <f>V6088*N6088*O6088</f>
        <v/>
      </c>
      <c r="X6088" s="12">
        <f>IF(LEFT(I6088,2)="MV",2*N6088*IF(L6088="1/C",O6088,1),0)</f>
        <v/>
      </c>
      <c r="Y6088" s="12">
        <f>IF(OR(LEFT(K6088,4)="LVAX",LEFT(K6088,6)="MV15AX",LEFT(K6088,4)="CTAX",LEFT(K6088,2)="W|"),2*N6088*O6088,0)</f>
        <v/>
      </c>
      <c r="Z6088" s="12" t="inlineStr">
        <is>
          <t>VD 1.7 %</t>
        </is>
      </c>
      <c r="AA6088" s="12">
        <f>N6088*O6088</f>
        <v/>
      </c>
    </row>
    <row r="6089">
      <c r="A6089" s="12" t="inlineStr">
        <is>
          <t>K-P-0016</t>
        </is>
      </c>
      <c r="B6089" s="12" t="inlineStr">
        <is>
          <t>K</t>
        </is>
      </c>
      <c r="C6089" s="12" t="inlineStr">
        <is>
          <t>Fuel supply (adjacent market)</t>
        </is>
      </c>
      <c r="D6089" s="12" t="inlineStr">
        <is>
          <t>Motor 1 of 1, 15 kW</t>
        </is>
      </c>
      <c r="E6089" s="12" t="inlineStr"/>
      <c r="F6089" s="12" t="inlineStr">
        <is>
          <t>H2 20: 13.8 kV e-house</t>
        </is>
      </c>
      <c r="G6089" s="12" t="inlineStr"/>
      <c r="H6089" s="12" t="inlineStr">
        <is>
          <t>H2 27: storage tube bank (~40 ft tubes)</t>
        </is>
      </c>
      <c r="I6089" s="12" t="inlineStr">
        <is>
          <t>LV 600 V</t>
        </is>
      </c>
      <c r="J6089" s="12" t="inlineStr">
        <is>
          <t>ARMOR-X MC-HL 600 V 3/C Cu XHHW-2 + ground, CWA, black PVC (Class I Div 2)</t>
        </is>
      </c>
      <c r="K6089" s="12" t="inlineStr">
        <is>
          <t>LVAX|3/C+G|10</t>
        </is>
      </c>
      <c r="L6089" s="12" t="inlineStr">
        <is>
          <t>3/C+G</t>
        </is>
      </c>
      <c r="M6089" s="12" t="inlineStr">
        <is>
          <t>10</t>
        </is>
      </c>
      <c r="N6089" s="12" t="n">
        <v>1</v>
      </c>
      <c r="O6089" s="12" t="n">
        <v>1</v>
      </c>
      <c r="P6089" s="12" t="n">
        <v>480</v>
      </c>
      <c r="Q6089" s="12" t="n">
        <v>15</v>
      </c>
      <c r="R6089" s="12" t="n">
        <v>21.2</v>
      </c>
      <c r="S6089" s="12" t="inlineStr">
        <is>
          <t>Duct bank</t>
        </is>
      </c>
      <c r="T6089" s="15" t="n">
        <v>50</v>
      </c>
      <c r="U6089" s="15" t="n">
        <v>97</v>
      </c>
      <c r="V6089" s="15">
        <f>ROUNDUP((T6089+U6089+2*'Read Me'!$B$13)*(1+'Read Me'!$B$12),-1)</f>
        <v/>
      </c>
      <c r="W6089" s="15">
        <f>V6089*N6089*O6089</f>
        <v/>
      </c>
      <c r="X6089" s="12">
        <f>IF(LEFT(I6089,2)="MV",2*N6089*IF(L6089="1/C",O6089,1),0)</f>
        <v/>
      </c>
      <c r="Y6089" s="12">
        <f>IF(OR(LEFT(K6089,4)="LVAX",LEFT(K6089,6)="MV15AX",LEFT(K6089,4)="CTAX",LEFT(K6089,2)="W|"),2*N6089*O6089,0)</f>
        <v/>
      </c>
      <c r="Z6089" s="12" t="inlineStr">
        <is>
          <t>VD 1.5 %</t>
        </is>
      </c>
      <c r="AA6089" s="12">
        <f>N6089*O6089</f>
        <v/>
      </c>
    </row>
    <row r="6090">
      <c r="A6090" s="12" t="inlineStr">
        <is>
          <t>K-P-0017</t>
        </is>
      </c>
      <c r="B6090" s="12" t="inlineStr">
        <is>
          <t>K</t>
        </is>
      </c>
      <c r="C6090" s="12" t="inlineStr">
        <is>
          <t>Fuel supply (adjacent market)</t>
        </is>
      </c>
      <c r="D6090" s="12" t="inlineStr">
        <is>
          <t>Motor 1 of 1, 15 kW</t>
        </is>
      </c>
      <c r="E6090" s="12" t="inlineStr"/>
      <c r="F6090" s="12" t="inlineStr">
        <is>
          <t>H2 20: 13.8 kV e-house</t>
        </is>
      </c>
      <c r="G6090" s="12" t="inlineStr"/>
      <c r="H6090" s="12" t="inlineStr">
        <is>
          <t>H2 27: storage tube bank (~40 ft tubes)</t>
        </is>
      </c>
      <c r="I6090" s="12" t="inlineStr">
        <is>
          <t>LV 600 V</t>
        </is>
      </c>
      <c r="J6090" s="12" t="inlineStr">
        <is>
          <t>ARMOR-X MC-HL 600 V 3/C Cu XHHW-2 + ground, CWA, black PVC (Class I Div 2)</t>
        </is>
      </c>
      <c r="K6090" s="12" t="inlineStr">
        <is>
          <t>LVAX|3/C+G|10</t>
        </is>
      </c>
      <c r="L6090" s="12" t="inlineStr">
        <is>
          <t>3/C+G</t>
        </is>
      </c>
      <c r="M6090" s="12" t="inlineStr">
        <is>
          <t>10</t>
        </is>
      </c>
      <c r="N6090" s="12" t="n">
        <v>1</v>
      </c>
      <c r="O6090" s="12" t="n">
        <v>1</v>
      </c>
      <c r="P6090" s="12" t="n">
        <v>480</v>
      </c>
      <c r="Q6090" s="12" t="n">
        <v>15</v>
      </c>
      <c r="R6090" s="12" t="n">
        <v>21.2</v>
      </c>
      <c r="S6090" s="12" t="inlineStr">
        <is>
          <t>Duct bank</t>
        </is>
      </c>
      <c r="T6090" s="15" t="n">
        <v>50</v>
      </c>
      <c r="U6090" s="15" t="n">
        <v>117</v>
      </c>
      <c r="V6090" s="15">
        <f>ROUNDUP((T6090+U6090+2*'Read Me'!$B$13)*(1+'Read Me'!$B$12),-1)</f>
        <v/>
      </c>
      <c r="W6090" s="15">
        <f>V6090*N6090*O6090</f>
        <v/>
      </c>
      <c r="X6090" s="12">
        <f>IF(LEFT(I6090,2)="MV",2*N6090*IF(L6090="1/C",O6090,1),0)</f>
        <v/>
      </c>
      <c r="Y6090" s="12">
        <f>IF(OR(LEFT(K6090,4)="LVAX",LEFT(K6090,6)="MV15AX",LEFT(K6090,4)="CTAX",LEFT(K6090,2)="W|"),2*N6090*O6090,0)</f>
        <v/>
      </c>
      <c r="Z6090" s="12" t="inlineStr">
        <is>
          <t>VD 1.7 %</t>
        </is>
      </c>
      <c r="AA6090" s="12">
        <f>N6090*O6090</f>
        <v/>
      </c>
    </row>
    <row r="6091">
      <c r="A6091" s="12" t="inlineStr">
        <is>
          <t>K-P-0018</t>
        </is>
      </c>
      <c r="B6091" s="12" t="inlineStr">
        <is>
          <t>K</t>
        </is>
      </c>
      <c r="C6091" s="12" t="inlineStr">
        <is>
          <t>Fuel supply (adjacent market)</t>
        </is>
      </c>
      <c r="D6091" s="12" t="inlineStr">
        <is>
          <t>Motor 1 of 1, 15 kW</t>
        </is>
      </c>
      <c r="E6091" s="12" t="inlineStr"/>
      <c r="F6091" s="12" t="inlineStr">
        <is>
          <t>H2 20: 13.8 kV e-house</t>
        </is>
      </c>
      <c r="G6091" s="12" t="inlineStr"/>
      <c r="H6091" s="12" t="inlineStr">
        <is>
          <t>H2 28: N2 purge supply</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53</v>
      </c>
      <c r="U6091" s="15" t="n">
        <v>36</v>
      </c>
      <c r="V6091" s="15">
        <f>ROUNDUP((T6091+U6091+2*'Read Me'!$B$13)*(1+'Read Me'!$B$12),-1)</f>
        <v/>
      </c>
      <c r="W6091" s="15">
        <f>V6091*N6091*O6091</f>
        <v/>
      </c>
      <c r="X6091" s="12">
        <f>IF(LEFT(I6091,2)="MV",2*N6091*IF(L6091="1/C",O6091,1),0)</f>
        <v/>
      </c>
      <c r="Y6091" s="12">
        <f>IF(OR(LEFT(K6091,4)="LVAX",LEFT(K6091,6)="MV15AX",LEFT(K6091,4)="CTAX",LEFT(K6091,2)="W|"),2*N6091*O6091,0)</f>
        <v/>
      </c>
      <c r="Z6091" s="12" t="inlineStr">
        <is>
          <t>VD 0.9 %</t>
        </is>
      </c>
      <c r="AA6091" s="12">
        <f>N6091*O6091</f>
        <v/>
      </c>
    </row>
    <row r="6092">
      <c r="A6092" s="12" t="inlineStr">
        <is>
          <t>K-P-0019</t>
        </is>
      </c>
      <c r="B6092" s="12" t="inlineStr">
        <is>
          <t>K</t>
        </is>
      </c>
      <c r="C6092" s="12" t="inlineStr">
        <is>
          <t>Fuel supply (adjacent market)</t>
        </is>
      </c>
      <c r="D6092" s="12" t="inlineStr">
        <is>
          <t>Motor 1 of 1, 15 kW</t>
        </is>
      </c>
      <c r="E6092" s="12" t="inlineStr"/>
      <c r="F6092" s="12" t="inlineStr">
        <is>
          <t>H2 20: 13.8 kV e-house</t>
        </is>
      </c>
      <c r="G6092" s="12" t="inlineStr"/>
      <c r="H6092" s="12" t="inlineStr">
        <is>
          <t>H2 29: vent stack</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55</v>
      </c>
      <c r="U6092" s="15" t="n">
        <v>205</v>
      </c>
      <c r="V6092" s="15">
        <f>ROUNDUP((T6092+U6092+2*'Read Me'!$B$13)*(1+'Read Me'!$B$12),-1)</f>
        <v/>
      </c>
      <c r="W6092" s="15">
        <f>V6092*N6092*O6092</f>
        <v/>
      </c>
      <c r="X6092" s="12">
        <f>IF(LEFT(I6092,2)="MV",2*N6092*IF(L6092="1/C",O6092,1),0)</f>
        <v/>
      </c>
      <c r="Y6092" s="12">
        <f>IF(OR(LEFT(K6092,4)="LVAX",LEFT(K6092,6)="MV15AX",LEFT(K6092,4)="CTAX",LEFT(K6092,2)="W|"),2*N6092*O6092,0)</f>
        <v/>
      </c>
      <c r="Z6092" s="12" t="inlineStr">
        <is>
          <t>VD 2.7 %</t>
        </is>
      </c>
      <c r="AA6092" s="12">
        <f>N6092*O6092</f>
        <v/>
      </c>
    </row>
    <row r="6093">
      <c r="A6093" s="12" t="inlineStr">
        <is>
          <t>K-P-0020</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H2 30: H2 / gas blending station (plant gas yard)</t>
        </is>
      </c>
      <c r="I6093" s="12" t="inlineStr">
        <is>
          <t>LV 600 V</t>
        </is>
      </c>
      <c r="J6093" s="12" t="inlineStr">
        <is>
          <t>ARMOR-X MC-HL 600 V 3/C Cu XHHW-2 + ground, CWA, black PVC (Class I Div 2)</t>
        </is>
      </c>
      <c r="K6093" s="12" t="inlineStr">
        <is>
          <t>LVAX|3/C+G|4</t>
        </is>
      </c>
      <c r="L6093" s="12" t="inlineStr">
        <is>
          <t>3/C+G</t>
        </is>
      </c>
      <c r="M6093" s="12" t="inlineStr">
        <is>
          <t>4</t>
        </is>
      </c>
      <c r="N6093" s="12" t="n">
        <v>1</v>
      </c>
      <c r="O6093" s="12" t="n">
        <v>1</v>
      </c>
      <c r="P6093" s="12" t="n">
        <v>480</v>
      </c>
      <c r="Q6093" s="12" t="n">
        <v>15</v>
      </c>
      <c r="R6093" s="12" t="n">
        <v>21.2</v>
      </c>
      <c r="S6093" s="12" t="inlineStr">
        <is>
          <t>Duct bank</t>
        </is>
      </c>
      <c r="T6093" s="15" t="n">
        <v>994</v>
      </c>
      <c r="U6093" s="15" t="n">
        <v>114</v>
      </c>
      <c r="V6093" s="15">
        <f>ROUNDUP((T6093+U6093+2*'Read Me'!$B$13)*(1+'Read Me'!$B$12),-1)</f>
        <v/>
      </c>
      <c r="W6093" s="15">
        <f>V6093*N6093*O6093</f>
        <v/>
      </c>
      <c r="X6093" s="12">
        <f>IF(LEFT(I6093,2)="MV",2*N6093*IF(L6093="1/C",O6093,1),0)</f>
        <v/>
      </c>
      <c r="Y6093" s="12">
        <f>IF(OR(LEFT(K6093,4)="LVAX",LEFT(K6093,6)="MV15AX",LEFT(K6093,4)="CTAX",LEFT(K6093,2)="W|"),2*N6093*O6093,0)</f>
        <v/>
      </c>
      <c r="Z6093" s="12" t="inlineStr">
        <is>
          <t>VD 2.9 %</t>
        </is>
      </c>
      <c r="AA6093" s="12">
        <f>N6093*O6093</f>
        <v/>
      </c>
    </row>
    <row r="6094">
      <c r="A6094" s="12" t="inlineStr">
        <is>
          <t>K-P-0021</t>
        </is>
      </c>
      <c r="B6094" s="12" t="inlineStr">
        <is>
          <t>K</t>
        </is>
      </c>
      <c r="C6094" s="12" t="inlineStr">
        <is>
          <t>Fuel supply (adjacent market)</t>
        </is>
      </c>
      <c r="D6094" s="12" t="inlineStr">
        <is>
          <t>Motor 1 of 2, 250 kW</t>
        </is>
      </c>
      <c r="E6094" s="12" t="inlineStr"/>
      <c r="F6094" s="12" t="inlineStr">
        <is>
          <t>H2 20: 13.8 kV e-house</t>
        </is>
      </c>
      <c r="G6094" s="12" t="inlineStr"/>
      <c r="H6094" s="12" t="inlineStr">
        <is>
          <t>H2 pipe track and cable trench, hall -&gt; dryer / compressors (N2, instr</t>
        </is>
      </c>
      <c r="I6094" s="12" t="inlineStr">
        <is>
          <t>LV 600 V</t>
        </is>
      </c>
      <c r="J6094" s="12" t="inlineStr">
        <is>
          <t>ARMOR-X MC-HL 600 V 3/C Cu XHHW-2 + ground, CWA, black PVC (Class I Div 2)</t>
        </is>
      </c>
      <c r="K6094" s="12" t="inlineStr">
        <is>
          <t>LVAX|3/C+G|4/0</t>
        </is>
      </c>
      <c r="L6094" s="12" t="inlineStr">
        <is>
          <t>3/C+G</t>
        </is>
      </c>
      <c r="M6094" s="12" t="inlineStr">
        <is>
          <t>4/0</t>
        </is>
      </c>
      <c r="N6094" s="12" t="n">
        <v>2</v>
      </c>
      <c r="O6094" s="12" t="n">
        <v>1</v>
      </c>
      <c r="P6094" s="12" t="n">
        <v>480</v>
      </c>
      <c r="Q6094" s="12" t="n">
        <v>250</v>
      </c>
      <c r="R6094" s="12" t="n">
        <v>353.8</v>
      </c>
      <c r="S6094" s="12" t="inlineStr">
        <is>
          <t>Duct bank</t>
        </is>
      </c>
      <c r="T6094" s="15" t="n">
        <v>53</v>
      </c>
      <c r="U6094" s="15" t="n">
        <v>62</v>
      </c>
      <c r="V6094" s="15">
        <f>ROUNDUP((T6094+U6094+2*'Read Me'!$B$13)*(1+'Read Me'!$B$12),-1)</f>
        <v/>
      </c>
      <c r="W6094" s="15">
        <f>V6094*N6094*O6094</f>
        <v/>
      </c>
      <c r="X6094" s="12">
        <f>IF(LEFT(I6094,2)="MV",2*N6094*IF(L6094="1/C",O6094,1),0)</f>
        <v/>
      </c>
      <c r="Y6094" s="12">
        <f>IF(OR(LEFT(K6094,4)="LVAX",LEFT(K6094,6)="MV15AX",LEFT(K6094,4)="CTAX",LEFT(K6094,2)="W|"),2*N6094*O6094,0)</f>
        <v/>
      </c>
      <c r="Z6094" s="12" t="inlineStr">
        <is>
          <t>VD 0.5 %</t>
        </is>
      </c>
      <c r="AA6094" s="12">
        <f>N6094*O6094</f>
        <v/>
      </c>
    </row>
    <row r="6095">
      <c r="A6095" s="12" t="inlineStr">
        <is>
          <t>K-P-0022</t>
        </is>
      </c>
      <c r="B6095" s="12" t="inlineStr">
        <is>
          <t>K</t>
        </is>
      </c>
      <c r="C6095" s="12" t="inlineStr">
        <is>
          <t>Fuel supply (adjacent market)</t>
        </is>
      </c>
      <c r="D6095" s="12" t="inlineStr">
        <is>
          <t>Motor 2 of 2, 250 kW</t>
        </is>
      </c>
      <c r="E6095" s="12" t="inlineStr"/>
      <c r="F6095" s="12" t="inlineStr">
        <is>
          <t>H2 20: 13.8 kV e-house</t>
        </is>
      </c>
      <c r="G6095" s="12" t="inlineStr"/>
      <c r="H6095" s="12" t="inlineStr">
        <is>
          <t>H2 pipe track and cable trench, hall -&gt; dryer / compressors (N2, instr</t>
        </is>
      </c>
      <c r="I6095" s="12" t="inlineStr">
        <is>
          <t>LV 600 V</t>
        </is>
      </c>
      <c r="J6095" s="12" t="inlineStr">
        <is>
          <t>ARMOR-X MC-HL 600 V 3/C Cu XHHW-2 + ground, CWA, black PVC (Class I Div 2)</t>
        </is>
      </c>
      <c r="K6095" s="12" t="inlineStr">
        <is>
          <t>LVAX|3/C+G|4/0</t>
        </is>
      </c>
      <c r="L6095" s="12" t="inlineStr">
        <is>
          <t>3/C+G</t>
        </is>
      </c>
      <c r="M6095" s="12" t="inlineStr">
        <is>
          <t>4/0</t>
        </is>
      </c>
      <c r="N6095" s="12" t="n">
        <v>2</v>
      </c>
      <c r="O6095" s="12" t="n">
        <v>1</v>
      </c>
      <c r="P6095" s="12" t="n">
        <v>480</v>
      </c>
      <c r="Q6095" s="12" t="n">
        <v>250</v>
      </c>
      <c r="R6095" s="12" t="n">
        <v>353.8</v>
      </c>
      <c r="S6095" s="12" t="inlineStr">
        <is>
          <t>Duct bank</t>
        </is>
      </c>
      <c r="T6095" s="15" t="n">
        <v>53</v>
      </c>
      <c r="U6095" s="15" t="n">
        <v>62</v>
      </c>
      <c r="V6095" s="15">
        <f>ROUNDUP((T6095+U6095+2*'Read Me'!$B$13)*(1+'Read Me'!$B$12),-1)</f>
        <v/>
      </c>
      <c r="W6095" s="15">
        <f>V6095*N6095*O6095</f>
        <v/>
      </c>
      <c r="X6095" s="12">
        <f>IF(LEFT(I6095,2)="MV",2*N6095*IF(L6095="1/C",O6095,1),0)</f>
        <v/>
      </c>
      <c r="Y6095" s="12">
        <f>IF(OR(LEFT(K6095,4)="LVAX",LEFT(K6095,6)="MV15AX",LEFT(K6095,4)="CTAX",LEFT(K6095,2)="W|"),2*N6095*O6095,0)</f>
        <v/>
      </c>
      <c r="Z6095" s="12" t="inlineStr">
        <is>
          <t>VD 0.5 %</t>
        </is>
      </c>
      <c r="AA6095" s="12">
        <f>N6095*O6095</f>
        <v/>
      </c>
    </row>
    <row r="6096">
      <c r="A6096" s="12" t="inlineStr">
        <is>
          <t>K-P-0023</t>
        </is>
      </c>
      <c r="B6096" s="12" t="inlineStr">
        <is>
          <t>K</t>
        </is>
      </c>
      <c r="C6096" s="12" t="inlineStr">
        <is>
          <t>Fuel supply (adjacent market)</t>
        </is>
      </c>
      <c r="D6096" s="12" t="inlineStr">
        <is>
          <t>LV power feeder</t>
        </is>
      </c>
      <c r="E6096" s="12" t="inlineStr"/>
      <c r="F6096" s="12" t="inlineStr">
        <is>
          <t>H2 20: 13.8 kV e-house</t>
        </is>
      </c>
      <c r="G6096" s="12" t="inlineStr">
        <is>
          <t>H2-ST</t>
        </is>
      </c>
      <c r="H6096" s="12" t="inlineStr">
        <is>
          <t>H2 storage tube banks x4</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Duct bank</t>
        </is>
      </c>
      <c r="T6096" s="15" t="n">
        <v>50</v>
      </c>
      <c r="U6096" s="15" t="n">
        <v>92</v>
      </c>
      <c r="V6096" s="15">
        <f>ROUNDUP((T6096+U6096+2*'Read Me'!$B$13)*(1+'Read Me'!$B$12),-1)</f>
        <v/>
      </c>
      <c r="W6096" s="15">
        <f>V6096*N6096*O6096</f>
        <v/>
      </c>
      <c r="X6096" s="12">
        <f>IF(LEFT(I6096,2)="MV",2*N6096*IF(L6096="1/C",O6096,1),0)</f>
        <v/>
      </c>
      <c r="Y6096" s="12">
        <f>IF(OR(LEFT(K6096,4)="LVAX",LEFT(K6096,6)="MV15AX",LEFT(K6096,4)="CTAX",LEFT(K6096,2)="W|"),2*N6096*O6096,0)</f>
        <v/>
      </c>
      <c r="Z6096" s="12" t="inlineStr">
        <is>
          <t>VD 1.4 %</t>
        </is>
      </c>
      <c r="AA6096" s="12">
        <f>N6096*O6096</f>
        <v/>
      </c>
    </row>
    <row r="6097">
      <c r="A6097" s="12" t="inlineStr">
        <is>
          <t>K-P-0024</t>
        </is>
      </c>
      <c r="B6097" s="12" t="inlineStr">
        <is>
          <t>K</t>
        </is>
      </c>
      <c r="C6097" s="12" t="inlineStr">
        <is>
          <t>Fuel supply (adjacent market)</t>
        </is>
      </c>
      <c r="D6097" s="12" t="inlineStr">
        <is>
          <t>LV power feeder</t>
        </is>
      </c>
      <c r="E6097" s="12" t="inlineStr"/>
      <c r="F6097" s="12" t="inlineStr">
        <is>
          <t>H2 20: 13.8 kV e-house</t>
        </is>
      </c>
      <c r="G6097" s="12" t="inlineStr">
        <is>
          <t>H2R</t>
        </is>
      </c>
      <c r="H6097" s="12" t="inlineStr">
        <is>
          <t>H2R: hydrogen pipeline receiving station (pig receiver, filters, meter</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15</v>
      </c>
      <c r="R6097" s="12" t="n">
        <v>21.2</v>
      </c>
      <c r="S6097" s="12" t="inlineStr">
        <is>
          <t>Duct bank</t>
        </is>
      </c>
      <c r="T6097" s="15" t="n">
        <v>40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0.7 %</t>
        </is>
      </c>
      <c r="AA6097" s="12">
        <f>N6097*O6097</f>
        <v/>
      </c>
    </row>
    <row r="6098">
      <c r="A6098" s="12" t="inlineStr">
        <is>
          <t>K-P-0025</t>
        </is>
      </c>
      <c r="B6098" s="12" t="inlineStr">
        <is>
          <t>K</t>
        </is>
      </c>
      <c r="C6098" s="12" t="inlineStr">
        <is>
          <t>Fuel supply (adjacent market)</t>
        </is>
      </c>
      <c r="D6098" s="12" t="inlineStr">
        <is>
          <t>Motor 1 of 1, 15 kW</t>
        </is>
      </c>
      <c r="E6098" s="12" t="inlineStr"/>
      <c r="F6098" s="12" t="inlineStr">
        <is>
          <t>LNG 17: LNG e-house (13.8 kV / 480 V)</t>
        </is>
      </c>
      <c r="G6098" s="12" t="inlineStr"/>
      <c r="H6098" s="12" t="inlineStr">
        <is>
          <t>LNG 10: truck unloading bay 1</t>
        </is>
      </c>
      <c r="I6098" s="12" t="inlineStr">
        <is>
          <t>LV 600 V</t>
        </is>
      </c>
      <c r="J6098" s="12" t="inlineStr">
        <is>
          <t>ARMOR-X MC-HL 600 V 3/C Cu XHHW-2 + ground, CWA, black PVC (Class I Div 2)</t>
        </is>
      </c>
      <c r="K6098" s="12" t="inlineStr">
        <is>
          <t>LVAX|3/C+G|8</t>
        </is>
      </c>
      <c r="L6098" s="12" t="inlineStr">
        <is>
          <t>3/C+G</t>
        </is>
      </c>
      <c r="M6098" s="12" t="inlineStr">
        <is>
          <t>8</t>
        </is>
      </c>
      <c r="N6098" s="12" t="n">
        <v>1</v>
      </c>
      <c r="O6098" s="12" t="n">
        <v>1</v>
      </c>
      <c r="P6098" s="12" t="n">
        <v>480</v>
      </c>
      <c r="Q6098" s="12" t="n">
        <v>15</v>
      </c>
      <c r="R6098" s="12" t="n">
        <v>21.2</v>
      </c>
      <c r="S6098" s="12" t="inlineStr">
        <is>
          <t>Duct bank</t>
        </is>
      </c>
      <c r="T6098" s="15" t="n">
        <v>237</v>
      </c>
      <c r="U6098" s="15" t="n">
        <v>61</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K-P-0026</t>
        </is>
      </c>
      <c r="B6099" s="12" t="inlineStr">
        <is>
          <t>K</t>
        </is>
      </c>
      <c r="C6099" s="12" t="inlineStr">
        <is>
          <t>Fuel supply (adjacent market)</t>
        </is>
      </c>
      <c r="D6099" s="12" t="inlineStr">
        <is>
          <t>Motor 1 of 1, 15 kW</t>
        </is>
      </c>
      <c r="E6099" s="12" t="inlineStr"/>
      <c r="F6099" s="12" t="inlineStr">
        <is>
          <t>LNG 17: LNG e-house (13.8 kV / 480 V)</t>
        </is>
      </c>
      <c r="G6099" s="12" t="inlineStr"/>
      <c r="H6099" s="12" t="inlineStr">
        <is>
          <t>LNG 10: truck unloading bay 2</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15</v>
      </c>
      <c r="R6099" s="12" t="n">
        <v>21.2</v>
      </c>
      <c r="S6099" s="12" t="inlineStr">
        <is>
          <t>Duct bank</t>
        </is>
      </c>
      <c r="T6099" s="15" t="n">
        <v>147</v>
      </c>
      <c r="U6099" s="15" t="n">
        <v>66</v>
      </c>
      <c r="V6099" s="15">
        <f>ROUNDUP((T6099+U6099+2*'Read Me'!$B$13)*(1+'Read Me'!$B$12),-1)</f>
        <v/>
      </c>
      <c r="W6099" s="15">
        <f>V6099*N6099*O6099</f>
        <v/>
      </c>
      <c r="X6099" s="12">
        <f>IF(LEFT(I6099,2)="MV",2*N6099*IF(L6099="1/C",O6099,1),0)</f>
        <v/>
      </c>
      <c r="Y6099" s="12">
        <f>IF(OR(LEFT(K6099,4)="LVAX",LEFT(K6099,6)="MV15AX",LEFT(K6099,4)="CTAX",LEFT(K6099,2)="W|"),2*N6099*O6099,0)</f>
        <v/>
      </c>
      <c r="Z6099" s="12" t="inlineStr">
        <is>
          <t>VD 2.2 %</t>
        </is>
      </c>
      <c r="AA6099" s="12">
        <f>N6099*O6099</f>
        <v/>
      </c>
    </row>
    <row r="6100">
      <c r="A6100" s="12" t="inlineStr">
        <is>
          <t>K-P-0027</t>
        </is>
      </c>
      <c r="B6100" s="12" t="inlineStr">
        <is>
          <t>K</t>
        </is>
      </c>
      <c r="C6100" s="12" t="inlineStr">
        <is>
          <t>Fuel supply (adjacent market)</t>
        </is>
      </c>
      <c r="D6100" s="12" t="inlineStr">
        <is>
          <t>Motor 1 of 1, 15 kW</t>
        </is>
      </c>
      <c r="E6100" s="12" t="inlineStr"/>
      <c r="F6100" s="12" t="inlineStr">
        <is>
          <t>LNG 17: LNG e-house (13.8 kV / 480 V)</t>
        </is>
      </c>
      <c r="G6100" s="12" t="inlineStr"/>
      <c r="H6100" s="12" t="inlineStr">
        <is>
          <t>LNG 10: unloading skid</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15</v>
      </c>
      <c r="R6100" s="12" t="n">
        <v>21.2</v>
      </c>
      <c r="S6100" s="12" t="inlineStr">
        <is>
          <t>Duct bank</t>
        </is>
      </c>
      <c r="T6100" s="15" t="n">
        <v>237</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2.7 %</t>
        </is>
      </c>
      <c r="AA6100" s="12">
        <f>N6100*O6100</f>
        <v/>
      </c>
    </row>
    <row r="6101">
      <c r="A6101" s="12" t="inlineStr">
        <is>
          <t>K-P-0028</t>
        </is>
      </c>
      <c r="B6101" s="12" t="inlineStr">
        <is>
          <t>K</t>
        </is>
      </c>
      <c r="C6101" s="12" t="inlineStr">
        <is>
          <t>Fuel supply (adjacent market)</t>
        </is>
      </c>
      <c r="D6101" s="12" t="inlineStr">
        <is>
          <t>LV power feeder</t>
        </is>
      </c>
      <c r="E6101" s="12" t="inlineStr"/>
      <c r="F6101" s="12" t="inlineStr">
        <is>
          <t>LNG 17: LNG e-house (13.8 kV / 480 V)</t>
        </is>
      </c>
      <c r="G6101" s="12" t="inlineStr">
        <is>
          <t>LNG-T1</t>
        </is>
      </c>
      <c r="H6101" s="12" t="inlineStr">
        <is>
          <t>LNG 11: tank 1,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210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1.6 %</t>
        </is>
      </c>
      <c r="AA6101" s="12">
        <f>N6101*O6101</f>
        <v/>
      </c>
    </row>
    <row r="6102">
      <c r="A6102" s="12" t="inlineStr">
        <is>
          <t>K-P-0029</t>
        </is>
      </c>
      <c r="B6102" s="12" t="inlineStr">
        <is>
          <t>K</t>
        </is>
      </c>
      <c r="C6102" s="12" t="inlineStr">
        <is>
          <t>Fuel supply (adjacent market)</t>
        </is>
      </c>
      <c r="D6102" s="12" t="inlineStr">
        <is>
          <t>LV power feeder</t>
        </is>
      </c>
      <c r="E6102" s="12" t="inlineStr"/>
      <c r="F6102" s="12" t="inlineStr">
        <is>
          <t>LNG 17: LNG e-house (13.8 kV / 480 V)</t>
        </is>
      </c>
      <c r="G6102" s="12" t="inlineStr">
        <is>
          <t>LNG-T2</t>
        </is>
      </c>
      <c r="H6102" s="12" t="inlineStr">
        <is>
          <t>LNG 11: tank 2,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230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1.8 %</t>
        </is>
      </c>
      <c r="AA6102" s="12">
        <f>N6102*O6102</f>
        <v/>
      </c>
    </row>
    <row r="6103">
      <c r="A6103" s="12" t="inlineStr">
        <is>
          <t>K-P-0030</t>
        </is>
      </c>
      <c r="B6103" s="12" t="inlineStr">
        <is>
          <t>K</t>
        </is>
      </c>
      <c r="C6103" s="12" t="inlineStr">
        <is>
          <t>Fuel supply (adjacent market)</t>
        </is>
      </c>
      <c r="D6103" s="12" t="inlineStr">
        <is>
          <t>LV power feeder</t>
        </is>
      </c>
      <c r="E6103" s="12" t="inlineStr"/>
      <c r="F6103" s="12" t="inlineStr">
        <is>
          <t>LNG 17: LNG e-house (13.8 kV / 480 V)</t>
        </is>
      </c>
      <c r="G6103" s="12" t="inlineStr">
        <is>
          <t>LNG-T3</t>
        </is>
      </c>
      <c r="H6103" s="12" t="inlineStr">
        <is>
          <t>LNG 11: tank 3,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250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1.9 %</t>
        </is>
      </c>
      <c r="AA6103" s="12">
        <f>N6103*O6103</f>
        <v/>
      </c>
    </row>
    <row r="6104">
      <c r="A6104" s="12" t="inlineStr">
        <is>
          <t>K-P-0031</t>
        </is>
      </c>
      <c r="B6104" s="12" t="inlineStr">
        <is>
          <t>K</t>
        </is>
      </c>
      <c r="C6104" s="12" t="inlineStr">
        <is>
          <t>Fuel supply (adjacent market)</t>
        </is>
      </c>
      <c r="D6104" s="12" t="inlineStr">
        <is>
          <t>LV power feeder</t>
        </is>
      </c>
      <c r="E6104" s="12" t="inlineStr"/>
      <c r="F6104" s="12" t="inlineStr">
        <is>
          <t>LNG 17: LNG e-house (13.8 kV / 480 V)</t>
        </is>
      </c>
      <c r="G6104" s="12" t="inlineStr">
        <is>
          <t>LNG-T4</t>
        </is>
      </c>
      <c r="H6104" s="12" t="inlineStr">
        <is>
          <t>LNG 11: tank 4, Chart HS 50000 (51,780 gal)</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10</v>
      </c>
      <c r="R6104" s="12" t="n">
        <v>14.2</v>
      </c>
      <c r="S6104" s="12" t="inlineStr">
        <is>
          <t>Duct bank</t>
        </is>
      </c>
      <c r="T6104" s="15" t="n">
        <v>270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2.1 %</t>
        </is>
      </c>
      <c r="AA6104" s="12">
        <f>N6104*O6104</f>
        <v/>
      </c>
    </row>
    <row r="6105">
      <c r="A6105" s="12" t="inlineStr">
        <is>
          <t>K-P-0032</t>
        </is>
      </c>
      <c r="B6105" s="12" t="inlineStr">
        <is>
          <t>K</t>
        </is>
      </c>
      <c r="C6105" s="12" t="inlineStr">
        <is>
          <t>Fuel supply (adjacent market)</t>
        </is>
      </c>
      <c r="D6105" s="12" t="inlineStr">
        <is>
          <t>LV power feeder</t>
        </is>
      </c>
      <c r="E6105" s="12" t="inlineStr"/>
      <c r="F6105" s="12" t="inlineStr">
        <is>
          <t>LNG 17: LNG e-house (13.8 kV / 480 V)</t>
        </is>
      </c>
      <c r="G6105" s="12" t="inlineStr">
        <is>
          <t>LNG-T5</t>
        </is>
      </c>
      <c r="H6105" s="12" t="inlineStr">
        <is>
          <t>LNG 11: tank 5, Chart HS 50000 (51,780 gal)</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10</v>
      </c>
      <c r="R6105" s="12" t="n">
        <v>14.2</v>
      </c>
      <c r="S6105" s="12" t="inlineStr">
        <is>
          <t>Duct bank</t>
        </is>
      </c>
      <c r="T6105" s="15" t="n">
        <v>290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2.2 %</t>
        </is>
      </c>
      <c r="AA6105" s="12">
        <f>N6105*O6105</f>
        <v/>
      </c>
    </row>
    <row r="6106">
      <c r="A6106" s="12" t="inlineStr">
        <is>
          <t>K-P-0033</t>
        </is>
      </c>
      <c r="B6106" s="12" t="inlineStr">
        <is>
          <t>K</t>
        </is>
      </c>
      <c r="C6106" s="12" t="inlineStr">
        <is>
          <t>Fuel supply (adjacent market)</t>
        </is>
      </c>
      <c r="D6106" s="12" t="inlineStr">
        <is>
          <t>LV power feeder</t>
        </is>
      </c>
      <c r="E6106" s="12" t="inlineStr"/>
      <c r="F6106" s="12" t="inlineStr">
        <is>
          <t>LNG 17: LNG e-house (13.8 kV / 480 V)</t>
        </is>
      </c>
      <c r="G6106" s="12" t="inlineStr">
        <is>
          <t>LNG-T6</t>
        </is>
      </c>
      <c r="H6106" s="12" t="inlineStr">
        <is>
          <t>LNG 11: tank 6, Chart HS 50000 (51,780 gal)</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10</v>
      </c>
      <c r="R6106" s="12" t="n">
        <v>14.2</v>
      </c>
      <c r="S6106" s="12" t="inlineStr">
        <is>
          <t>Duct bank</t>
        </is>
      </c>
      <c r="T6106" s="15" t="n">
        <v>310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2.3 %</t>
        </is>
      </c>
      <c r="AA6106" s="12">
        <f>N6106*O6106</f>
        <v/>
      </c>
    </row>
    <row r="6107">
      <c r="A6107" s="12" t="inlineStr">
        <is>
          <t>K-P-0034</t>
        </is>
      </c>
      <c r="B6107" s="12" t="inlineStr">
        <is>
          <t>K</t>
        </is>
      </c>
      <c r="C6107" s="12" t="inlineStr">
        <is>
          <t>Fuel supply (adjacent market)</t>
        </is>
      </c>
      <c r="D6107" s="12" t="inlineStr">
        <is>
          <t>LV power feeder</t>
        </is>
      </c>
      <c r="E6107" s="12" t="inlineStr"/>
      <c r="F6107" s="12" t="inlineStr">
        <is>
          <t>LNG 17: LNG e-house (13.8 kV / 480 V)</t>
        </is>
      </c>
      <c r="G6107" s="12" t="inlineStr">
        <is>
          <t>LNG-T7</t>
        </is>
      </c>
      <c r="H6107" s="12" t="inlineStr">
        <is>
          <t>LNG 11: tank 7, Chart HS 50000 (51,780 gal)</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10</v>
      </c>
      <c r="R6107" s="12" t="n">
        <v>14.2</v>
      </c>
      <c r="S6107" s="12" t="inlineStr">
        <is>
          <t>Duct bank</t>
        </is>
      </c>
      <c r="T6107" s="15" t="n">
        <v>330</v>
      </c>
      <c r="U6107" s="15" t="n">
        <v>32</v>
      </c>
      <c r="V6107" s="15">
        <f>ROUNDUP((T6107+U6107+2*'Read Me'!$B$13)*(1+'Read Me'!$B$12),-1)</f>
        <v/>
      </c>
      <c r="W6107" s="15">
        <f>V6107*N6107*O6107</f>
        <v/>
      </c>
      <c r="X6107" s="12">
        <f>IF(LEFT(I6107,2)="MV",2*N6107*IF(L6107="1/C",O6107,1),0)</f>
        <v/>
      </c>
      <c r="Y6107" s="12">
        <f>IF(OR(LEFT(K6107,4)="LVAX",LEFT(K6107,6)="MV15AX",LEFT(K6107,4)="CTAX",LEFT(K6107,2)="W|"),2*N6107*O6107,0)</f>
        <v/>
      </c>
      <c r="Z6107" s="12" t="inlineStr">
        <is>
          <t>VD 2.5 %</t>
        </is>
      </c>
      <c r="AA6107" s="12">
        <f>N6107*O6107</f>
        <v/>
      </c>
    </row>
    <row r="6108">
      <c r="A6108" s="12" t="inlineStr">
        <is>
          <t>K-P-0035</t>
        </is>
      </c>
      <c r="B6108" s="12" t="inlineStr">
        <is>
          <t>K</t>
        </is>
      </c>
      <c r="C6108" s="12" t="inlineStr">
        <is>
          <t>Fuel supply (adjacent market)</t>
        </is>
      </c>
      <c r="D6108" s="12" t="inlineStr">
        <is>
          <t>LV power feeder</t>
        </is>
      </c>
      <c r="E6108" s="12" t="inlineStr"/>
      <c r="F6108" s="12" t="inlineStr">
        <is>
          <t>LNG 17: LNG e-house (13.8 kV / 480 V)</t>
        </is>
      </c>
      <c r="G6108" s="12" t="inlineStr">
        <is>
          <t>LNG-T8</t>
        </is>
      </c>
      <c r="H6108" s="12" t="inlineStr">
        <is>
          <t>LNG 11: tank 8, Chart HS 50000 (51,780 gal)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10</v>
      </c>
      <c r="R6108" s="12" t="n">
        <v>14.2</v>
      </c>
      <c r="S6108" s="12" t="inlineStr">
        <is>
          <t>Duct bank</t>
        </is>
      </c>
      <c r="T6108" s="15" t="n">
        <v>350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2.6 %</t>
        </is>
      </c>
      <c r="AA6108" s="12">
        <f>N6108*O6108</f>
        <v/>
      </c>
    </row>
    <row r="6109">
      <c r="A6109" s="12" t="inlineStr">
        <is>
          <t>K-P-0036</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12: spill impoundment (NFPA 59A, to verify)</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Duct bank</t>
        </is>
      </c>
      <c r="T6109" s="15" t="n">
        <v>230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2.7 %</t>
        </is>
      </c>
      <c r="AA6109" s="12">
        <f>N6109*O6109</f>
        <v/>
      </c>
    </row>
    <row r="6110">
      <c r="A6110" s="12" t="inlineStr">
        <is>
          <t>K-P-0037</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13: send-out pumps 2 x 100%</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110</v>
      </c>
      <c r="U6110" s="15" t="n">
        <v>32</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K-P-0038</t>
        </is>
      </c>
      <c r="B6111" s="12" t="inlineStr">
        <is>
          <t>K</t>
        </is>
      </c>
      <c r="C6111" s="12" t="inlineStr">
        <is>
          <t>Fuel supply (adjacent market)</t>
        </is>
      </c>
      <c r="D6111" s="12" t="inlineStr">
        <is>
          <t>Motor 1 of 1, 15 kW</t>
        </is>
      </c>
      <c r="E6111" s="12" t="inlineStr"/>
      <c r="F6111" s="12" t="inlineStr">
        <is>
          <t>LNG 17: LNG e-house (13.8 kV / 480 V)</t>
        </is>
      </c>
      <c r="G6111" s="12" t="inlineStr"/>
      <c r="H6111" s="12" t="inlineStr">
        <is>
          <t>LNG 14: vaporizers + glycol heater</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5" t="n">
        <v>259</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3.0 %</t>
        </is>
      </c>
      <c r="AA6111" s="12">
        <f>N6111*O6111</f>
        <v/>
      </c>
    </row>
    <row r="6112">
      <c r="A6112" s="12" t="inlineStr">
        <is>
          <t>K-P-0039</t>
        </is>
      </c>
      <c r="B6112" s="12" t="inlineStr">
        <is>
          <t>K</t>
        </is>
      </c>
      <c r="C6112" s="12" t="inlineStr">
        <is>
          <t>Fuel supply (adjacent market)</t>
        </is>
      </c>
      <c r="D6112" s="12" t="inlineStr">
        <is>
          <t>Motor 1 of 1, 15 kW</t>
        </is>
      </c>
      <c r="E6112" s="12" t="inlineStr"/>
      <c r="F6112" s="12" t="inlineStr">
        <is>
          <t>LNG 17: LNG e-house (13.8 kV / 480 V)</t>
        </is>
      </c>
      <c r="G6112" s="12" t="inlineStr"/>
      <c r="H6112" s="12" t="inlineStr">
        <is>
          <t>LNG 15: boil-off gas compressor</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25</v>
      </c>
      <c r="U6112" s="15" t="n">
        <v>54</v>
      </c>
      <c r="V6112" s="15">
        <f>ROUNDUP((T6112+U6112+2*'Read Me'!$B$13)*(1+'Read Me'!$B$12),-1)</f>
        <v/>
      </c>
      <c r="W6112" s="15">
        <f>V6112*N6112*O6112</f>
        <v/>
      </c>
      <c r="X6112" s="12">
        <f>IF(LEFT(I6112,2)="MV",2*N6112*IF(L6112="1/C",O6112,1),0)</f>
        <v/>
      </c>
      <c r="Y6112" s="12">
        <f>IF(OR(LEFT(K6112,4)="LVAX",LEFT(K6112,6)="MV15AX",LEFT(K6112,4)="CTAX",LEFT(K6112,2)="W|"),2*N6112*O6112,0)</f>
        <v/>
      </c>
      <c r="Z6112" s="12" t="inlineStr">
        <is>
          <t>VD 0.8 %</t>
        </is>
      </c>
      <c r="AA6112" s="12">
        <f>N6112*O6112</f>
        <v/>
      </c>
    </row>
    <row r="6113">
      <c r="A6113" s="12" t="inlineStr">
        <is>
          <t>K-P-0040</t>
        </is>
      </c>
      <c r="B6113" s="12" t="inlineStr">
        <is>
          <t>K</t>
        </is>
      </c>
      <c r="C6113" s="12" t="inlineStr">
        <is>
          <t>Fuel supply (adjacent market)</t>
        </is>
      </c>
      <c r="D6113" s="12" t="inlineStr">
        <is>
          <t>Motor 1 of 1, 15 kW</t>
        </is>
      </c>
      <c r="E6113" s="12" t="inlineStr"/>
      <c r="F6113" s="12" t="inlineStr">
        <is>
          <t>LNG 17: LNG e-house (13.8 kV / 480 V)</t>
        </is>
      </c>
      <c r="G6113" s="12" t="inlineStr"/>
      <c r="H6113" s="12" t="inlineStr">
        <is>
          <t>LNG 16: send-out metering + pressure control</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20</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0.5 %</t>
        </is>
      </c>
      <c r="AA6113" s="12">
        <f>N6113*O6113</f>
        <v/>
      </c>
    </row>
    <row r="6114">
      <c r="A6114" s="12" t="inlineStr">
        <is>
          <t>K-P-0041</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LNG 17: LNG e-house (13.8 kV / 480 V)</t>
        </is>
      </c>
      <c r="I6114" s="12" t="inlineStr">
        <is>
          <t>LV 600 V</t>
        </is>
      </c>
      <c r="J6114" s="12" t="inlineStr">
        <is>
          <t>ARMOR-X MC-HL 600 V 3/C Cu XHHW-2 + ground, CWA, black PVC (Class I Div 2)</t>
        </is>
      </c>
      <c r="K6114" s="12" t="inlineStr">
        <is>
          <t>LVAX|3/C+G|10</t>
        </is>
      </c>
      <c r="L6114" s="12" t="inlineStr">
        <is>
          <t>3/C+G</t>
        </is>
      </c>
      <c r="M6114" s="12" t="inlineStr">
        <is>
          <t>10</t>
        </is>
      </c>
      <c r="N6114" s="12" t="n">
        <v>1</v>
      </c>
      <c r="O6114" s="12" t="n">
        <v>1</v>
      </c>
      <c r="P6114" s="12" t="n">
        <v>480</v>
      </c>
      <c r="Q6114" s="12" t="n">
        <v>15</v>
      </c>
      <c r="R6114" s="12" t="n">
        <v>21.2</v>
      </c>
      <c r="S6114" s="12" t="inlineStr">
        <is>
          <t>Tray</t>
        </is>
      </c>
      <c r="T6114" s="15" t="n">
        <v>0</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0.3 %</t>
        </is>
      </c>
      <c r="AA6114" s="12">
        <f>N6114*O6114</f>
        <v/>
      </c>
    </row>
    <row r="6115">
      <c r="A6115" s="12" t="inlineStr">
        <is>
          <t>K-P-0042</t>
        </is>
      </c>
      <c r="B6115" s="12" t="inlineStr">
        <is>
          <t>K</t>
        </is>
      </c>
      <c r="C6115" s="12" t="inlineStr">
        <is>
          <t>Fuel supply (adjacent market)</t>
        </is>
      </c>
      <c r="D6115" s="12" t="inlineStr">
        <is>
          <t>Motor 1 of 1, 15 kW</t>
        </is>
      </c>
      <c r="E6115" s="12" t="inlineStr"/>
      <c r="F6115" s="12" t="inlineStr">
        <is>
          <t>LNG 17: LNG e-house (13.8 kV / 480 V)</t>
        </is>
      </c>
      <c r="G6115" s="12" t="inlineStr"/>
      <c r="H6115" s="12" t="inlineStr">
        <is>
          <t>LNG 18: vent stack</t>
        </is>
      </c>
      <c r="I6115" s="12" t="inlineStr">
        <is>
          <t>LV 600 V</t>
        </is>
      </c>
      <c r="J6115" s="12" t="inlineStr">
        <is>
          <t>ARMOR-X MC-HL 600 V 3/C Cu XHHW-2 + ground, CWA, black PVC (Class I Div 2)</t>
        </is>
      </c>
      <c r="K6115" s="12" t="inlineStr">
        <is>
          <t>LVAX|3/C+G|10</t>
        </is>
      </c>
      <c r="L6115" s="12" t="inlineStr">
        <is>
          <t>3/C+G</t>
        </is>
      </c>
      <c r="M6115" s="12" t="inlineStr">
        <is>
          <t>10</t>
        </is>
      </c>
      <c r="N6115" s="12" t="n">
        <v>1</v>
      </c>
      <c r="O6115" s="12" t="n">
        <v>1</v>
      </c>
      <c r="P6115" s="12" t="n">
        <v>480</v>
      </c>
      <c r="Q6115" s="12" t="n">
        <v>15</v>
      </c>
      <c r="R6115" s="12" t="n">
        <v>21.2</v>
      </c>
      <c r="S6115" s="12" t="inlineStr">
        <is>
          <t>Duct bank</t>
        </is>
      </c>
      <c r="T6115" s="15" t="n">
        <v>25</v>
      </c>
      <c r="U6115" s="15" t="n">
        <v>117</v>
      </c>
      <c r="V6115" s="15">
        <f>ROUNDUP((T6115+U6115+2*'Read Me'!$B$13)*(1+'Read Me'!$B$12),-1)</f>
        <v/>
      </c>
      <c r="W6115" s="15">
        <f>V6115*N6115*O6115</f>
        <v/>
      </c>
      <c r="X6115" s="12">
        <f>IF(LEFT(I6115,2)="MV",2*N6115*IF(L6115="1/C",O6115,1),0)</f>
        <v/>
      </c>
      <c r="Y6115" s="12">
        <f>IF(OR(LEFT(K6115,4)="LVAX",LEFT(K6115,6)="MV15AX",LEFT(K6115,4)="CTAX",LEFT(K6115,2)="W|"),2*N6115*O6115,0)</f>
        <v/>
      </c>
      <c r="Z6115" s="12" t="inlineStr">
        <is>
          <t>VD 1.4 %</t>
        </is>
      </c>
      <c r="AA6115" s="12">
        <f>N6115*O6115</f>
        <v/>
      </c>
    </row>
    <row r="6116">
      <c r="A6116" s="12" t="inlineStr">
        <is>
          <t>K-P-0043</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LNG impoundment sump pump</t>
        </is>
      </c>
      <c r="I6116" s="12" t="inlineStr">
        <is>
          <t>LV 600 V</t>
        </is>
      </c>
      <c r="J6116" s="12" t="inlineStr">
        <is>
          <t>ARMOR-X MC-HL 600 V 3/C Cu XHHW-2 + ground, CWA, black PVC (Class I Div 2)</t>
        </is>
      </c>
      <c r="K6116" s="12" t="inlineStr">
        <is>
          <t>LVAX|3/C+G|8</t>
        </is>
      </c>
      <c r="L6116" s="12" t="inlineStr">
        <is>
          <t>3/C+G</t>
        </is>
      </c>
      <c r="M6116" s="12" t="inlineStr">
        <is>
          <t>8</t>
        </is>
      </c>
      <c r="N6116" s="12" t="n">
        <v>1</v>
      </c>
      <c r="O6116" s="12" t="n">
        <v>1</v>
      </c>
      <c r="P6116" s="12" t="n">
        <v>480</v>
      </c>
      <c r="Q6116" s="12" t="n">
        <v>15</v>
      </c>
      <c r="R6116" s="12" t="n">
        <v>21.2</v>
      </c>
      <c r="S6116" s="12" t="inlineStr">
        <is>
          <t>Duct bank</t>
        </is>
      </c>
      <c r="T6116" s="15" t="n">
        <v>334</v>
      </c>
      <c r="U6116" s="15" t="n">
        <v>32</v>
      </c>
      <c r="V6116" s="15">
        <f>ROUNDUP((T6116+U6116+2*'Read Me'!$B$13)*(1+'Read Me'!$B$12),-1)</f>
        <v/>
      </c>
      <c r="W6116" s="15">
        <f>V6116*N6116*O6116</f>
        <v/>
      </c>
      <c r="X6116" s="12">
        <f>IF(LEFT(I6116,2)="MV",2*N6116*IF(L6116="1/C",O6116,1),0)</f>
        <v/>
      </c>
      <c r="Y6116" s="12">
        <f>IF(OR(LEFT(K6116,4)="LVAX",LEFT(K6116,6)="MV15AX",LEFT(K6116,4)="CTAX",LEFT(K6116,2)="W|"),2*N6116*O6116,0)</f>
        <v/>
      </c>
      <c r="Z6116" s="12" t="inlineStr">
        <is>
          <t>VD 2.4 %</t>
        </is>
      </c>
      <c r="AA6116" s="12">
        <f>N6116*O6116</f>
        <v/>
      </c>
    </row>
    <row r="6117">
      <c r="A6117" s="12" t="inlineStr">
        <is>
          <t>K-P-0044</t>
        </is>
      </c>
      <c r="B6117" s="12" t="inlineStr">
        <is>
          <t>K</t>
        </is>
      </c>
      <c r="C6117" s="12" t="inlineStr">
        <is>
          <t>Fuel supply (adjacent market)</t>
        </is>
      </c>
      <c r="D6117" s="12" t="inlineStr">
        <is>
          <t>LV power feeder</t>
        </is>
      </c>
      <c r="E6117" s="12" t="inlineStr"/>
      <c r="F6117" s="12" t="inlineStr">
        <is>
          <t>LNG 17: LNG e-house (13.8 kV / 480 V)</t>
        </is>
      </c>
      <c r="G6117" s="12" t="inlineStr"/>
      <c r="H6117" s="12" t="inlineStr">
        <is>
          <t>M&amp;R 2: insulating joint + ESD valve</t>
        </is>
      </c>
      <c r="I6117" s="12" t="inlineStr">
        <is>
          <t>LV 600 V</t>
        </is>
      </c>
      <c r="J6117" s="12" t="inlineStr">
        <is>
          <t>ARMOR-X MC-HL 600 V 3/C Cu XHHW-2 + ground, CWA, black PVC (Class I Div 2)</t>
        </is>
      </c>
      <c r="K6117" s="12" t="inlineStr">
        <is>
          <t>LVAX|3/C+G|6</t>
        </is>
      </c>
      <c r="L6117" s="12" t="inlineStr">
        <is>
          <t>3/C+G</t>
        </is>
      </c>
      <c r="M6117" s="12" t="inlineStr">
        <is>
          <t>6</t>
        </is>
      </c>
      <c r="N6117" s="12" t="n">
        <v>1</v>
      </c>
      <c r="O6117" s="12" t="n">
        <v>1</v>
      </c>
      <c r="P6117" s="12" t="n">
        <v>480</v>
      </c>
      <c r="Q6117" s="12" t="n">
        <v>10</v>
      </c>
      <c r="R6117" s="12" t="n">
        <v>14.2</v>
      </c>
      <c r="S6117" s="12" t="inlineStr">
        <is>
          <t>Duct bank</t>
        </is>
      </c>
      <c r="T6117" s="15" t="n">
        <v>758</v>
      </c>
      <c r="U6117" s="15" t="n">
        <v>32</v>
      </c>
      <c r="V6117" s="15">
        <f>ROUNDUP((T6117+U6117+2*'Read Me'!$B$13)*(1+'Read Me'!$B$12),-1)</f>
        <v/>
      </c>
      <c r="W6117" s="15">
        <f>V6117*N6117*O6117</f>
        <v/>
      </c>
      <c r="X6117" s="12">
        <f>IF(LEFT(I6117,2)="MV",2*N6117*IF(L6117="1/C",O6117,1),0)</f>
        <v/>
      </c>
      <c r="Y6117" s="12">
        <f>IF(OR(LEFT(K6117,4)="LVAX",LEFT(K6117,6)="MV15AX",LEFT(K6117,4)="CTAX",LEFT(K6117,2)="W|"),2*N6117*O6117,0)</f>
        <v/>
      </c>
      <c r="Z6117" s="12" t="inlineStr">
        <is>
          <t>VD 2.2 %</t>
        </is>
      </c>
      <c r="AA6117" s="12">
        <f>N6117*O6117</f>
        <v/>
      </c>
    </row>
    <row r="6118">
      <c r="A6118" s="12" t="inlineStr">
        <is>
          <t>K-P-0045</t>
        </is>
      </c>
      <c r="B6118" s="12" t="inlineStr">
        <is>
          <t>K</t>
        </is>
      </c>
      <c r="C6118" s="12" t="inlineStr">
        <is>
          <t>Fuel supply (adjacent market)</t>
        </is>
      </c>
      <c r="D6118" s="12" t="inlineStr">
        <is>
          <t>LV power feeder</t>
        </is>
      </c>
      <c r="E6118" s="12" t="inlineStr"/>
      <c r="F6118" s="12" t="inlineStr">
        <is>
          <t>LNG 17: LNG e-house (13.8 kV / 480 V)</t>
        </is>
      </c>
      <c r="G6118" s="12" t="inlineStr"/>
      <c r="H6118" s="12" t="inlineStr">
        <is>
          <t>M&amp;R 3: horizontal filter-separator</t>
        </is>
      </c>
      <c r="I6118" s="12" t="inlineStr">
        <is>
          <t>LV 600 V</t>
        </is>
      </c>
      <c r="J6118" s="12" t="inlineStr">
        <is>
          <t>ARMOR-X MC-HL 600 V 3/C Cu XHHW-2 + ground, CWA, black PVC (Class I Div 2)</t>
        </is>
      </c>
      <c r="K6118" s="12" t="inlineStr">
        <is>
          <t>LVAX|3/C+G|4</t>
        </is>
      </c>
      <c r="L6118" s="12" t="inlineStr">
        <is>
          <t>3/C+G</t>
        </is>
      </c>
      <c r="M6118" s="12" t="inlineStr">
        <is>
          <t>4</t>
        </is>
      </c>
      <c r="N6118" s="12" t="n">
        <v>1</v>
      </c>
      <c r="O6118" s="12" t="n">
        <v>1</v>
      </c>
      <c r="P6118" s="12" t="n">
        <v>480</v>
      </c>
      <c r="Q6118" s="12" t="n">
        <v>15</v>
      </c>
      <c r="R6118" s="12" t="n">
        <v>21.2</v>
      </c>
      <c r="S6118" s="12" t="inlineStr">
        <is>
          <t>Duct bank</t>
        </is>
      </c>
      <c r="T6118" s="15" t="n">
        <v>797</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K-P-0046</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4: line heater 1 (water bath)</t>
        </is>
      </c>
      <c r="I6119" s="12" t="inlineStr">
        <is>
          <t>LV 600 V</t>
        </is>
      </c>
      <c r="J6119" s="12" t="inlineStr">
        <is>
          <t>ARMOR-X MC-HL 600 V 3/C Cu XHHW-2 + ground, CWA, black PVC (Class I Div 2)</t>
        </is>
      </c>
      <c r="K6119" s="12" t="inlineStr">
        <is>
          <t>LVAX|3/C+G|6</t>
        </is>
      </c>
      <c r="L6119" s="12" t="inlineStr">
        <is>
          <t>3/C+G</t>
        </is>
      </c>
      <c r="M6119" s="12" t="inlineStr">
        <is>
          <t>6</t>
        </is>
      </c>
      <c r="N6119" s="12" t="n">
        <v>1</v>
      </c>
      <c r="O6119" s="12" t="n">
        <v>1</v>
      </c>
      <c r="P6119" s="12" t="n">
        <v>480</v>
      </c>
      <c r="Q6119" s="12" t="n">
        <v>15</v>
      </c>
      <c r="R6119" s="12" t="n">
        <v>21.2</v>
      </c>
      <c r="S6119" s="12" t="inlineStr">
        <is>
          <t>Duct bank</t>
        </is>
      </c>
      <c r="T6119" s="15" t="n">
        <v>593</v>
      </c>
      <c r="U6119" s="15" t="n">
        <v>32</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K-P-0047</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4: line heater 2 (water bath)</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593</v>
      </c>
      <c r="U6120" s="15" t="n">
        <v>50</v>
      </c>
      <c r="V6120" s="15">
        <f>ROUNDUP((T6120+U6120+2*'Read Me'!$B$13)*(1+'Read Me'!$B$12),-1)</f>
        <v/>
      </c>
      <c r="W6120" s="15">
        <f>V6120*N6120*O6120</f>
        <v/>
      </c>
      <c r="X6120" s="12">
        <f>IF(LEFT(I6120,2)="MV",2*N6120*IF(L6120="1/C",O6120,1),0)</f>
        <v/>
      </c>
      <c r="Y6120" s="12">
        <f>IF(OR(LEFT(K6120,4)="LVAX",LEFT(K6120,6)="MV15AX",LEFT(K6120,4)="CTAX",LEFT(K6120,2)="W|"),2*N6120*O6120,0)</f>
        <v/>
      </c>
      <c r="Z6120" s="12" t="inlineStr">
        <is>
          <t>VD 2.7 %</t>
        </is>
      </c>
      <c r="AA6120" s="12">
        <f>N6120*O6120</f>
        <v/>
      </c>
    </row>
    <row r="6121">
      <c r="A6121" s="12" t="inlineStr">
        <is>
          <t>K-P-0048</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4: line heater 3 (water bath)</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593</v>
      </c>
      <c r="U6121" s="15" t="n">
        <v>68</v>
      </c>
      <c r="V6121" s="15">
        <f>ROUNDUP((T6121+U6121+2*'Read Me'!$B$13)*(1+'Read Me'!$B$12),-1)</f>
        <v/>
      </c>
      <c r="W6121" s="15">
        <f>V6121*N6121*O6121</f>
        <v/>
      </c>
      <c r="X6121" s="12">
        <f>IF(LEFT(I6121,2)="MV",2*N6121*IF(L6121="1/C",O6121,1),0)</f>
        <v/>
      </c>
      <c r="Y6121" s="12">
        <f>IF(OR(LEFT(K6121,4)="LVAX",LEFT(K6121,6)="MV15AX",LEFT(K6121,4)="CTAX",LEFT(K6121,2)="W|"),2*N6121*O6121,0)</f>
        <v/>
      </c>
      <c r="Z6121" s="12" t="inlineStr">
        <is>
          <t>VD 2.7 %</t>
        </is>
      </c>
      <c r="AA6121" s="12">
        <f>N6121*O6121</f>
        <v/>
      </c>
    </row>
    <row r="6122">
      <c r="A6122" s="12" t="inlineStr">
        <is>
          <t>K-P-0049</t>
        </is>
      </c>
      <c r="B6122" s="12" t="inlineStr">
        <is>
          <t>K</t>
        </is>
      </c>
      <c r="C6122" s="12" t="inlineStr">
        <is>
          <t>Fuel supply (adjacent market)</t>
        </is>
      </c>
      <c r="D6122" s="12" t="inlineStr">
        <is>
          <t>LV panel / distribution feeder</t>
        </is>
      </c>
      <c r="E6122" s="12" t="inlineStr"/>
      <c r="F6122" s="12" t="inlineStr">
        <is>
          <t>LNG 17: LNG e-house (13.8 kV / 480 V)</t>
        </is>
      </c>
      <c r="G6122" s="12" t="inlineStr"/>
      <c r="H6122" s="12" t="inlineStr">
        <is>
          <t>M&amp;R 6: regulation / flow control building</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10</v>
      </c>
      <c r="R6122" s="12" t="n">
        <v>14.2</v>
      </c>
      <c r="S6122" s="12" t="inlineStr">
        <is>
          <t>Duct bank</t>
        </is>
      </c>
      <c r="T6122" s="15" t="n">
        <v>470</v>
      </c>
      <c r="U6122" s="15" t="n">
        <v>70</v>
      </c>
      <c r="V6122" s="15">
        <f>ROUNDUP((T6122+U6122+2*'Read Me'!$B$13)*(1+'Read Me'!$B$12),-1)</f>
        <v/>
      </c>
      <c r="W6122" s="15">
        <f>V6122*N6122*O6122</f>
        <v/>
      </c>
      <c r="X6122" s="12">
        <f>IF(LEFT(I6122,2)="MV",2*N6122*IF(L6122="1/C",O6122,1),0)</f>
        <v/>
      </c>
      <c r="Y6122" s="12">
        <f>IF(OR(LEFT(K6122,4)="LVAX",LEFT(K6122,6)="MV15AX",LEFT(K6122,4)="CTAX",LEFT(K6122,2)="W|"),2*N6122*O6122,0)</f>
        <v/>
      </c>
      <c r="Z6122" s="12" t="inlineStr">
        <is>
          <t>VD 2.3 %</t>
        </is>
      </c>
      <c r="AA6122" s="12">
        <f>N6122*O6122</f>
        <v/>
      </c>
    </row>
    <row r="6123">
      <c r="A6123" s="12" t="inlineStr">
        <is>
          <t>K-P-0050</t>
        </is>
      </c>
      <c r="B6123" s="12" t="inlineStr">
        <is>
          <t>K</t>
        </is>
      </c>
      <c r="C6123" s="12" t="inlineStr">
        <is>
          <t>Fuel supply (adjacent market)</t>
        </is>
      </c>
      <c r="D6123" s="12" t="inlineStr">
        <is>
          <t>LV panel / distribution feeder</t>
        </is>
      </c>
      <c r="E6123" s="12" t="inlineStr"/>
      <c r="F6123" s="12" t="inlineStr">
        <is>
          <t>LNG 17: LNG e-house (13.8 kV / 480 V)</t>
        </is>
      </c>
      <c r="G6123" s="12" t="inlineStr"/>
      <c r="H6123" s="12" t="inlineStr">
        <is>
          <t>M&amp;R 7: gas quality + measurement building</t>
        </is>
      </c>
      <c r="I6123" s="12" t="inlineStr">
        <is>
          <t>LV 600 V</t>
        </is>
      </c>
      <c r="J6123" s="12" t="inlineStr">
        <is>
          <t>ARMOR-X MC-HL 600 V 3/C Cu XHHW-2 + ground, CWA, black PVC (Class I Div 2)</t>
        </is>
      </c>
      <c r="K6123" s="12" t="inlineStr">
        <is>
          <t>LVAX|3/C+G|2</t>
        </is>
      </c>
      <c r="L6123" s="12" t="inlineStr">
        <is>
          <t>3/C+G</t>
        </is>
      </c>
      <c r="M6123" s="12" t="inlineStr">
        <is>
          <t>2</t>
        </is>
      </c>
      <c r="N6123" s="12" t="n">
        <v>1</v>
      </c>
      <c r="O6123" s="12" t="n">
        <v>1</v>
      </c>
      <c r="P6123" s="12" t="n">
        <v>480</v>
      </c>
      <c r="Q6123" s="12" t="n">
        <v>30</v>
      </c>
      <c r="R6123" s="12" t="n">
        <v>42.5</v>
      </c>
      <c r="S6123" s="12" t="inlineStr">
        <is>
          <t>Duct bank</t>
        </is>
      </c>
      <c r="T6123" s="15" t="n">
        <v>616</v>
      </c>
      <c r="U6123" s="15" t="n">
        <v>52</v>
      </c>
      <c r="V6123" s="15">
        <f>ROUNDUP((T6123+U6123+2*'Read Me'!$B$13)*(1+'Read Me'!$B$12),-1)</f>
        <v/>
      </c>
      <c r="W6123" s="15">
        <f>V6123*N6123*O6123</f>
        <v/>
      </c>
      <c r="X6123" s="12">
        <f>IF(LEFT(I6123,2)="MV",2*N6123*IF(L6123="1/C",O6123,1),0)</f>
        <v/>
      </c>
      <c r="Y6123" s="12">
        <f>IF(OR(LEFT(K6123,4)="LVAX",LEFT(K6123,6)="MV15AX",LEFT(K6123,4)="CTAX",LEFT(K6123,2)="W|"),2*N6123*O6123,0)</f>
        <v/>
      </c>
      <c r="Z6123" s="12" t="inlineStr">
        <is>
          <t>VD 2.2 %</t>
        </is>
      </c>
      <c r="AA6123" s="12">
        <f>N6123*O6123</f>
        <v/>
      </c>
    </row>
    <row r="6124">
      <c r="A6124" s="12" t="inlineStr">
        <is>
          <t>K-P-0051</t>
        </is>
      </c>
      <c r="B6124" s="12" t="inlineStr">
        <is>
          <t>K</t>
        </is>
      </c>
      <c r="C6124" s="12" t="inlineStr">
        <is>
          <t>Fuel supply (adjacent market)</t>
        </is>
      </c>
      <c r="D6124" s="12" t="inlineStr">
        <is>
          <t>LV power feeder</t>
        </is>
      </c>
      <c r="E6124" s="12" t="inlineStr"/>
      <c r="F6124" s="12" t="inlineStr">
        <is>
          <t>LNG 17: LNG e-house (13.8 kV / 480 V)</t>
        </is>
      </c>
      <c r="G6124" s="12" t="inlineStr"/>
      <c r="H6124" s="12" t="inlineStr">
        <is>
          <t>M&amp;R 8: condensate tank</t>
        </is>
      </c>
      <c r="I6124" s="12" t="inlineStr">
        <is>
          <t>LV 600 V</t>
        </is>
      </c>
      <c r="J6124" s="12" t="inlineStr">
        <is>
          <t>ARMOR-X MC-HL 600 V 3/C Cu XHHW-2 + ground, CWA, black PVC (Class I Div 2)</t>
        </is>
      </c>
      <c r="K6124" s="12" t="inlineStr">
        <is>
          <t>LVAX|3/C+G|8</t>
        </is>
      </c>
      <c r="L6124" s="12" t="inlineStr">
        <is>
          <t>3/C+G</t>
        </is>
      </c>
      <c r="M6124" s="12" t="inlineStr">
        <is>
          <t>8</t>
        </is>
      </c>
      <c r="N6124" s="12" t="n">
        <v>1</v>
      </c>
      <c r="O6124" s="12" t="n">
        <v>1</v>
      </c>
      <c r="P6124" s="12" t="n">
        <v>480</v>
      </c>
      <c r="Q6124" s="12" t="n">
        <v>10</v>
      </c>
      <c r="R6124" s="12" t="n">
        <v>14.2</v>
      </c>
      <c r="S6124" s="12" t="inlineStr">
        <is>
          <t>Duct bank</t>
        </is>
      </c>
      <c r="T6124" s="15" t="n">
        <v>530</v>
      </c>
      <c r="U6124" s="15" t="n">
        <v>87</v>
      </c>
      <c r="V6124" s="15">
        <f>ROUNDUP((T6124+U6124+2*'Read Me'!$B$13)*(1+'Read Me'!$B$12),-1)</f>
        <v/>
      </c>
      <c r="W6124" s="15">
        <f>V6124*N6124*O6124</f>
        <v/>
      </c>
      <c r="X6124" s="12">
        <f>IF(LEFT(I6124,2)="MV",2*N6124*IF(L6124="1/C",O6124,1),0)</f>
        <v/>
      </c>
      <c r="Y6124" s="12">
        <f>IF(OR(LEFT(K6124,4)="LVAX",LEFT(K6124,6)="MV15AX",LEFT(K6124,4)="CTAX",LEFT(K6124,2)="W|"),2*N6124*O6124,0)</f>
        <v/>
      </c>
      <c r="Z6124" s="12" t="inlineStr">
        <is>
          <t>VD 2.6 %</t>
        </is>
      </c>
      <c r="AA6124" s="12">
        <f>N6124*O6124</f>
        <v/>
      </c>
    </row>
    <row r="6125">
      <c r="A6125" s="12" t="inlineStr">
        <is>
          <t>K-P-0052</t>
        </is>
      </c>
      <c r="B6125" s="12" t="inlineStr">
        <is>
          <t>K</t>
        </is>
      </c>
      <c r="C6125" s="12" t="inlineStr">
        <is>
          <t>Fuel supply (adjacent market)</t>
        </is>
      </c>
      <c r="D6125" s="12" t="inlineStr">
        <is>
          <t>LV power feeder</t>
        </is>
      </c>
      <c r="E6125" s="12" t="inlineStr"/>
      <c r="F6125" s="12" t="inlineStr">
        <is>
          <t>LNG 17: LNG e-house (13.8 kV / 480 V)</t>
        </is>
      </c>
      <c r="G6125" s="12" t="inlineStr"/>
      <c r="H6125" s="12" t="inlineStr">
        <is>
          <t>M&amp;R 9: service panel + UPS, SCADA RTU, CP</t>
        </is>
      </c>
      <c r="I6125" s="12" t="inlineStr">
        <is>
          <t>LV 600 V</t>
        </is>
      </c>
      <c r="J6125" s="12" t="inlineStr">
        <is>
          <t>ARMOR-X MC-HL 600 V 3/C Cu XHHW-2 + ground, CWA, black PVC (Class I Div 2)</t>
        </is>
      </c>
      <c r="K6125" s="12" t="inlineStr">
        <is>
          <t>LVAX|3/C+G|6</t>
        </is>
      </c>
      <c r="L6125" s="12" t="inlineStr">
        <is>
          <t>3/C+G</t>
        </is>
      </c>
      <c r="M6125" s="12" t="inlineStr">
        <is>
          <t>6</t>
        </is>
      </c>
      <c r="N6125" s="12" t="n">
        <v>1</v>
      </c>
      <c r="O6125" s="12" t="n">
        <v>1</v>
      </c>
      <c r="P6125" s="12" t="n">
        <v>480</v>
      </c>
      <c r="Q6125" s="12" t="n">
        <v>15</v>
      </c>
      <c r="R6125" s="12" t="n">
        <v>21.2</v>
      </c>
      <c r="S6125" s="12" t="inlineStr">
        <is>
          <t>Duct bank</t>
        </is>
      </c>
      <c r="T6125" s="15" t="n">
        <v>466</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2.1 %</t>
        </is>
      </c>
      <c r="AA6125" s="12">
        <f>N6125*O6125</f>
        <v/>
      </c>
    </row>
    <row r="6126">
      <c r="A6126" s="12" t="inlineStr">
        <is>
          <t>K-P-0053</t>
        </is>
      </c>
      <c r="B6126" s="12" t="inlineStr">
        <is>
          <t>K</t>
        </is>
      </c>
      <c r="C6126" s="12" t="inlineStr">
        <is>
          <t>Fuel supply (adjacent market)</t>
        </is>
      </c>
      <c r="D6126" s="12" t="inlineStr">
        <is>
          <t>LV power feeder</t>
        </is>
      </c>
      <c r="E6126" s="12" t="inlineStr"/>
      <c r="F6126" s="12" t="inlineStr">
        <is>
          <t>LNG 17: LNG e-house (13.8 kV / 480 V)</t>
        </is>
      </c>
      <c r="G6126" s="12" t="inlineStr"/>
      <c r="H6126" s="12" t="inlineStr">
        <is>
          <t>M&amp;R CP test station (as drawn)</t>
        </is>
      </c>
      <c r="I6126" s="12" t="inlineStr">
        <is>
          <t>LV 600 V</t>
        </is>
      </c>
      <c r="J6126" s="12" t="inlineStr">
        <is>
          <t>ARMOR-X MC-HL 600 V 3/C Cu XHHW-2 + ground, CWA, black PVC (Class I Div 2)</t>
        </is>
      </c>
      <c r="K6126" s="12" t="inlineStr">
        <is>
          <t>LVAX|3/C+G|6</t>
        </is>
      </c>
      <c r="L6126" s="12" t="inlineStr">
        <is>
          <t>3/C+G</t>
        </is>
      </c>
      <c r="M6126" s="12" t="inlineStr">
        <is>
          <t>6</t>
        </is>
      </c>
      <c r="N6126" s="12" t="n">
        <v>1</v>
      </c>
      <c r="O6126" s="12" t="n">
        <v>1</v>
      </c>
      <c r="P6126" s="12" t="n">
        <v>480</v>
      </c>
      <c r="Q6126" s="12" t="n">
        <v>15</v>
      </c>
      <c r="R6126" s="12" t="n">
        <v>21.2</v>
      </c>
      <c r="S6126" s="12" t="inlineStr">
        <is>
          <t>Duct bank</t>
        </is>
      </c>
      <c r="T6126" s="15" t="n">
        <v>441</v>
      </c>
      <c r="U6126" s="15" t="n">
        <v>42</v>
      </c>
      <c r="V6126" s="15">
        <f>ROUNDUP((T6126+U6126+2*'Read Me'!$B$13)*(1+'Read Me'!$B$12),-1)</f>
        <v/>
      </c>
      <c r="W6126" s="15">
        <f>V6126*N6126*O6126</f>
        <v/>
      </c>
      <c r="X6126" s="12">
        <f>IF(LEFT(I6126,2)="MV",2*N6126*IF(L6126="1/C",O6126,1),0)</f>
        <v/>
      </c>
      <c r="Y6126" s="12">
        <f>IF(OR(LEFT(K6126,4)="LVAX",LEFT(K6126,6)="MV15AX",LEFT(K6126,4)="CTAX",LEFT(K6126,2)="W|"),2*N6126*O6126,0)</f>
        <v/>
      </c>
      <c r="Z6126" s="12" t="inlineStr">
        <is>
          <t>VD 2.0 %</t>
        </is>
      </c>
      <c r="AA6126" s="12">
        <f>N6126*O6126</f>
        <v/>
      </c>
    </row>
    <row r="6127">
      <c r="A6127" s="12" t="inlineStr">
        <is>
          <t>K-P-0054</t>
        </is>
      </c>
      <c r="B6127" s="12" t="inlineStr">
        <is>
          <t>K</t>
        </is>
      </c>
      <c r="C6127" s="12" t="inlineStr">
        <is>
          <t>Fuel supply (adjacent market)</t>
        </is>
      </c>
      <c r="D6127" s="12" t="inlineStr">
        <is>
          <t>LV power feeder</t>
        </is>
      </c>
      <c r="E6127" s="12" t="inlineStr"/>
      <c r="F6127" s="12" t="inlineStr">
        <is>
          <t>LNG 17: LNG e-house (13.8 kV / 480 V)</t>
        </is>
      </c>
      <c r="G6127" s="12" t="inlineStr"/>
      <c r="H6127" s="12" t="inlineStr">
        <is>
          <t>M&amp;R SCADA antenna mast base (as drawn)</t>
        </is>
      </c>
      <c r="I6127" s="12" t="inlineStr">
        <is>
          <t>LV 600 V</t>
        </is>
      </c>
      <c r="J6127" s="12" t="inlineStr">
        <is>
          <t>ARMOR-X MC-HL 600 V 3/C Cu XHHW-2 + ground, CWA, black PVC (Class I Div 2)</t>
        </is>
      </c>
      <c r="K6127" s="12" t="inlineStr">
        <is>
          <t>LVAX|3/C+G|8</t>
        </is>
      </c>
      <c r="L6127" s="12" t="inlineStr">
        <is>
          <t>3/C+G</t>
        </is>
      </c>
      <c r="M6127" s="12" t="inlineStr">
        <is>
          <t>8</t>
        </is>
      </c>
      <c r="N6127" s="12" t="n">
        <v>1</v>
      </c>
      <c r="O6127" s="12" t="n">
        <v>1</v>
      </c>
      <c r="P6127" s="12" t="n">
        <v>480</v>
      </c>
      <c r="Q6127" s="12" t="n">
        <v>15</v>
      </c>
      <c r="R6127" s="12" t="n">
        <v>21.2</v>
      </c>
      <c r="S6127" s="12" t="inlineStr">
        <is>
          <t>Duct bank</t>
        </is>
      </c>
      <c r="T6127" s="15" t="n">
        <v>433</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3.0 %</t>
        </is>
      </c>
      <c r="AA6127" s="12">
        <f>N6127*O6127</f>
        <v/>
      </c>
    </row>
    <row r="6128">
      <c r="A6128" s="12" t="inlineStr">
        <is>
          <t>K-MV-0001</t>
        </is>
      </c>
      <c r="B6128" s="12" t="inlineStr">
        <is>
          <t>K</t>
        </is>
      </c>
      <c r="C6128" s="12" t="inlineStr">
        <is>
          <t>Fuel supply (adjacent market)</t>
        </is>
      </c>
      <c r="D6128" s="12" t="inlineStr">
        <is>
          <t>H2 13.8 kV e-house (electrolyzers)</t>
        </is>
      </c>
      <c r="E6128" s="12" t="inlineStr">
        <is>
          <t>SWGR-13.8-3</t>
        </is>
      </c>
      <c r="F6128" s="12" t="inlineStr">
        <is>
          <t>R1 SWGR-13.8-3 (11 x 36 in cubicles, 15 kV metal-clad)</t>
        </is>
      </c>
      <c r="G6128" s="12" t="inlineStr"/>
      <c r="H6128" s="12" t="inlineStr">
        <is>
          <t>H2 20: 13.8 kV e-house</t>
        </is>
      </c>
      <c r="I6128" s="12" t="inlineStr">
        <is>
          <t>MV 15 kV</t>
        </is>
      </c>
      <c r="J6128" s="12" t="inlineStr">
        <is>
          <t>MV-105 15 kV 1/C Cu, EPR 133%, Cu tape shield, PVC jacket (triplexed)</t>
        </is>
      </c>
      <c r="K6128" s="12" t="inlineStr">
        <is>
          <t>MV15|1/C|750</t>
        </is>
      </c>
      <c r="L6128" s="12" t="inlineStr">
        <is>
          <t>1/C</t>
        </is>
      </c>
      <c r="M6128" s="12" t="inlineStr">
        <is>
          <t>750 kcmil</t>
        </is>
      </c>
      <c r="N6128" s="12" t="n">
        <v>2</v>
      </c>
      <c r="O6128" s="12" t="n">
        <v>3</v>
      </c>
      <c r="P6128" s="12" t="n">
        <v>13800</v>
      </c>
      <c r="Q6128" s="12" t="n">
        <v>20000</v>
      </c>
      <c r="R6128" s="12" t="n">
        <v>837</v>
      </c>
      <c r="S6128" s="12" t="inlineStr">
        <is>
          <t>HV duct bank</t>
        </is>
      </c>
      <c r="T6128" s="15" t="n">
        <v>4013</v>
      </c>
      <c r="U6128" s="15" t="n">
        <v>128</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K-MV-0002</t>
        </is>
      </c>
      <c r="B6129" s="12" t="inlineStr">
        <is>
          <t>K</t>
        </is>
      </c>
      <c r="C6129" s="12" t="inlineStr">
        <is>
          <t>Fuel supply (adjacent market)</t>
        </is>
      </c>
      <c r="D6129" s="12" t="inlineStr">
        <is>
          <t>LNG e-house</t>
        </is>
      </c>
      <c r="E6129" s="12" t="inlineStr">
        <is>
          <t>SWGR-13.8-3</t>
        </is>
      </c>
      <c r="F6129" s="12" t="inlineStr">
        <is>
          <t>R1 SWGR-13.8-3 (11 x 36 in cubicles, 15 kV metal-clad)</t>
        </is>
      </c>
      <c r="G6129" s="12" t="inlineStr"/>
      <c r="H6129" s="12" t="inlineStr">
        <is>
          <t>LNG 17: LNG e-house (13.8 kV / 480 V)</t>
        </is>
      </c>
      <c r="I6129" s="12" t="inlineStr">
        <is>
          <t>MV 15 kV</t>
        </is>
      </c>
      <c r="J6129" s="12" t="inlineStr">
        <is>
          <t>MV-105 15 kV 1/C Cu, EPR 133%, Cu tape shield, PVC jacket (triplexed)</t>
        </is>
      </c>
      <c r="K6129" s="12" t="inlineStr">
        <is>
          <t>MV15|1/C|4/0</t>
        </is>
      </c>
      <c r="L6129" s="12" t="inlineStr">
        <is>
          <t>1/C</t>
        </is>
      </c>
      <c r="M6129" s="12" t="inlineStr">
        <is>
          <t>4/0</t>
        </is>
      </c>
      <c r="N6129" s="12" t="n">
        <v>1</v>
      </c>
      <c r="O6129" s="12" t="n">
        <v>3</v>
      </c>
      <c r="P6129" s="12" t="n">
        <v>13800</v>
      </c>
      <c r="Q6129" s="12" t="n">
        <v>5000</v>
      </c>
      <c r="R6129" s="12" t="n">
        <v>209</v>
      </c>
      <c r="S6129" s="12" t="inlineStr">
        <is>
          <t>Duct bank</t>
        </is>
      </c>
      <c r="T6129" s="15" t="n">
        <v>2649</v>
      </c>
      <c r="U6129" s="15" t="n">
        <v>219</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C-C-0128</t>
        </is>
      </c>
      <c r="B6130" s="12" t="inlineStr">
        <is>
          <t>C</t>
        </is>
      </c>
      <c r="C6130" s="12" t="inlineStr">
        <is>
          <t>Grid interface</t>
        </is>
      </c>
      <c r="D6130" s="12" t="inlineStr">
        <is>
          <t>Motor 1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C-C-0129</t>
        </is>
      </c>
      <c r="B6131" s="12" t="inlineStr">
        <is>
          <t>C</t>
        </is>
      </c>
      <c r="C6131" s="12" t="inlineStr">
        <is>
          <t>Grid interface</t>
        </is>
      </c>
      <c r="D6131" s="12" t="inlineStr">
        <is>
          <t>Motor 2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C-C-0130</t>
        </is>
      </c>
      <c r="B6132" s="12" t="inlineStr">
        <is>
          <t>C</t>
        </is>
      </c>
      <c r="C6132" s="12" t="inlineStr">
        <is>
          <t>Grid interface</t>
        </is>
      </c>
      <c r="D6132" s="12" t="inlineStr">
        <is>
          <t>Motor 3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C-C-0131</t>
        </is>
      </c>
      <c r="B6133" s="12" t="inlineStr">
        <is>
          <t>C</t>
        </is>
      </c>
      <c r="C6133" s="12" t="inlineStr">
        <is>
          <t>Grid interface</t>
        </is>
      </c>
      <c r="D6133" s="12" t="inlineStr">
        <is>
          <t>Motor 4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C-C-0132</t>
        </is>
      </c>
      <c r="B6134" s="12" t="inlineStr">
        <is>
          <t>C</t>
        </is>
      </c>
      <c r="C6134" s="12" t="inlineStr">
        <is>
          <t>Grid interface</t>
        </is>
      </c>
      <c r="D6134" s="12" t="inlineStr">
        <is>
          <t>Motor 5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C-C-0133</t>
        </is>
      </c>
      <c r="B6135" s="12" t="inlineStr">
        <is>
          <t>C</t>
        </is>
      </c>
      <c r="C6135" s="12" t="inlineStr">
        <is>
          <t>Grid interface</t>
        </is>
      </c>
      <c r="D6135" s="12" t="inlineStr">
        <is>
          <t>Motor 6 of 10: control / local station</t>
        </is>
      </c>
      <c r="E6135" s="12" t="inlineStr">
        <is>
          <t>MCC-C1</t>
        </is>
      </c>
      <c r="F6135" s="12" t="inlineStr">
        <is>
          <t>R1 MCC-C1</t>
        </is>
      </c>
      <c r="G6135" s="12" t="inlineStr"/>
      <c r="H6135" s="12" t="inlineStr">
        <is>
          <t xml:space="preserve">CO2 compression 3 x ~19 MW + dehydration: rooftop HVAC, exhaust fans, </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1744</v>
      </c>
      <c r="U6135" s="15" t="n">
        <v>161</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C-C-0134</t>
        </is>
      </c>
      <c r="B6136" s="12" t="inlineStr">
        <is>
          <t>C</t>
        </is>
      </c>
      <c r="C6136" s="12" t="inlineStr">
        <is>
          <t>Grid interface</t>
        </is>
      </c>
      <c r="D6136" s="12" t="inlineStr">
        <is>
          <t>Motor 7 of 10: control / local station</t>
        </is>
      </c>
      <c r="E6136" s="12" t="inlineStr">
        <is>
          <t>MCC-C1</t>
        </is>
      </c>
      <c r="F6136" s="12" t="inlineStr">
        <is>
          <t>R1 MCC-C1</t>
        </is>
      </c>
      <c r="G6136" s="12" t="inlineStr"/>
      <c r="H6136" s="12" t="inlineStr">
        <is>
          <t xml:space="preserve">CO2 compression 3 x ~19 MW + dehydration: rooftop HVAC, exhaust fans, </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1744</v>
      </c>
      <c r="U6136" s="15" t="n">
        <v>161</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C-C-0135</t>
        </is>
      </c>
      <c r="B6137" s="12" t="inlineStr">
        <is>
          <t>C</t>
        </is>
      </c>
      <c r="C6137" s="12" t="inlineStr">
        <is>
          <t>Grid interface</t>
        </is>
      </c>
      <c r="D6137" s="12" t="inlineStr">
        <is>
          <t>Motor 8 of 10: control / local station</t>
        </is>
      </c>
      <c r="E6137" s="12" t="inlineStr">
        <is>
          <t>MCC-C1</t>
        </is>
      </c>
      <c r="F6137" s="12" t="inlineStr">
        <is>
          <t>R1 MCC-C1</t>
        </is>
      </c>
      <c r="G6137" s="12" t="inlineStr"/>
      <c r="H6137" s="12" t="inlineStr">
        <is>
          <t xml:space="preserve">CO2 compression 3 x ~19 MW + dehydration: rooftop HVAC, exhaust fans, </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Tray</t>
        </is>
      </c>
      <c r="T6137" s="15" t="n">
        <v>1744</v>
      </c>
      <c r="U6137" s="15" t="n">
        <v>161</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C-C-0136</t>
        </is>
      </c>
      <c r="B6138" s="12" t="inlineStr">
        <is>
          <t>C</t>
        </is>
      </c>
      <c r="C6138" s="12" t="inlineStr">
        <is>
          <t>Grid interface</t>
        </is>
      </c>
      <c r="D6138" s="12" t="inlineStr">
        <is>
          <t>Motor 9 of 10: control / local station</t>
        </is>
      </c>
      <c r="E6138" s="12" t="inlineStr">
        <is>
          <t>MCC-C1</t>
        </is>
      </c>
      <c r="F6138" s="12" t="inlineStr">
        <is>
          <t>R1 MCC-C1</t>
        </is>
      </c>
      <c r="G6138" s="12" t="inlineStr"/>
      <c r="H6138" s="12" t="inlineStr">
        <is>
          <t xml:space="preserve">CO2 compression 3 x ~19 MW + dehydration: rooftop HVAC, exhaust fans, </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Tray</t>
        </is>
      </c>
      <c r="T6138" s="15" t="n">
        <v>1744</v>
      </c>
      <c r="U6138" s="15" t="n">
        <v>161</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C-C-0137</t>
        </is>
      </c>
      <c r="B6139" s="12" t="inlineStr">
        <is>
          <t>C</t>
        </is>
      </c>
      <c r="C6139" s="12" t="inlineStr">
        <is>
          <t>Grid interface</t>
        </is>
      </c>
      <c r="D6139" s="12" t="inlineStr">
        <is>
          <t>Motor 10 of 10: control / local station</t>
        </is>
      </c>
      <c r="E6139" s="12" t="inlineStr">
        <is>
          <t>MCC-C1</t>
        </is>
      </c>
      <c r="F6139" s="12" t="inlineStr">
        <is>
          <t>R1 MCC-C1</t>
        </is>
      </c>
      <c r="G6139" s="12" t="inlineStr"/>
      <c r="H6139" s="12" t="inlineStr">
        <is>
          <t xml:space="preserve">CO2 compression 3 x ~19 MW + dehydration: rooftop HVAC, exhaust fans, </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Tray</t>
        </is>
      </c>
      <c r="T6139" s="15" t="n">
        <v>1744</v>
      </c>
      <c r="U6139" s="15" t="n">
        <v>161</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C-C-0138</t>
        </is>
      </c>
      <c r="B6140" s="12" t="inlineStr">
        <is>
          <t>C</t>
        </is>
      </c>
      <c r="C6140" s="12" t="inlineStr">
        <is>
          <t>Grid interface</t>
        </is>
      </c>
      <c r="D6140" s="12" t="inlineStr">
        <is>
          <t>Motor 1 of 2: control / local station</t>
        </is>
      </c>
      <c r="E6140" s="12" t="inlineStr">
        <is>
          <t>MCC-C1</t>
        </is>
      </c>
      <c r="F6140" s="12" t="inlineStr">
        <is>
          <t>R1 MCC-C1</t>
        </is>
      </c>
      <c r="G6140" s="12" t="inlineStr"/>
      <c r="H6140" s="12" t="inlineStr">
        <is>
          <t>Small-bore piping: instrument air, service water, nitrogen, HRSG drain</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Tray</t>
        </is>
      </c>
      <c r="T6140" s="15" t="n">
        <v>614</v>
      </c>
      <c r="U6140" s="15" t="n">
        <v>145</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C-C-0139</t>
        </is>
      </c>
      <c r="B6141" s="12" t="inlineStr">
        <is>
          <t>C</t>
        </is>
      </c>
      <c r="C6141" s="12" t="inlineStr">
        <is>
          <t>Grid interface</t>
        </is>
      </c>
      <c r="D6141" s="12" t="inlineStr">
        <is>
          <t>Motor 2 of 2: control / local station</t>
        </is>
      </c>
      <c r="E6141" s="12" t="inlineStr">
        <is>
          <t>MCC-C1</t>
        </is>
      </c>
      <c r="F6141" s="12" t="inlineStr">
        <is>
          <t>R1 MCC-C1</t>
        </is>
      </c>
      <c r="G6141" s="12" t="inlineStr"/>
      <c r="H6141" s="12" t="inlineStr">
        <is>
          <t>Small-bore piping: instrument air, service water, nitrogen, HRSG drain</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Tray</t>
        </is>
      </c>
      <c r="T6141" s="15" t="n">
        <v>614</v>
      </c>
      <c r="U6141" s="15" t="n">
        <v>145</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C-C-0140</t>
        </is>
      </c>
      <c r="B6142" s="12" t="inlineStr">
        <is>
          <t>C</t>
        </is>
      </c>
      <c r="C6142" s="12" t="inlineStr">
        <is>
          <t>Grid interface</t>
        </is>
      </c>
      <c r="D6142" s="12" t="inlineStr">
        <is>
          <t>Motor 1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C-C-0141</t>
        </is>
      </c>
      <c r="B6143" s="12" t="inlineStr">
        <is>
          <t>C</t>
        </is>
      </c>
      <c r="C6143" s="12" t="inlineStr">
        <is>
          <t>Grid interface</t>
        </is>
      </c>
      <c r="D6143" s="12" t="inlineStr">
        <is>
          <t>Motor 2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C-C-0142</t>
        </is>
      </c>
      <c r="B6144" s="12" t="inlineStr">
        <is>
          <t>C</t>
        </is>
      </c>
      <c r="C6144" s="12" t="inlineStr">
        <is>
          <t>Grid interface</t>
        </is>
      </c>
      <c r="D6144" s="12" t="inlineStr">
        <is>
          <t>Motor 3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C-C-0143</t>
        </is>
      </c>
      <c r="B6145" s="12" t="inlineStr">
        <is>
          <t>C</t>
        </is>
      </c>
      <c r="C6145" s="12" t="inlineStr">
        <is>
          <t>Grid interface</t>
        </is>
      </c>
      <c r="D6145" s="12" t="inlineStr">
        <is>
          <t>Motor 4 of 8: control / local station</t>
        </is>
      </c>
      <c r="E6145" s="12" t="inlineStr">
        <is>
          <t>MCC-C1</t>
        </is>
      </c>
      <c r="F6145" s="12" t="inlineStr">
        <is>
          <t>R1 MCC-C1</t>
        </is>
      </c>
      <c r="G6145" s="12" t="inlineStr"/>
      <c r="H6145" s="12" t="inlineStr">
        <is>
          <t>Wastewater treatment: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1859</v>
      </c>
      <c r="U6145" s="15" t="n">
        <v>228</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C-C-0144</t>
        </is>
      </c>
      <c r="B6146" s="12" t="inlineStr">
        <is>
          <t>C</t>
        </is>
      </c>
      <c r="C6146" s="12" t="inlineStr">
        <is>
          <t>Grid interface</t>
        </is>
      </c>
      <c r="D6146" s="12" t="inlineStr">
        <is>
          <t>Motor 5 of 8: control / local station</t>
        </is>
      </c>
      <c r="E6146" s="12" t="inlineStr">
        <is>
          <t>MCC-C1</t>
        </is>
      </c>
      <c r="F6146" s="12" t="inlineStr">
        <is>
          <t>R1 MCC-C1</t>
        </is>
      </c>
      <c r="G6146" s="12" t="inlineStr"/>
      <c r="H6146" s="12" t="inlineStr">
        <is>
          <t>Wastewater treatment: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1859</v>
      </c>
      <c r="U6146" s="15" t="n">
        <v>228</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C-C-0145</t>
        </is>
      </c>
      <c r="B6147" s="12" t="inlineStr">
        <is>
          <t>C</t>
        </is>
      </c>
      <c r="C6147" s="12" t="inlineStr">
        <is>
          <t>Grid interface</t>
        </is>
      </c>
      <c r="D6147" s="12" t="inlineStr">
        <is>
          <t>Motor 6 of 8: control / local station</t>
        </is>
      </c>
      <c r="E6147" s="12" t="inlineStr">
        <is>
          <t>MCC-C1</t>
        </is>
      </c>
      <c r="F6147" s="12" t="inlineStr">
        <is>
          <t>R1 MCC-C1</t>
        </is>
      </c>
      <c r="G6147" s="12" t="inlineStr"/>
      <c r="H6147" s="12" t="inlineStr">
        <is>
          <t>Wastewater treatment: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1859</v>
      </c>
      <c r="U6147" s="15" t="n">
        <v>228</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C-C-0146</t>
        </is>
      </c>
      <c r="B6148" s="12" t="inlineStr">
        <is>
          <t>C</t>
        </is>
      </c>
      <c r="C6148" s="12" t="inlineStr">
        <is>
          <t>Grid interface</t>
        </is>
      </c>
      <c r="D6148" s="12" t="inlineStr">
        <is>
          <t>Motor 7 of 8: control / local station</t>
        </is>
      </c>
      <c r="E6148" s="12" t="inlineStr">
        <is>
          <t>MCC-C1</t>
        </is>
      </c>
      <c r="F6148" s="12" t="inlineStr">
        <is>
          <t>R1 MCC-C1</t>
        </is>
      </c>
      <c r="G6148" s="12" t="inlineStr"/>
      <c r="H6148" s="12" t="inlineStr">
        <is>
          <t>Wastewater treatment: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1859</v>
      </c>
      <c r="U6148" s="15" t="n">
        <v>228</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C-C-0147</t>
        </is>
      </c>
      <c r="B6149" s="12" t="inlineStr">
        <is>
          <t>C</t>
        </is>
      </c>
      <c r="C6149" s="12" t="inlineStr">
        <is>
          <t>Grid interface</t>
        </is>
      </c>
      <c r="D6149" s="12" t="inlineStr">
        <is>
          <t>Motor 8 of 8: control / local station</t>
        </is>
      </c>
      <c r="E6149" s="12" t="inlineStr">
        <is>
          <t>MCC-C1</t>
        </is>
      </c>
      <c r="F6149" s="12" t="inlineStr">
        <is>
          <t>R1 MCC-C1</t>
        </is>
      </c>
      <c r="G6149" s="12" t="inlineStr"/>
      <c r="H6149" s="12" t="inlineStr">
        <is>
          <t>Wastewater treatment: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1859</v>
      </c>
      <c r="U6149" s="15" t="n">
        <v>228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C-C-0148</t>
        </is>
      </c>
      <c r="B6150" s="12" t="inlineStr">
        <is>
          <t>C</t>
        </is>
      </c>
      <c r="C6150" s="12" t="inlineStr">
        <is>
          <t>Grid interface</t>
        </is>
      </c>
      <c r="D6150" s="12" t="inlineStr">
        <is>
          <t>Motor 1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C-C-0149</t>
        </is>
      </c>
      <c r="B6151" s="12" t="inlineStr">
        <is>
          <t>C</t>
        </is>
      </c>
      <c r="C6151" s="12" t="inlineStr">
        <is>
          <t>Grid interface</t>
        </is>
      </c>
      <c r="D6151" s="12" t="inlineStr">
        <is>
          <t>Motor 2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C-C-0150</t>
        </is>
      </c>
      <c r="B6152" s="12" t="inlineStr">
        <is>
          <t>C</t>
        </is>
      </c>
      <c r="C6152" s="12" t="inlineStr">
        <is>
          <t>Grid interface</t>
        </is>
      </c>
      <c r="D6152" s="12" t="inlineStr">
        <is>
          <t>Motor 3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C-C-0151</t>
        </is>
      </c>
      <c r="B6153" s="12" t="inlineStr">
        <is>
          <t>C</t>
        </is>
      </c>
      <c r="C6153" s="12" t="inlineStr">
        <is>
          <t>Grid interface</t>
        </is>
      </c>
      <c r="D6153" s="12" t="inlineStr">
        <is>
          <t>Motor 4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C-C-0152</t>
        </is>
      </c>
      <c r="B6154" s="12" t="inlineStr">
        <is>
          <t>C</t>
        </is>
      </c>
      <c r="C6154" s="12" t="inlineStr">
        <is>
          <t>Grid interface</t>
        </is>
      </c>
      <c r="D6154" s="12" t="inlineStr">
        <is>
          <t>Motor 5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C-C-0153</t>
        </is>
      </c>
      <c r="B6155" s="12" t="inlineStr">
        <is>
          <t>C</t>
        </is>
      </c>
      <c r="C6155" s="12" t="inlineStr">
        <is>
          <t>Grid interface</t>
        </is>
      </c>
      <c r="D6155" s="12" t="inlineStr">
        <is>
          <t>Motor 6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C-C-0154</t>
        </is>
      </c>
      <c r="B6156" s="12" t="inlineStr">
        <is>
          <t>C</t>
        </is>
      </c>
      <c r="C6156" s="12" t="inlineStr">
        <is>
          <t>Grid interface</t>
        </is>
      </c>
      <c r="D6156" s="12" t="inlineStr">
        <is>
          <t>Motor 7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C-C-0155</t>
        </is>
      </c>
      <c r="B6157" s="12" t="inlineStr">
        <is>
          <t>C</t>
        </is>
      </c>
      <c r="C6157" s="12" t="inlineStr">
        <is>
          <t>Grid interface</t>
        </is>
      </c>
      <c r="D6157" s="12" t="inlineStr">
        <is>
          <t>Motor 8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C-C-0156</t>
        </is>
      </c>
      <c r="B6158" s="12" t="inlineStr">
        <is>
          <t>C</t>
        </is>
      </c>
      <c r="C6158" s="12" t="inlineStr">
        <is>
          <t>Grid interface</t>
        </is>
      </c>
      <c r="D6158" s="12" t="inlineStr">
        <is>
          <t>Motor 9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C-C-0157</t>
        </is>
      </c>
      <c r="B6159" s="12" t="inlineStr">
        <is>
          <t>C</t>
        </is>
      </c>
      <c r="C6159" s="12" t="inlineStr">
        <is>
          <t>Grid interface</t>
        </is>
      </c>
      <c r="D6159" s="12" t="inlineStr">
        <is>
          <t>Motor 10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C-C-0158</t>
        </is>
      </c>
      <c r="B6160" s="12" t="inlineStr">
        <is>
          <t>C</t>
        </is>
      </c>
      <c r="C6160" s="12" t="inlineStr">
        <is>
          <t>Grid interface</t>
        </is>
      </c>
      <c r="D6160" s="12" t="inlineStr">
        <is>
          <t>Motor 11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C-C-0159</t>
        </is>
      </c>
      <c r="B6161" s="12" t="inlineStr">
        <is>
          <t>C</t>
        </is>
      </c>
      <c r="C6161" s="12" t="inlineStr">
        <is>
          <t>Grid interface</t>
        </is>
      </c>
      <c r="D6161" s="12" t="inlineStr">
        <is>
          <t>Motor 12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C-C-0160</t>
        </is>
      </c>
      <c r="B6162" s="12" t="inlineStr">
        <is>
          <t>C</t>
        </is>
      </c>
      <c r="C6162" s="12" t="inlineStr">
        <is>
          <t>Grid interface</t>
        </is>
      </c>
      <c r="D6162" s="12" t="inlineStr">
        <is>
          <t>Motor 13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C-C-0161</t>
        </is>
      </c>
      <c r="B6163" s="12" t="inlineStr">
        <is>
          <t>C</t>
        </is>
      </c>
      <c r="C6163" s="12" t="inlineStr">
        <is>
          <t>Grid interface</t>
        </is>
      </c>
      <c r="D6163" s="12" t="inlineStr">
        <is>
          <t>Motor 14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C-C-0162</t>
        </is>
      </c>
      <c r="B6164" s="12" t="inlineStr">
        <is>
          <t>C</t>
        </is>
      </c>
      <c r="C6164" s="12" t="inlineStr">
        <is>
          <t>Grid interface</t>
        </is>
      </c>
      <c r="D6164" s="12" t="inlineStr">
        <is>
          <t>Motor 15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C-C-0163</t>
        </is>
      </c>
      <c r="B6165" s="12" t="inlineStr">
        <is>
          <t>C</t>
        </is>
      </c>
      <c r="C6165" s="12" t="inlineStr">
        <is>
          <t>Grid interface</t>
        </is>
      </c>
      <c r="D6165" s="12" t="inlineStr">
        <is>
          <t>Motor 16 of 20: control / local station</t>
        </is>
      </c>
      <c r="E6165" s="12" t="inlineStr">
        <is>
          <t>MCC-C1</t>
        </is>
      </c>
      <c r="F6165" s="12" t="inlineStr">
        <is>
          <t>R1 MCC-C1</t>
        </is>
      </c>
      <c r="G6165" s="12" t="inlineStr"/>
      <c r="H6165" s="12" t="inlineStr">
        <is>
          <t>Water treatment building: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1629</v>
      </c>
      <c r="U6165" s="15" t="n">
        <v>161</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C-C-0164</t>
        </is>
      </c>
      <c r="B6166" s="12" t="inlineStr">
        <is>
          <t>C</t>
        </is>
      </c>
      <c r="C6166" s="12" t="inlineStr">
        <is>
          <t>Grid interface</t>
        </is>
      </c>
      <c r="D6166" s="12" t="inlineStr">
        <is>
          <t>Motor 17 of 20: control / local station</t>
        </is>
      </c>
      <c r="E6166" s="12" t="inlineStr">
        <is>
          <t>MCC-C1</t>
        </is>
      </c>
      <c r="F6166" s="12" t="inlineStr">
        <is>
          <t>R1 MCC-C1</t>
        </is>
      </c>
      <c r="G6166" s="12" t="inlineStr"/>
      <c r="H6166" s="12" t="inlineStr">
        <is>
          <t>Water treatment building: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1629</v>
      </c>
      <c r="U6166" s="15" t="n">
        <v>161</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C-C-0165</t>
        </is>
      </c>
      <c r="B6167" s="12" t="inlineStr">
        <is>
          <t>C</t>
        </is>
      </c>
      <c r="C6167" s="12" t="inlineStr">
        <is>
          <t>Grid interface</t>
        </is>
      </c>
      <c r="D6167" s="12" t="inlineStr">
        <is>
          <t>Motor 18 of 20: control / local station</t>
        </is>
      </c>
      <c r="E6167" s="12" t="inlineStr">
        <is>
          <t>MCC-C1</t>
        </is>
      </c>
      <c r="F6167" s="12" t="inlineStr">
        <is>
          <t>R1 MCC-C1</t>
        </is>
      </c>
      <c r="G6167" s="12" t="inlineStr"/>
      <c r="H6167" s="12" t="inlineStr">
        <is>
          <t>Water treatment building: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1629</v>
      </c>
      <c r="U6167" s="15" t="n">
        <v>161</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C-C-0166</t>
        </is>
      </c>
      <c r="B6168" s="12" t="inlineStr">
        <is>
          <t>C</t>
        </is>
      </c>
      <c r="C6168" s="12" t="inlineStr">
        <is>
          <t>Grid interface</t>
        </is>
      </c>
      <c r="D6168" s="12" t="inlineStr">
        <is>
          <t>Motor 19 of 20: control / local station</t>
        </is>
      </c>
      <c r="E6168" s="12" t="inlineStr">
        <is>
          <t>MCC-C1</t>
        </is>
      </c>
      <c r="F6168" s="12" t="inlineStr">
        <is>
          <t>R1 MCC-C1</t>
        </is>
      </c>
      <c r="G6168" s="12" t="inlineStr"/>
      <c r="H6168" s="12" t="inlineStr">
        <is>
          <t>Water treatment building: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1629</v>
      </c>
      <c r="U6168" s="15" t="n">
        <v>161</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C-C-0167</t>
        </is>
      </c>
      <c r="B6169" s="12" t="inlineStr">
        <is>
          <t>C</t>
        </is>
      </c>
      <c r="C6169" s="12" t="inlineStr">
        <is>
          <t>Grid interface</t>
        </is>
      </c>
      <c r="D6169" s="12" t="inlineStr">
        <is>
          <t>Motor 20 of 20: control / local station</t>
        </is>
      </c>
      <c r="E6169" s="12" t="inlineStr">
        <is>
          <t>MCC-C1</t>
        </is>
      </c>
      <c r="F6169" s="12" t="inlineStr">
        <is>
          <t>R1 MCC-C1</t>
        </is>
      </c>
      <c r="G6169" s="12" t="inlineStr"/>
      <c r="H6169" s="12" t="inlineStr">
        <is>
          <t>Water treatment building: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1629</v>
      </c>
      <c r="U6169" s="15" t="n">
        <v>161</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C-I-0081</t>
        </is>
      </c>
      <c r="B6170" s="12" t="inlineStr">
        <is>
          <t>C</t>
        </is>
      </c>
      <c r="C6170" s="12" t="inlineStr">
        <is>
          <t>Grid interface</t>
        </is>
      </c>
      <c r="D6170" s="12" t="inlineStr">
        <is>
          <t>Analog instrument to JB JB-CO2 compression 3 -AI01: 20 x 1 pr (field cables)</t>
        </is>
      </c>
      <c r="E6170" s="12" t="inlineStr"/>
      <c r="F6170" s="12" t="inlineStr">
        <is>
          <t xml:space="preserve">CO2 compression 3 x ~19 MW + dehydration: rooftop HVAC, exhaust fans, </t>
        </is>
      </c>
      <c r="G6170" s="12" t="inlineStr">
        <is>
          <t>JB-CO2 compression 3 -AI01</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PLTC|1 pr|16</t>
        </is>
      </c>
      <c r="L6170" s="12" t="inlineStr">
        <is>
          <t>1 pr</t>
        </is>
      </c>
      <c r="M6170" s="12" t="inlineStr">
        <is>
          <t>16</t>
        </is>
      </c>
      <c r="N6170" s="12" t="n">
        <v>20</v>
      </c>
      <c r="O6170" s="12" t="n">
        <v>1</v>
      </c>
      <c r="P6170" s="12" t="n"/>
      <c r="Q6170" s="12" t="n"/>
      <c r="R6170" s="12" t="n"/>
      <c r="S6170" s="12" t="inlineStr">
        <is>
          <t>Tray / conduit</t>
        </is>
      </c>
      <c r="T6170" s="15" t="n">
        <v>161</v>
      </c>
      <c r="U6170" s="15" t="n">
        <v>10</v>
      </c>
      <c r="V6170" s="15">
        <f>ROUNDUP((T6170+U6170+2*'Read Me'!$B$13)*(1+'Read Me'!$B$12),-1)</f>
        <v/>
      </c>
      <c r="W6170" s="15">
        <f>V6170*N6170*O6170</f>
        <v/>
      </c>
      <c r="X6170" s="12">
        <f>IF(LEFT(I6170,2)="MV",2*N6170*IF(L6170="1/C",O6170,1),0)</f>
        <v/>
      </c>
      <c r="Y6170" s="12">
        <f>IF(OR(LEFT(K6170,4)="LVAX",LEFT(K6170,6)="MV15AX",LEFT(K6170,4)="CTAX",LEFT(K6170,2)="W|"),2*N6170*O6170,0)</f>
        <v/>
      </c>
      <c r="Z6170" s="12" t="inlineStr">
        <is>
          <t>device-to-JB field wiring, one cable per device</t>
        </is>
      </c>
      <c r="AA6170" s="12">
        <f>N6170*O6170</f>
        <v/>
      </c>
    </row>
    <row r="6171">
      <c r="A6171" s="12" t="inlineStr">
        <is>
          <t>C-I-0082</t>
        </is>
      </c>
      <c r="B6171" s="12" t="inlineStr">
        <is>
          <t>C</t>
        </is>
      </c>
      <c r="C6171" s="12" t="inlineStr">
        <is>
          <t>Grid interface</t>
        </is>
      </c>
      <c r="D6171" s="12" t="inlineStr">
        <is>
          <t>Home run JB-CO2 compression 3 -AI01 to the control / marshalling room</t>
        </is>
      </c>
      <c r="E6171" s="12" t="inlineStr">
        <is>
          <t>R1</t>
        </is>
      </c>
      <c r="F6171" s="12" t="inlineStr">
        <is>
          <t>R1: main electrical building (64 x 180 ft)</t>
        </is>
      </c>
      <c r="G6171" s="12" t="inlineStr">
        <is>
          <t>JB-CO2 compression 3 -AI01</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PLTC|24 pr|18</t>
        </is>
      </c>
      <c r="L6171" s="12" t="inlineStr">
        <is>
          <t>24 pr</t>
        </is>
      </c>
      <c r="M6171" s="12" t="inlineStr">
        <is>
          <t>18</t>
        </is>
      </c>
      <c r="N6171" s="12" t="n">
        <v>1</v>
      </c>
      <c r="O6171" s="12" t="n">
        <v>1</v>
      </c>
      <c r="P6171" s="12" t="n"/>
      <c r="Q6171" s="12" t="n"/>
      <c r="R6171" s="12" t="n"/>
      <c r="S6171" s="12" t="inlineStr">
        <is>
          <t>Tray</t>
        </is>
      </c>
      <c r="T6171" s="15" t="n">
        <v>2186</v>
      </c>
      <c r="U6171" s="15" t="n">
        <v>268</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C-I-0083</t>
        </is>
      </c>
      <c r="B6172" s="12" t="inlineStr">
        <is>
          <t>C</t>
        </is>
      </c>
      <c r="C6172" s="12" t="inlineStr">
        <is>
          <t>Grid interface</t>
        </is>
      </c>
      <c r="D6172" s="12" t="inlineStr">
        <is>
          <t>Analog instrument to JB JB-CO2 compression 3 -AI02: 20 x 1 pr (field cables)</t>
        </is>
      </c>
      <c r="E6172" s="12" t="inlineStr"/>
      <c r="F6172" s="12" t="inlineStr">
        <is>
          <t xml:space="preserve">CO2 compression 3 x ~19 MW + dehydration: rooftop HVAC, exhaust fans, </t>
        </is>
      </c>
      <c r="G6172" s="12" t="inlineStr">
        <is>
          <t>JB-CO2 compression 3 -AI02</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PLTC|1 pr|16</t>
        </is>
      </c>
      <c r="L6172" s="12" t="inlineStr">
        <is>
          <t>1 pr</t>
        </is>
      </c>
      <c r="M6172" s="12" t="inlineStr">
        <is>
          <t>16</t>
        </is>
      </c>
      <c r="N6172" s="12" t="n">
        <v>20</v>
      </c>
      <c r="O6172" s="12" t="n">
        <v>1</v>
      </c>
      <c r="P6172" s="12" t="n"/>
      <c r="Q6172" s="12" t="n"/>
      <c r="R6172" s="12" t="n"/>
      <c r="S6172" s="12" t="inlineStr">
        <is>
          <t>Tray / conduit</t>
        </is>
      </c>
      <c r="T6172" s="15" t="n">
        <v>161</v>
      </c>
      <c r="U6172" s="15" t="n">
        <v>10</v>
      </c>
      <c r="V6172" s="15">
        <f>ROUNDUP((T6172+U6172+2*'Read Me'!$B$13)*(1+'Read Me'!$B$12),-1)</f>
        <v/>
      </c>
      <c r="W6172" s="15">
        <f>V6172*N6172*O6172</f>
        <v/>
      </c>
      <c r="X6172" s="12">
        <f>IF(LEFT(I6172,2)="MV",2*N6172*IF(L6172="1/C",O6172,1),0)</f>
        <v/>
      </c>
      <c r="Y6172" s="12">
        <f>IF(OR(LEFT(K6172,4)="LVAX",LEFT(K6172,6)="MV15AX",LEFT(K6172,4)="CTAX",LEFT(K6172,2)="W|"),2*N6172*O6172,0)</f>
        <v/>
      </c>
      <c r="Z6172" s="12" t="inlineStr">
        <is>
          <t>device-to-JB field wiring, one cable per device</t>
        </is>
      </c>
      <c r="AA6172" s="12">
        <f>N6172*O6172</f>
        <v/>
      </c>
    </row>
    <row r="6173">
      <c r="A6173" s="12" t="inlineStr">
        <is>
          <t>C-I-0084</t>
        </is>
      </c>
      <c r="B6173" s="12" t="inlineStr">
        <is>
          <t>C</t>
        </is>
      </c>
      <c r="C6173" s="12" t="inlineStr">
        <is>
          <t>Grid interface</t>
        </is>
      </c>
      <c r="D6173" s="12" t="inlineStr">
        <is>
          <t>Home run JB-CO2 compression 3 -AI02 to the control / marshalling room</t>
        </is>
      </c>
      <c r="E6173" s="12" t="inlineStr">
        <is>
          <t>R1</t>
        </is>
      </c>
      <c r="F6173" s="12" t="inlineStr">
        <is>
          <t>R1: main electrical building (64 x 180 ft)</t>
        </is>
      </c>
      <c r="G6173" s="12" t="inlineStr">
        <is>
          <t>JB-CO2 compression 3 -AI02</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PLTC|24 pr|18</t>
        </is>
      </c>
      <c r="L6173" s="12" t="inlineStr">
        <is>
          <t>24 pr</t>
        </is>
      </c>
      <c r="M6173" s="12" t="inlineStr">
        <is>
          <t>18</t>
        </is>
      </c>
      <c r="N6173" s="12" t="n">
        <v>1</v>
      </c>
      <c r="O6173" s="12" t="n">
        <v>1</v>
      </c>
      <c r="P6173" s="12" t="n"/>
      <c r="Q6173" s="12" t="n"/>
      <c r="R6173" s="12" t="n"/>
      <c r="S6173" s="12" t="inlineStr">
        <is>
          <t>Tray</t>
        </is>
      </c>
      <c r="T6173" s="15" t="n">
        <v>2186</v>
      </c>
      <c r="U6173" s="15" t="n">
        <v>268</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C-I-0085</t>
        </is>
      </c>
      <c r="B6174" s="12" t="inlineStr">
        <is>
          <t>C</t>
        </is>
      </c>
      <c r="C6174" s="12" t="inlineStr">
        <is>
          <t>Grid interface</t>
        </is>
      </c>
      <c r="D6174" s="12" t="inlineStr">
        <is>
          <t>Analog instrument to JB JB-CO2 compression 3 -AI03: 20 x 1 pr (field cables)</t>
        </is>
      </c>
      <c r="E6174" s="12" t="inlineStr"/>
      <c r="F6174" s="12" t="inlineStr">
        <is>
          <t xml:space="preserve">CO2 compression 3 x ~19 MW + dehydration: rooftop HVAC, exhaust fans, </t>
        </is>
      </c>
      <c r="G6174" s="12" t="inlineStr">
        <is>
          <t>JB-CO2 compression 3 -AI03</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PLTC|1 pr|16</t>
        </is>
      </c>
      <c r="L6174" s="12" t="inlineStr">
        <is>
          <t>1 pr</t>
        </is>
      </c>
      <c r="M6174" s="12" t="inlineStr">
        <is>
          <t>16</t>
        </is>
      </c>
      <c r="N6174" s="12" t="n">
        <v>20</v>
      </c>
      <c r="O6174" s="12" t="n">
        <v>1</v>
      </c>
      <c r="P6174" s="12" t="n"/>
      <c r="Q6174" s="12" t="n"/>
      <c r="R6174" s="12" t="n"/>
      <c r="S6174" s="12" t="inlineStr">
        <is>
          <t>Tray / conduit</t>
        </is>
      </c>
      <c r="T6174" s="15" t="n">
        <v>161</v>
      </c>
      <c r="U6174" s="15" t="n">
        <v>10</v>
      </c>
      <c r="V6174" s="15">
        <f>ROUNDUP((T6174+U6174+2*'Read Me'!$B$13)*(1+'Read Me'!$B$12),-1)</f>
        <v/>
      </c>
      <c r="W6174" s="15">
        <f>V6174*N6174*O6174</f>
        <v/>
      </c>
      <c r="X6174" s="12">
        <f>IF(LEFT(I6174,2)="MV",2*N6174*IF(L6174="1/C",O6174,1),0)</f>
        <v/>
      </c>
      <c r="Y6174" s="12">
        <f>IF(OR(LEFT(K6174,4)="LVAX",LEFT(K6174,6)="MV15AX",LEFT(K6174,4)="CTAX",LEFT(K6174,2)="W|"),2*N6174*O6174,0)</f>
        <v/>
      </c>
      <c r="Z6174" s="12" t="inlineStr">
        <is>
          <t>device-to-JB field wiring, one cable per device</t>
        </is>
      </c>
      <c r="AA6174" s="12">
        <f>N6174*O6174</f>
        <v/>
      </c>
    </row>
    <row r="6175">
      <c r="A6175" s="12" t="inlineStr">
        <is>
          <t>C-I-0086</t>
        </is>
      </c>
      <c r="B6175" s="12" t="inlineStr">
        <is>
          <t>C</t>
        </is>
      </c>
      <c r="C6175" s="12" t="inlineStr">
        <is>
          <t>Grid interface</t>
        </is>
      </c>
      <c r="D6175" s="12" t="inlineStr">
        <is>
          <t>Home run JB-CO2 compression 3 -AI03 to the control / marshalling room</t>
        </is>
      </c>
      <c r="E6175" s="12" t="inlineStr">
        <is>
          <t>R1</t>
        </is>
      </c>
      <c r="F6175" s="12" t="inlineStr">
        <is>
          <t>R1: main electrical building (64 x 180 ft)</t>
        </is>
      </c>
      <c r="G6175" s="12" t="inlineStr">
        <is>
          <t>JB-CO2 compression 3 -AI03</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PLTC|24 pr|18</t>
        </is>
      </c>
      <c r="L6175" s="12" t="inlineStr">
        <is>
          <t>24 pr</t>
        </is>
      </c>
      <c r="M6175" s="12" t="inlineStr">
        <is>
          <t>18</t>
        </is>
      </c>
      <c r="N6175" s="12" t="n">
        <v>1</v>
      </c>
      <c r="O6175" s="12" t="n">
        <v>1</v>
      </c>
      <c r="P6175" s="12" t="n"/>
      <c r="Q6175" s="12" t="n"/>
      <c r="R6175" s="12" t="n"/>
      <c r="S6175" s="12" t="inlineStr">
        <is>
          <t>Tray</t>
        </is>
      </c>
      <c r="T6175" s="15" t="n">
        <v>2186</v>
      </c>
      <c r="U6175" s="15" t="n">
        <v>268</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C-I-0087</t>
        </is>
      </c>
      <c r="B6176" s="12" t="inlineStr">
        <is>
          <t>C</t>
        </is>
      </c>
      <c r="C6176" s="12" t="inlineStr">
        <is>
          <t>Grid interface</t>
        </is>
      </c>
      <c r="D6176" s="12" t="inlineStr">
        <is>
          <t>Analog instrument to JB JB-CO2 compression 3 -AI04: 20 x 1 pr (field cables)</t>
        </is>
      </c>
      <c r="E6176" s="12" t="inlineStr"/>
      <c r="F6176" s="12" t="inlineStr">
        <is>
          <t xml:space="preserve">CO2 compression 3 x ~19 MW + dehydration: rooftop HVAC, exhaust fans, </t>
        </is>
      </c>
      <c r="G6176" s="12" t="inlineStr">
        <is>
          <t>JB-CO2 compression 3 -AI04</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PLTC|1 pr|16</t>
        </is>
      </c>
      <c r="L6176" s="12" t="inlineStr">
        <is>
          <t>1 pr</t>
        </is>
      </c>
      <c r="M6176" s="12" t="inlineStr">
        <is>
          <t>16</t>
        </is>
      </c>
      <c r="N6176" s="12" t="n">
        <v>20</v>
      </c>
      <c r="O6176" s="12" t="n">
        <v>1</v>
      </c>
      <c r="P6176" s="12" t="n"/>
      <c r="Q6176" s="12" t="n"/>
      <c r="R6176" s="12" t="n"/>
      <c r="S6176" s="12" t="inlineStr">
        <is>
          <t>Tray / conduit</t>
        </is>
      </c>
      <c r="T6176" s="15" t="n">
        <v>161</v>
      </c>
      <c r="U6176" s="15" t="n">
        <v>10</v>
      </c>
      <c r="V6176" s="15">
        <f>ROUNDUP((T6176+U6176+2*'Read Me'!$B$13)*(1+'Read Me'!$B$12),-1)</f>
        <v/>
      </c>
      <c r="W6176" s="15">
        <f>V6176*N6176*O6176</f>
        <v/>
      </c>
      <c r="X6176" s="12">
        <f>IF(LEFT(I6176,2)="MV",2*N6176*IF(L6176="1/C",O6176,1),0)</f>
        <v/>
      </c>
      <c r="Y6176" s="12">
        <f>IF(OR(LEFT(K6176,4)="LVAX",LEFT(K6176,6)="MV15AX",LEFT(K6176,4)="CTAX",LEFT(K6176,2)="W|"),2*N6176*O6176,0)</f>
        <v/>
      </c>
      <c r="Z6176" s="12" t="inlineStr">
        <is>
          <t>device-to-JB field wiring, one cable per device</t>
        </is>
      </c>
      <c r="AA6176" s="12">
        <f>N6176*O6176</f>
        <v/>
      </c>
    </row>
    <row r="6177">
      <c r="A6177" s="12" t="inlineStr">
        <is>
          <t>C-I-0088</t>
        </is>
      </c>
      <c r="B6177" s="12" t="inlineStr">
        <is>
          <t>C</t>
        </is>
      </c>
      <c r="C6177" s="12" t="inlineStr">
        <is>
          <t>Grid interface</t>
        </is>
      </c>
      <c r="D6177" s="12" t="inlineStr">
        <is>
          <t>Home run JB-CO2 compression 3 -AI04 to the control / marshalling room</t>
        </is>
      </c>
      <c r="E6177" s="12" t="inlineStr">
        <is>
          <t>R1</t>
        </is>
      </c>
      <c r="F6177" s="12" t="inlineStr">
        <is>
          <t>R1: main electrical building (64 x 180 ft)</t>
        </is>
      </c>
      <c r="G6177" s="12" t="inlineStr">
        <is>
          <t>JB-CO2 compression 3 -AI04</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PLTC|24 pr|18</t>
        </is>
      </c>
      <c r="L6177" s="12" t="inlineStr">
        <is>
          <t>24 pr</t>
        </is>
      </c>
      <c r="M6177" s="12" t="inlineStr">
        <is>
          <t>18</t>
        </is>
      </c>
      <c r="N6177" s="12" t="n">
        <v>1</v>
      </c>
      <c r="O6177" s="12" t="n">
        <v>1</v>
      </c>
      <c r="P6177" s="12" t="n"/>
      <c r="Q6177" s="12" t="n"/>
      <c r="R6177" s="12" t="n"/>
      <c r="S6177" s="12" t="inlineStr">
        <is>
          <t>Tray</t>
        </is>
      </c>
      <c r="T6177" s="15" t="n">
        <v>2186</v>
      </c>
      <c r="U6177" s="15" t="n">
        <v>268</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C-I-0089</t>
        </is>
      </c>
      <c r="B6178" s="12" t="inlineStr">
        <is>
          <t>C</t>
        </is>
      </c>
      <c r="C6178" s="12" t="inlineStr">
        <is>
          <t>Grid interface</t>
        </is>
      </c>
      <c r="D6178" s="12" t="inlineStr">
        <is>
          <t>Analog instrument to JB JB-CO2 compression 3 -AI05: 20 x 1 pr (field cables)</t>
        </is>
      </c>
      <c r="E6178" s="12" t="inlineStr"/>
      <c r="F6178" s="12" t="inlineStr">
        <is>
          <t xml:space="preserve">CO2 compression 3 x ~19 MW + dehydration: rooftop HVAC, exhaust fans, </t>
        </is>
      </c>
      <c r="G6178" s="12" t="inlineStr">
        <is>
          <t>JB-CO2 compression 3 -AI05</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PLTC|1 pr|16</t>
        </is>
      </c>
      <c r="L6178" s="12" t="inlineStr">
        <is>
          <t>1 pr</t>
        </is>
      </c>
      <c r="M6178" s="12" t="inlineStr">
        <is>
          <t>16</t>
        </is>
      </c>
      <c r="N6178" s="12" t="n">
        <v>20</v>
      </c>
      <c r="O6178" s="12" t="n">
        <v>1</v>
      </c>
      <c r="P6178" s="12" t="n"/>
      <c r="Q6178" s="12" t="n"/>
      <c r="R6178" s="12" t="n"/>
      <c r="S6178" s="12" t="inlineStr">
        <is>
          <t>Tray / conduit</t>
        </is>
      </c>
      <c r="T6178" s="15" t="n">
        <v>161</v>
      </c>
      <c r="U6178" s="15" t="n">
        <v>10</v>
      </c>
      <c r="V6178" s="15">
        <f>ROUNDUP((T6178+U6178+2*'Read Me'!$B$13)*(1+'Read Me'!$B$12),-1)</f>
        <v/>
      </c>
      <c r="W6178" s="15">
        <f>V6178*N6178*O6178</f>
        <v/>
      </c>
      <c r="X6178" s="12">
        <f>IF(LEFT(I6178,2)="MV",2*N6178*IF(L6178="1/C",O6178,1),0)</f>
        <v/>
      </c>
      <c r="Y6178" s="12">
        <f>IF(OR(LEFT(K6178,4)="LVAX",LEFT(K6178,6)="MV15AX",LEFT(K6178,4)="CTAX",LEFT(K6178,2)="W|"),2*N6178*O6178,0)</f>
        <v/>
      </c>
      <c r="Z6178" s="12" t="inlineStr">
        <is>
          <t>device-to-JB field wiring, one cable per device</t>
        </is>
      </c>
      <c r="AA6178" s="12">
        <f>N6178*O6178</f>
        <v/>
      </c>
    </row>
    <row r="6179">
      <c r="A6179" s="12" t="inlineStr">
        <is>
          <t>C-I-0090</t>
        </is>
      </c>
      <c r="B6179" s="12" t="inlineStr">
        <is>
          <t>C</t>
        </is>
      </c>
      <c r="C6179" s="12" t="inlineStr">
        <is>
          <t>Grid interface</t>
        </is>
      </c>
      <c r="D6179" s="12" t="inlineStr">
        <is>
          <t>Home run JB-CO2 compression 3 -AI05 to the control / marshalling room</t>
        </is>
      </c>
      <c r="E6179" s="12" t="inlineStr">
        <is>
          <t>R1</t>
        </is>
      </c>
      <c r="F6179" s="12" t="inlineStr">
        <is>
          <t>R1: main electrical building (64 x 180 ft)</t>
        </is>
      </c>
      <c r="G6179" s="12" t="inlineStr">
        <is>
          <t>JB-CO2 compression 3 -AI05</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PLTC|24 pr|18</t>
        </is>
      </c>
      <c r="L6179" s="12" t="inlineStr">
        <is>
          <t>24 pr</t>
        </is>
      </c>
      <c r="M6179" s="12" t="inlineStr">
        <is>
          <t>18</t>
        </is>
      </c>
      <c r="N6179" s="12" t="n">
        <v>1</v>
      </c>
      <c r="O6179" s="12" t="n">
        <v>1</v>
      </c>
      <c r="P6179" s="12" t="n"/>
      <c r="Q6179" s="12" t="n"/>
      <c r="R6179" s="12" t="n"/>
      <c r="S6179" s="12" t="inlineStr">
        <is>
          <t>Tray</t>
        </is>
      </c>
      <c r="T6179" s="15" t="n">
        <v>2186</v>
      </c>
      <c r="U6179" s="15" t="n">
        <v>268</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C-I-0091</t>
        </is>
      </c>
      <c r="B6180" s="12" t="inlineStr">
        <is>
          <t>C</t>
        </is>
      </c>
      <c r="C6180" s="12" t="inlineStr">
        <is>
          <t>Grid interface</t>
        </is>
      </c>
      <c r="D6180" s="12" t="inlineStr">
        <is>
          <t>Analog instrument to JB JB-CO2 compression 3 -AI06: 20 x 1 pr (field cables)</t>
        </is>
      </c>
      <c r="E6180" s="12" t="inlineStr"/>
      <c r="F6180" s="12" t="inlineStr">
        <is>
          <t xml:space="preserve">CO2 compression 3 x ~19 MW + dehydration: rooftop HVAC, exhaust fans, </t>
        </is>
      </c>
      <c r="G6180" s="12" t="inlineStr">
        <is>
          <t>JB-CO2 compression 3 -AI06</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PLTC|1 pr|16</t>
        </is>
      </c>
      <c r="L6180" s="12" t="inlineStr">
        <is>
          <t>1 pr</t>
        </is>
      </c>
      <c r="M6180" s="12" t="inlineStr">
        <is>
          <t>16</t>
        </is>
      </c>
      <c r="N6180" s="12" t="n">
        <v>20</v>
      </c>
      <c r="O6180" s="12" t="n">
        <v>1</v>
      </c>
      <c r="P6180" s="12" t="n"/>
      <c r="Q6180" s="12" t="n"/>
      <c r="R6180" s="12" t="n"/>
      <c r="S6180" s="12" t="inlineStr">
        <is>
          <t>Tray / conduit</t>
        </is>
      </c>
      <c r="T6180" s="15" t="n">
        <v>161</v>
      </c>
      <c r="U6180" s="15" t="n">
        <v>10</v>
      </c>
      <c r="V6180" s="15">
        <f>ROUNDUP((T6180+U6180+2*'Read Me'!$B$13)*(1+'Read Me'!$B$12),-1)</f>
        <v/>
      </c>
      <c r="W6180" s="15">
        <f>V6180*N6180*O6180</f>
        <v/>
      </c>
      <c r="X6180" s="12">
        <f>IF(LEFT(I6180,2)="MV",2*N6180*IF(L6180="1/C",O6180,1),0)</f>
        <v/>
      </c>
      <c r="Y6180" s="12">
        <f>IF(OR(LEFT(K6180,4)="LVAX",LEFT(K6180,6)="MV15AX",LEFT(K6180,4)="CTAX",LEFT(K6180,2)="W|"),2*N6180*O6180,0)</f>
        <v/>
      </c>
      <c r="Z6180" s="12" t="inlineStr">
        <is>
          <t>device-to-JB field wiring, one cable per device</t>
        </is>
      </c>
      <c r="AA6180" s="12">
        <f>N6180*O6180</f>
        <v/>
      </c>
    </row>
    <row r="6181">
      <c r="A6181" s="12" t="inlineStr">
        <is>
          <t>C-I-0092</t>
        </is>
      </c>
      <c r="B6181" s="12" t="inlineStr">
        <is>
          <t>C</t>
        </is>
      </c>
      <c r="C6181" s="12" t="inlineStr">
        <is>
          <t>Grid interface</t>
        </is>
      </c>
      <c r="D6181" s="12" t="inlineStr">
        <is>
          <t>Home run JB-CO2 compression 3 -AI06 to the control / marshalling room</t>
        </is>
      </c>
      <c r="E6181" s="12" t="inlineStr">
        <is>
          <t>R1</t>
        </is>
      </c>
      <c r="F6181" s="12" t="inlineStr">
        <is>
          <t>R1: main electrical building (64 x 180 ft)</t>
        </is>
      </c>
      <c r="G6181" s="12" t="inlineStr">
        <is>
          <t>JB-CO2 compression 3 -AI06</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PLTC|24 pr|18</t>
        </is>
      </c>
      <c r="L6181" s="12" t="inlineStr">
        <is>
          <t>24 pr</t>
        </is>
      </c>
      <c r="M6181" s="12" t="inlineStr">
        <is>
          <t>18</t>
        </is>
      </c>
      <c r="N6181" s="12" t="n">
        <v>1</v>
      </c>
      <c r="O6181" s="12" t="n">
        <v>1</v>
      </c>
      <c r="P6181" s="12" t="n"/>
      <c r="Q6181" s="12" t="n"/>
      <c r="R6181" s="12" t="n"/>
      <c r="S6181" s="12" t="inlineStr">
        <is>
          <t>Tray</t>
        </is>
      </c>
      <c r="T6181" s="15" t="n">
        <v>2186</v>
      </c>
      <c r="U6181" s="15" t="n">
        <v>268</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C-I-0093</t>
        </is>
      </c>
      <c r="B6182" s="12" t="inlineStr">
        <is>
          <t>C</t>
        </is>
      </c>
      <c r="C6182" s="12" t="inlineStr">
        <is>
          <t>Grid interface</t>
        </is>
      </c>
      <c r="D6182" s="12" t="inlineStr">
        <is>
          <t>Analog instrument to JB JB-CO2 compression 3 -AI07: 20 x 1 pr (field cables)</t>
        </is>
      </c>
      <c r="E6182" s="12" t="inlineStr"/>
      <c r="F6182" s="12" t="inlineStr">
        <is>
          <t xml:space="preserve">CO2 compression 3 x ~19 MW + dehydration: rooftop HVAC, exhaust fans, </t>
        </is>
      </c>
      <c r="G6182" s="12" t="inlineStr">
        <is>
          <t>JB-CO2 compression 3 -AI07</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PLTC|1 pr|16</t>
        </is>
      </c>
      <c r="L6182" s="12" t="inlineStr">
        <is>
          <t>1 pr</t>
        </is>
      </c>
      <c r="M6182" s="12" t="inlineStr">
        <is>
          <t>16</t>
        </is>
      </c>
      <c r="N6182" s="12" t="n">
        <v>20</v>
      </c>
      <c r="O6182" s="12" t="n">
        <v>1</v>
      </c>
      <c r="P6182" s="12" t="n"/>
      <c r="Q6182" s="12" t="n"/>
      <c r="R6182" s="12" t="n"/>
      <c r="S6182" s="12" t="inlineStr">
        <is>
          <t>Tray / conduit</t>
        </is>
      </c>
      <c r="T6182" s="15" t="n">
        <v>161</v>
      </c>
      <c r="U6182" s="15" t="n">
        <v>10</v>
      </c>
      <c r="V6182" s="15">
        <f>ROUNDUP((T6182+U6182+2*'Read Me'!$B$13)*(1+'Read Me'!$B$12),-1)</f>
        <v/>
      </c>
      <c r="W6182" s="15">
        <f>V6182*N6182*O6182</f>
        <v/>
      </c>
      <c r="X6182" s="12">
        <f>IF(LEFT(I6182,2)="MV",2*N6182*IF(L6182="1/C",O6182,1),0)</f>
        <v/>
      </c>
      <c r="Y6182" s="12">
        <f>IF(OR(LEFT(K6182,4)="LVAX",LEFT(K6182,6)="MV15AX",LEFT(K6182,4)="CTAX",LEFT(K6182,2)="W|"),2*N6182*O6182,0)</f>
        <v/>
      </c>
      <c r="Z6182" s="12" t="inlineStr">
        <is>
          <t>device-to-JB field wiring, one cable per device</t>
        </is>
      </c>
      <c r="AA6182" s="12">
        <f>N6182*O6182</f>
        <v/>
      </c>
    </row>
    <row r="6183">
      <c r="A6183" s="12" t="inlineStr">
        <is>
          <t>C-I-0094</t>
        </is>
      </c>
      <c r="B6183" s="12" t="inlineStr">
        <is>
          <t>C</t>
        </is>
      </c>
      <c r="C6183" s="12" t="inlineStr">
        <is>
          <t>Grid interface</t>
        </is>
      </c>
      <c r="D6183" s="12" t="inlineStr">
        <is>
          <t>Home run JB-CO2 compression 3 -AI07 to the control / marshalling room</t>
        </is>
      </c>
      <c r="E6183" s="12" t="inlineStr">
        <is>
          <t>R1</t>
        </is>
      </c>
      <c r="F6183" s="12" t="inlineStr">
        <is>
          <t>R1: main electrical building (64 x 180 ft)</t>
        </is>
      </c>
      <c r="G6183" s="12" t="inlineStr">
        <is>
          <t>JB-CO2 compression 3 -AI07</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PLTC|24 pr|18</t>
        </is>
      </c>
      <c r="L6183" s="12" t="inlineStr">
        <is>
          <t>24 pr</t>
        </is>
      </c>
      <c r="M6183" s="12" t="inlineStr">
        <is>
          <t>18</t>
        </is>
      </c>
      <c r="N6183" s="12" t="n">
        <v>1</v>
      </c>
      <c r="O6183" s="12" t="n">
        <v>1</v>
      </c>
      <c r="P6183" s="12" t="n"/>
      <c r="Q6183" s="12" t="n"/>
      <c r="R6183" s="12" t="n"/>
      <c r="S6183" s="12" t="inlineStr">
        <is>
          <t>Tray</t>
        </is>
      </c>
      <c r="T6183" s="15" t="n">
        <v>2186</v>
      </c>
      <c r="U6183" s="15" t="n">
        <v>268</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C-I-0095</t>
        </is>
      </c>
      <c r="B6184" s="12" t="inlineStr">
        <is>
          <t>C</t>
        </is>
      </c>
      <c r="C6184" s="12" t="inlineStr">
        <is>
          <t>Grid interface</t>
        </is>
      </c>
      <c r="D6184" s="12" t="inlineStr">
        <is>
          <t>Analog instrument to JB JB-CO2 compression 3 -AI08: 10 x 1 pr (field cables)</t>
        </is>
      </c>
      <c r="E6184" s="12" t="inlineStr"/>
      <c r="F6184" s="12" t="inlineStr">
        <is>
          <t xml:space="preserve">CO2 compression 3 x ~19 MW + dehydration: rooftop HVAC, exhaust fans, </t>
        </is>
      </c>
      <c r="G6184" s="12" t="inlineStr">
        <is>
          <t>JB-CO2 compression 3 -AI08</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PLTC|1 pr|16</t>
        </is>
      </c>
      <c r="L6184" s="12" t="inlineStr">
        <is>
          <t>1 pr</t>
        </is>
      </c>
      <c r="M6184" s="12" t="inlineStr">
        <is>
          <t>16</t>
        </is>
      </c>
      <c r="N6184" s="12" t="n">
        <v>10</v>
      </c>
      <c r="O6184" s="12" t="n">
        <v>1</v>
      </c>
      <c r="P6184" s="12" t="n"/>
      <c r="Q6184" s="12" t="n"/>
      <c r="R6184" s="12" t="n"/>
      <c r="S6184" s="12" t="inlineStr">
        <is>
          <t>Tray / conduit</t>
        </is>
      </c>
      <c r="T6184" s="15" t="n">
        <v>161</v>
      </c>
      <c r="U6184" s="15" t="n">
        <v>10</v>
      </c>
      <c r="V6184" s="15">
        <f>ROUNDUP((T6184+U6184+2*'Read Me'!$B$13)*(1+'Read Me'!$B$12),-1)</f>
        <v/>
      </c>
      <c r="W6184" s="15">
        <f>V6184*N6184*O6184</f>
        <v/>
      </c>
      <c r="X6184" s="12">
        <f>IF(LEFT(I6184,2)="MV",2*N6184*IF(L6184="1/C",O6184,1),0)</f>
        <v/>
      </c>
      <c r="Y6184" s="12">
        <f>IF(OR(LEFT(K6184,4)="LVAX",LEFT(K6184,6)="MV15AX",LEFT(K6184,4)="CTAX",LEFT(K6184,2)="W|"),2*N6184*O6184,0)</f>
        <v/>
      </c>
      <c r="Z6184" s="12" t="inlineStr">
        <is>
          <t>device-to-JB field wiring, one cable per device</t>
        </is>
      </c>
      <c r="AA6184" s="12">
        <f>N6184*O6184</f>
        <v/>
      </c>
    </row>
    <row r="6185">
      <c r="A6185" s="12" t="inlineStr">
        <is>
          <t>C-I-0096</t>
        </is>
      </c>
      <c r="B6185" s="12" t="inlineStr">
        <is>
          <t>C</t>
        </is>
      </c>
      <c r="C6185" s="12" t="inlineStr">
        <is>
          <t>Grid interface</t>
        </is>
      </c>
      <c r="D6185" s="12" t="inlineStr">
        <is>
          <t>Home run JB-CO2 compression 3 -AI08 to the control / marshalling room</t>
        </is>
      </c>
      <c r="E6185" s="12" t="inlineStr">
        <is>
          <t>R1</t>
        </is>
      </c>
      <c r="F6185" s="12" t="inlineStr">
        <is>
          <t>R1: main electrical building (64 x 180 ft)</t>
        </is>
      </c>
      <c r="G6185" s="12" t="inlineStr">
        <is>
          <t>JB-CO2 compression 3 -AI08</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PLTC|24 pr|18</t>
        </is>
      </c>
      <c r="L6185" s="12" t="inlineStr">
        <is>
          <t>24 pr</t>
        </is>
      </c>
      <c r="M6185" s="12" t="inlineStr">
        <is>
          <t>18</t>
        </is>
      </c>
      <c r="N6185" s="12" t="n">
        <v>1</v>
      </c>
      <c r="O6185" s="12" t="n">
        <v>1</v>
      </c>
      <c r="P6185" s="12" t="n"/>
      <c r="Q6185" s="12" t="n"/>
      <c r="R6185" s="12" t="n"/>
      <c r="S6185" s="12" t="inlineStr">
        <is>
          <t>Tray</t>
        </is>
      </c>
      <c r="T6185" s="15" t="n">
        <v>2186</v>
      </c>
      <c r="U6185" s="15" t="n">
        <v>268</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C-I-0097</t>
        </is>
      </c>
      <c r="B6186" s="12" t="inlineStr">
        <is>
          <t>C</t>
        </is>
      </c>
      <c r="C6186" s="12" t="inlineStr">
        <is>
          <t>Grid interface</t>
        </is>
      </c>
      <c r="D6186" s="12" t="inlineStr">
        <is>
          <t>Discrete device to JB JB-CO2 compression 3 -DI01: 20 x 1 pr (field cables)</t>
        </is>
      </c>
      <c r="E6186" s="12" t="inlineStr"/>
      <c r="F6186" s="12" t="inlineStr">
        <is>
          <t xml:space="preserve">CO2 compression 3 x ~19 MW + dehydration: rooftop HVAC, exhaust fans, </t>
        </is>
      </c>
      <c r="G6186" s="12" t="inlineStr">
        <is>
          <t>JB-CO2 compression 3 -DI01</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PLTC|1 pr|16</t>
        </is>
      </c>
      <c r="L6186" s="12" t="inlineStr">
        <is>
          <t>1 pr</t>
        </is>
      </c>
      <c r="M6186" s="12" t="inlineStr">
        <is>
          <t>16</t>
        </is>
      </c>
      <c r="N6186" s="12" t="n">
        <v>20</v>
      </c>
      <c r="O6186" s="12" t="n">
        <v>1</v>
      </c>
      <c r="P6186" s="12" t="n"/>
      <c r="Q6186" s="12" t="n"/>
      <c r="R6186" s="12" t="n"/>
      <c r="S6186" s="12" t="inlineStr">
        <is>
          <t>Tray / conduit</t>
        </is>
      </c>
      <c r="T6186" s="15" t="n">
        <v>161</v>
      </c>
      <c r="U6186" s="15" t="n">
        <v>10</v>
      </c>
      <c r="V6186" s="15">
        <f>ROUNDUP((T6186+U6186+2*'Read Me'!$B$13)*(1+'Read Me'!$B$12),-1)</f>
        <v/>
      </c>
      <c r="W6186" s="15">
        <f>V6186*N6186*O6186</f>
        <v/>
      </c>
      <c r="X6186" s="12">
        <f>IF(LEFT(I6186,2)="MV",2*N6186*IF(L6186="1/C",O6186,1),0)</f>
        <v/>
      </c>
      <c r="Y6186" s="12">
        <f>IF(OR(LEFT(K6186,4)="LVAX",LEFT(K6186,6)="MV15AX",LEFT(K6186,4)="CTAX",LEFT(K6186,2)="W|"),2*N6186*O6186,0)</f>
        <v/>
      </c>
      <c r="Z6186" s="12" t="inlineStr">
        <is>
          <t>device-to-JB field wiring, one cable per device</t>
        </is>
      </c>
      <c r="AA6186" s="12">
        <f>N6186*O6186</f>
        <v/>
      </c>
    </row>
    <row r="6187">
      <c r="A6187" s="12" t="inlineStr">
        <is>
          <t>C-I-0098</t>
        </is>
      </c>
      <c r="B6187" s="12" t="inlineStr">
        <is>
          <t>C</t>
        </is>
      </c>
      <c r="C6187" s="12" t="inlineStr">
        <is>
          <t>Grid interface</t>
        </is>
      </c>
      <c r="D6187" s="12" t="inlineStr">
        <is>
          <t>Home run JB-CO2 compression 3 -DI01 to the control / marshalling room</t>
        </is>
      </c>
      <c r="E6187" s="12" t="inlineStr">
        <is>
          <t>R1</t>
        </is>
      </c>
      <c r="F6187" s="12" t="inlineStr">
        <is>
          <t>R1: main electrical building (64 x 180 ft)</t>
        </is>
      </c>
      <c r="G6187" s="12" t="inlineStr">
        <is>
          <t>JB-CO2 compression 3 -DI01</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PLTC|24 pr|18</t>
        </is>
      </c>
      <c r="L6187" s="12" t="inlineStr">
        <is>
          <t>24 pr</t>
        </is>
      </c>
      <c r="M6187" s="12" t="inlineStr">
        <is>
          <t>18</t>
        </is>
      </c>
      <c r="N6187" s="12" t="n">
        <v>1</v>
      </c>
      <c r="O6187" s="12" t="n">
        <v>1</v>
      </c>
      <c r="P6187" s="12" t="n"/>
      <c r="Q6187" s="12" t="n"/>
      <c r="R6187" s="12" t="n"/>
      <c r="S6187" s="12" t="inlineStr">
        <is>
          <t>Tray</t>
        </is>
      </c>
      <c r="T6187" s="15" t="n">
        <v>2186</v>
      </c>
      <c r="U6187" s="15" t="n">
        <v>268</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C-I-0099</t>
        </is>
      </c>
      <c r="B6188" s="12" t="inlineStr">
        <is>
          <t>C</t>
        </is>
      </c>
      <c r="C6188" s="12" t="inlineStr">
        <is>
          <t>Grid interface</t>
        </is>
      </c>
      <c r="D6188" s="12" t="inlineStr">
        <is>
          <t>Discrete device to JB JB-CO2 compression 3 -DI02: 20 x 1 pr (field cables)</t>
        </is>
      </c>
      <c r="E6188" s="12" t="inlineStr"/>
      <c r="F6188" s="12" t="inlineStr">
        <is>
          <t xml:space="preserve">CO2 compression 3 x ~19 MW + dehydration: rooftop HVAC, exhaust fans, </t>
        </is>
      </c>
      <c r="G6188" s="12" t="inlineStr">
        <is>
          <t>JB-CO2 compression 3 -DI02</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PLTC|1 pr|16</t>
        </is>
      </c>
      <c r="L6188" s="12" t="inlineStr">
        <is>
          <t>1 pr</t>
        </is>
      </c>
      <c r="M6188" s="12" t="inlineStr">
        <is>
          <t>16</t>
        </is>
      </c>
      <c r="N6188" s="12" t="n">
        <v>20</v>
      </c>
      <c r="O6188" s="12" t="n">
        <v>1</v>
      </c>
      <c r="P6188" s="12" t="n"/>
      <c r="Q6188" s="12" t="n"/>
      <c r="R6188" s="12" t="n"/>
      <c r="S6188" s="12" t="inlineStr">
        <is>
          <t>Tray / conduit</t>
        </is>
      </c>
      <c r="T6188" s="15" t="n">
        <v>161</v>
      </c>
      <c r="U6188" s="15" t="n">
        <v>10</v>
      </c>
      <c r="V6188" s="15">
        <f>ROUNDUP((T6188+U6188+2*'Read Me'!$B$13)*(1+'Read Me'!$B$12),-1)</f>
        <v/>
      </c>
      <c r="W6188" s="15">
        <f>V6188*N6188*O6188</f>
        <v/>
      </c>
      <c r="X6188" s="12">
        <f>IF(LEFT(I6188,2)="MV",2*N6188*IF(L6188="1/C",O6188,1),0)</f>
        <v/>
      </c>
      <c r="Y6188" s="12">
        <f>IF(OR(LEFT(K6188,4)="LVAX",LEFT(K6188,6)="MV15AX",LEFT(K6188,4)="CTAX",LEFT(K6188,2)="W|"),2*N6188*O6188,0)</f>
        <v/>
      </c>
      <c r="Z6188" s="12" t="inlineStr">
        <is>
          <t>device-to-JB field wiring, one cable per device</t>
        </is>
      </c>
      <c r="AA6188" s="12">
        <f>N6188*O6188</f>
        <v/>
      </c>
    </row>
    <row r="6189">
      <c r="A6189" s="12" t="inlineStr">
        <is>
          <t>C-I-0100</t>
        </is>
      </c>
      <c r="B6189" s="12" t="inlineStr">
        <is>
          <t>C</t>
        </is>
      </c>
      <c r="C6189" s="12" t="inlineStr">
        <is>
          <t>Grid interface</t>
        </is>
      </c>
      <c r="D6189" s="12" t="inlineStr">
        <is>
          <t>Home run JB-CO2 compression 3 -DI02 to the control / marshalling room</t>
        </is>
      </c>
      <c r="E6189" s="12" t="inlineStr">
        <is>
          <t>R1</t>
        </is>
      </c>
      <c r="F6189" s="12" t="inlineStr">
        <is>
          <t>R1: main electrical building (64 x 180 ft)</t>
        </is>
      </c>
      <c r="G6189" s="12" t="inlineStr">
        <is>
          <t>JB-CO2 compression 3 -DI02</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PLTC|24 pr|18</t>
        </is>
      </c>
      <c r="L6189" s="12" t="inlineStr">
        <is>
          <t>24 pr</t>
        </is>
      </c>
      <c r="M6189" s="12" t="inlineStr">
        <is>
          <t>18</t>
        </is>
      </c>
      <c r="N6189" s="12" t="n">
        <v>1</v>
      </c>
      <c r="O6189" s="12" t="n">
        <v>1</v>
      </c>
      <c r="P6189" s="12" t="n"/>
      <c r="Q6189" s="12" t="n"/>
      <c r="R6189" s="12" t="n"/>
      <c r="S6189" s="12" t="inlineStr">
        <is>
          <t>Tray</t>
        </is>
      </c>
      <c r="T6189" s="15" t="n">
        <v>2186</v>
      </c>
      <c r="U6189" s="15" t="n">
        <v>268</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C-I-0101</t>
        </is>
      </c>
      <c r="B6190" s="12" t="inlineStr">
        <is>
          <t>C</t>
        </is>
      </c>
      <c r="C6190" s="12" t="inlineStr">
        <is>
          <t>Grid interface</t>
        </is>
      </c>
      <c r="D6190" s="12" t="inlineStr">
        <is>
          <t>Discrete device to JB JB-CO2 compression 3 -DI03: 20 x 1 pr (field cables)</t>
        </is>
      </c>
      <c r="E6190" s="12" t="inlineStr"/>
      <c r="F6190" s="12" t="inlineStr">
        <is>
          <t xml:space="preserve">CO2 compression 3 x ~19 MW + dehydration: rooftop HVAC, exhaust fans, </t>
        </is>
      </c>
      <c r="G6190" s="12" t="inlineStr">
        <is>
          <t>JB-CO2 compression 3 -DI03</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PLTC|1 pr|16</t>
        </is>
      </c>
      <c r="L6190" s="12" t="inlineStr">
        <is>
          <t>1 pr</t>
        </is>
      </c>
      <c r="M6190" s="12" t="inlineStr">
        <is>
          <t>16</t>
        </is>
      </c>
      <c r="N6190" s="12" t="n">
        <v>20</v>
      </c>
      <c r="O6190" s="12" t="n">
        <v>1</v>
      </c>
      <c r="P6190" s="12" t="n"/>
      <c r="Q6190" s="12" t="n"/>
      <c r="R6190" s="12" t="n"/>
      <c r="S6190" s="12" t="inlineStr">
        <is>
          <t>Tray / conduit</t>
        </is>
      </c>
      <c r="T6190" s="15" t="n">
        <v>161</v>
      </c>
      <c r="U6190" s="15" t="n">
        <v>10</v>
      </c>
      <c r="V6190" s="15">
        <f>ROUNDUP((T6190+U6190+2*'Read Me'!$B$13)*(1+'Read Me'!$B$12),-1)</f>
        <v/>
      </c>
      <c r="W6190" s="15">
        <f>V6190*N6190*O6190</f>
        <v/>
      </c>
      <c r="X6190" s="12">
        <f>IF(LEFT(I6190,2)="MV",2*N6190*IF(L6190="1/C",O6190,1),0)</f>
        <v/>
      </c>
      <c r="Y6190" s="12">
        <f>IF(OR(LEFT(K6190,4)="LVAX",LEFT(K6190,6)="MV15AX",LEFT(K6190,4)="CTAX",LEFT(K6190,2)="W|"),2*N6190*O6190,0)</f>
        <v/>
      </c>
      <c r="Z6190" s="12" t="inlineStr">
        <is>
          <t>device-to-JB field wiring, one cable per device</t>
        </is>
      </c>
      <c r="AA6190" s="12">
        <f>N6190*O6190</f>
        <v/>
      </c>
    </row>
    <row r="6191">
      <c r="A6191" s="12" t="inlineStr">
        <is>
          <t>C-I-0102</t>
        </is>
      </c>
      <c r="B6191" s="12" t="inlineStr">
        <is>
          <t>C</t>
        </is>
      </c>
      <c r="C6191" s="12" t="inlineStr">
        <is>
          <t>Grid interface</t>
        </is>
      </c>
      <c r="D6191" s="12" t="inlineStr">
        <is>
          <t>Home run JB-CO2 compression 3 -DI03 to the control / marshalling room</t>
        </is>
      </c>
      <c r="E6191" s="12" t="inlineStr">
        <is>
          <t>R1</t>
        </is>
      </c>
      <c r="F6191" s="12" t="inlineStr">
        <is>
          <t>R1: main electrical building (64 x 180 ft)</t>
        </is>
      </c>
      <c r="G6191" s="12" t="inlineStr">
        <is>
          <t>JB-CO2 compression 3 -DI03</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PLTC|24 pr|18</t>
        </is>
      </c>
      <c r="L6191" s="12" t="inlineStr">
        <is>
          <t>24 pr</t>
        </is>
      </c>
      <c r="M6191" s="12" t="inlineStr">
        <is>
          <t>18</t>
        </is>
      </c>
      <c r="N6191" s="12" t="n">
        <v>1</v>
      </c>
      <c r="O6191" s="12" t="n">
        <v>1</v>
      </c>
      <c r="P6191" s="12" t="n"/>
      <c r="Q6191" s="12" t="n"/>
      <c r="R6191" s="12" t="n"/>
      <c r="S6191" s="12" t="inlineStr">
        <is>
          <t>Tray</t>
        </is>
      </c>
      <c r="T6191" s="15" t="n">
        <v>2186</v>
      </c>
      <c r="U6191" s="15" t="n">
        <v>268</v>
      </c>
      <c r="V6191" s="15">
        <f>ROUNDUP((T6191+U6191+2*'Read Me'!$B$13)*(1+'Read Me'!$B$12),-1)</f>
        <v/>
      </c>
      <c r="W6191" s="15">
        <f>V6191*N6191*O6191</f>
        <v/>
      </c>
      <c r="X6191" s="12">
        <f>IF(LEFT(I6191,2)="MV",2*N6191*IF(L6191="1/C",O6191,1),0)</f>
        <v/>
      </c>
      <c r="Y6191" s="12">
        <f>IF(OR(LEFT(K6191,4)="LVAX",LEFT(K6191,6)="MV15AX",LEFT(K6191,4)="CTAX",LEFT(K6191,2)="W|"),2*N6191*O6191,0)</f>
        <v/>
      </c>
      <c r="Z6191" s="12" t="inlineStr"/>
      <c r="AA6191" s="12">
        <f>N6191*O6191</f>
        <v/>
      </c>
    </row>
    <row r="6192">
      <c r="A6192" s="12" t="inlineStr">
        <is>
          <t>C-I-0103</t>
        </is>
      </c>
      <c r="B6192" s="12" t="inlineStr">
        <is>
          <t>C</t>
        </is>
      </c>
      <c r="C6192" s="12" t="inlineStr">
        <is>
          <t>Grid interface</t>
        </is>
      </c>
      <c r="D6192" s="12" t="inlineStr">
        <is>
          <t>Discrete device to JB JB-CO2 compression 3 -DI04: 20 x 1 pr (field cables)</t>
        </is>
      </c>
      <c r="E6192" s="12" t="inlineStr"/>
      <c r="F6192" s="12" t="inlineStr">
        <is>
          <t xml:space="preserve">CO2 compression 3 x ~19 MW + dehydration: rooftop HVAC, exhaust fans, </t>
        </is>
      </c>
      <c r="G6192" s="12" t="inlineStr">
        <is>
          <t>JB-CO2 compression 3 -DI04</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PLTC|1 pr|16</t>
        </is>
      </c>
      <c r="L6192" s="12" t="inlineStr">
        <is>
          <t>1 pr</t>
        </is>
      </c>
      <c r="M6192" s="12" t="inlineStr">
        <is>
          <t>16</t>
        </is>
      </c>
      <c r="N6192" s="12" t="n">
        <v>20</v>
      </c>
      <c r="O6192" s="12" t="n">
        <v>1</v>
      </c>
      <c r="P6192" s="12" t="n"/>
      <c r="Q6192" s="12" t="n"/>
      <c r="R6192" s="12" t="n"/>
      <c r="S6192" s="12" t="inlineStr">
        <is>
          <t>Tray / conduit</t>
        </is>
      </c>
      <c r="T6192" s="15" t="n">
        <v>161</v>
      </c>
      <c r="U6192" s="15" t="n">
        <v>10</v>
      </c>
      <c r="V6192" s="15">
        <f>ROUNDUP((T6192+U6192+2*'Read Me'!$B$13)*(1+'Read Me'!$B$12),-1)</f>
        <v/>
      </c>
      <c r="W6192" s="15">
        <f>V6192*N6192*O6192</f>
        <v/>
      </c>
      <c r="X6192" s="12">
        <f>IF(LEFT(I6192,2)="MV",2*N6192*IF(L6192="1/C",O6192,1),0)</f>
        <v/>
      </c>
      <c r="Y6192" s="12">
        <f>IF(OR(LEFT(K6192,4)="LVAX",LEFT(K6192,6)="MV15AX",LEFT(K6192,4)="CTAX",LEFT(K6192,2)="W|"),2*N6192*O6192,0)</f>
        <v/>
      </c>
      <c r="Z6192" s="12" t="inlineStr">
        <is>
          <t>device-to-JB field wiring, one cable per device</t>
        </is>
      </c>
      <c r="AA6192" s="12">
        <f>N6192*O6192</f>
        <v/>
      </c>
    </row>
    <row r="6193">
      <c r="A6193" s="12" t="inlineStr">
        <is>
          <t>C-I-0104</t>
        </is>
      </c>
      <c r="B6193" s="12" t="inlineStr">
        <is>
          <t>C</t>
        </is>
      </c>
      <c r="C6193" s="12" t="inlineStr">
        <is>
          <t>Grid interface</t>
        </is>
      </c>
      <c r="D6193" s="12" t="inlineStr">
        <is>
          <t>Home run JB-CO2 compression 3 -DI04 to the control / marshalling room</t>
        </is>
      </c>
      <c r="E6193" s="12" t="inlineStr">
        <is>
          <t>R1</t>
        </is>
      </c>
      <c r="F6193" s="12" t="inlineStr">
        <is>
          <t>R1: main electrical building (64 x 180 ft)</t>
        </is>
      </c>
      <c r="G6193" s="12" t="inlineStr">
        <is>
          <t>JB-CO2 compression 3 -DI04</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PLTC|24 pr|18</t>
        </is>
      </c>
      <c r="L6193" s="12" t="inlineStr">
        <is>
          <t>24 pr</t>
        </is>
      </c>
      <c r="M6193" s="12" t="inlineStr">
        <is>
          <t>18</t>
        </is>
      </c>
      <c r="N6193" s="12" t="n">
        <v>1</v>
      </c>
      <c r="O6193" s="12" t="n">
        <v>1</v>
      </c>
      <c r="P6193" s="12" t="n"/>
      <c r="Q6193" s="12" t="n"/>
      <c r="R6193" s="12" t="n"/>
      <c r="S6193" s="12" t="inlineStr">
        <is>
          <t>Tray</t>
        </is>
      </c>
      <c r="T6193" s="15" t="n">
        <v>2186</v>
      </c>
      <c r="U6193" s="15" t="n">
        <v>268</v>
      </c>
      <c r="V6193" s="15">
        <f>ROUNDUP((T6193+U6193+2*'Read Me'!$B$13)*(1+'Read Me'!$B$12),-1)</f>
        <v/>
      </c>
      <c r="W6193" s="15">
        <f>V6193*N6193*O6193</f>
        <v/>
      </c>
      <c r="X6193" s="12">
        <f>IF(LEFT(I6193,2)="MV",2*N6193*IF(L6193="1/C",O6193,1),0)</f>
        <v/>
      </c>
      <c r="Y6193" s="12">
        <f>IF(OR(LEFT(K6193,4)="LVAX",LEFT(K6193,6)="MV15AX",LEFT(K6193,4)="CTAX",LEFT(K6193,2)="W|"),2*N6193*O6193,0)</f>
        <v/>
      </c>
      <c r="Z6193" s="12" t="inlineStr"/>
      <c r="AA6193" s="12">
        <f>N6193*O6193</f>
        <v/>
      </c>
    </row>
    <row r="6194">
      <c r="A6194" s="12" t="inlineStr">
        <is>
          <t>C-I-0105</t>
        </is>
      </c>
      <c r="B6194" s="12" t="inlineStr">
        <is>
          <t>C</t>
        </is>
      </c>
      <c r="C6194" s="12" t="inlineStr">
        <is>
          <t>Grid interface</t>
        </is>
      </c>
      <c r="D6194" s="12" t="inlineStr">
        <is>
          <t>Discrete device to JB JB-CO2 compression 3 -DI05: 20 x 1 pr (field cables)</t>
        </is>
      </c>
      <c r="E6194" s="12" t="inlineStr"/>
      <c r="F6194" s="12" t="inlineStr">
        <is>
          <t xml:space="preserve">CO2 compression 3 x ~19 MW + dehydration: rooftop HVAC, exhaust fans, </t>
        </is>
      </c>
      <c r="G6194" s="12" t="inlineStr">
        <is>
          <t>JB-CO2 compression 3 -DI05</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PLTC|1 pr|16</t>
        </is>
      </c>
      <c r="L6194" s="12" t="inlineStr">
        <is>
          <t>1 pr</t>
        </is>
      </c>
      <c r="M6194" s="12" t="inlineStr">
        <is>
          <t>16</t>
        </is>
      </c>
      <c r="N6194" s="12" t="n">
        <v>20</v>
      </c>
      <c r="O6194" s="12" t="n">
        <v>1</v>
      </c>
      <c r="P6194" s="12" t="n"/>
      <c r="Q6194" s="12" t="n"/>
      <c r="R6194" s="12" t="n"/>
      <c r="S6194" s="12" t="inlineStr">
        <is>
          <t>Tray / conduit</t>
        </is>
      </c>
      <c r="T6194" s="15" t="n">
        <v>161</v>
      </c>
      <c r="U6194" s="15" t="n">
        <v>10</v>
      </c>
      <c r="V6194" s="15">
        <f>ROUNDUP((T6194+U6194+2*'Read Me'!$B$13)*(1+'Read Me'!$B$12),-1)</f>
        <v/>
      </c>
      <c r="W6194" s="15">
        <f>V6194*N6194*O6194</f>
        <v/>
      </c>
      <c r="X6194" s="12">
        <f>IF(LEFT(I6194,2)="MV",2*N6194*IF(L6194="1/C",O6194,1),0)</f>
        <v/>
      </c>
      <c r="Y6194" s="12">
        <f>IF(OR(LEFT(K6194,4)="LVAX",LEFT(K6194,6)="MV15AX",LEFT(K6194,4)="CTAX",LEFT(K6194,2)="W|"),2*N6194*O6194,0)</f>
        <v/>
      </c>
      <c r="Z6194" s="12" t="inlineStr">
        <is>
          <t>device-to-JB field wiring, one cable per device</t>
        </is>
      </c>
      <c r="AA6194" s="12">
        <f>N6194*O6194</f>
        <v/>
      </c>
    </row>
    <row r="6195">
      <c r="A6195" s="12" t="inlineStr">
        <is>
          <t>C-I-0106</t>
        </is>
      </c>
      <c r="B6195" s="12" t="inlineStr">
        <is>
          <t>C</t>
        </is>
      </c>
      <c r="C6195" s="12" t="inlineStr">
        <is>
          <t>Grid interface</t>
        </is>
      </c>
      <c r="D6195" s="12" t="inlineStr">
        <is>
          <t>Home run JB-CO2 compression 3 -DI05 to the control / marshalling room</t>
        </is>
      </c>
      <c r="E6195" s="12" t="inlineStr">
        <is>
          <t>R1</t>
        </is>
      </c>
      <c r="F6195" s="12" t="inlineStr">
        <is>
          <t>R1: main electrical building (64 x 180 ft)</t>
        </is>
      </c>
      <c r="G6195" s="12" t="inlineStr">
        <is>
          <t>JB-CO2 compression 3 -DI05</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PLTC|24 pr|18</t>
        </is>
      </c>
      <c r="L6195" s="12" t="inlineStr">
        <is>
          <t>24 pr</t>
        </is>
      </c>
      <c r="M6195" s="12" t="inlineStr">
        <is>
          <t>18</t>
        </is>
      </c>
      <c r="N6195" s="12" t="n">
        <v>1</v>
      </c>
      <c r="O6195" s="12" t="n">
        <v>1</v>
      </c>
      <c r="P6195" s="12" t="n"/>
      <c r="Q6195" s="12" t="n"/>
      <c r="R6195" s="12" t="n"/>
      <c r="S6195" s="12" t="inlineStr">
        <is>
          <t>Tray</t>
        </is>
      </c>
      <c r="T6195" s="15" t="n">
        <v>2186</v>
      </c>
      <c r="U6195" s="15" t="n">
        <v>268</v>
      </c>
      <c r="V6195" s="15">
        <f>ROUNDUP((T6195+U6195+2*'Read Me'!$B$13)*(1+'Read Me'!$B$12),-1)</f>
        <v/>
      </c>
      <c r="W6195" s="15">
        <f>V6195*N6195*O6195</f>
        <v/>
      </c>
      <c r="X6195" s="12">
        <f>IF(LEFT(I6195,2)="MV",2*N6195*IF(L6195="1/C",O6195,1),0)</f>
        <v/>
      </c>
      <c r="Y6195" s="12">
        <f>IF(OR(LEFT(K6195,4)="LVAX",LEFT(K6195,6)="MV15AX",LEFT(K6195,4)="CTAX",LEFT(K6195,2)="W|"),2*N6195*O6195,0)</f>
        <v/>
      </c>
      <c r="Z6195" s="12" t="inlineStr"/>
      <c r="AA6195" s="12">
        <f>N6195*O6195</f>
        <v/>
      </c>
    </row>
    <row r="6196">
      <c r="A6196" s="12" t="inlineStr">
        <is>
          <t>C-I-0107</t>
        </is>
      </c>
      <c r="B6196" s="12" t="inlineStr">
        <is>
          <t>C</t>
        </is>
      </c>
      <c r="C6196" s="12" t="inlineStr">
        <is>
          <t>Grid interface</t>
        </is>
      </c>
      <c r="D6196" s="12" t="inlineStr">
        <is>
          <t>RTD to JB JB-CO2 compression 3 -RTD01: 10 x 1 tri (field cables)</t>
        </is>
      </c>
      <c r="E6196" s="12" t="inlineStr"/>
      <c r="F6196" s="12" t="inlineStr">
        <is>
          <t xml:space="preserve">CO2 compression 3 x ~19 MW + dehydration: rooftop HVAC, exhaust fans, </t>
        </is>
      </c>
      <c r="G6196" s="12" t="inlineStr">
        <is>
          <t>JB-CO2 compression 3 -RTD01</t>
        </is>
      </c>
      <c r="H6196" s="12" t="inlineStr">
        <is>
          <t xml:space="preserve">CO2 compression 3 x ~19 MW + dehydration: rooftop HVAC, exhaust fans, </t>
        </is>
      </c>
      <c r="I6196" s="12" t="inlineStr">
        <is>
          <t>Instrumentation</t>
        </is>
      </c>
      <c r="J6196" s="12" t="inlineStr">
        <is>
          <t>RTD cable, #18 shielded triads, PLTC</t>
        </is>
      </c>
      <c r="K6196" s="12" t="inlineStr">
        <is>
          <t>RTD|1 tri|18</t>
        </is>
      </c>
      <c r="L6196" s="12" t="inlineStr">
        <is>
          <t>1 tri</t>
        </is>
      </c>
      <c r="M6196" s="12" t="inlineStr">
        <is>
          <t>18</t>
        </is>
      </c>
      <c r="N6196" s="12" t="n">
        <v>10</v>
      </c>
      <c r="O6196" s="12" t="n">
        <v>1</v>
      </c>
      <c r="P6196" s="12" t="n"/>
      <c r="Q6196" s="12" t="n"/>
      <c r="R6196" s="12" t="n"/>
      <c r="S6196" s="12" t="inlineStr">
        <is>
          <t>Tray / conduit</t>
        </is>
      </c>
      <c r="T6196" s="15" t="n">
        <v>161</v>
      </c>
      <c r="U6196" s="15" t="n">
        <v>10</v>
      </c>
      <c r="V6196" s="15">
        <f>ROUNDUP((T6196+U6196+2*'Read Me'!$B$13)*(1+'Read Me'!$B$12),-1)</f>
        <v/>
      </c>
      <c r="W6196" s="15">
        <f>V6196*N6196*O6196</f>
        <v/>
      </c>
      <c r="X6196" s="12">
        <f>IF(LEFT(I6196,2)="MV",2*N6196*IF(L6196="1/C",O6196,1),0)</f>
        <v/>
      </c>
      <c r="Y6196" s="12">
        <f>IF(OR(LEFT(K6196,4)="LVAX",LEFT(K6196,6)="MV15AX",LEFT(K6196,4)="CTAX",LEFT(K6196,2)="W|"),2*N6196*O6196,0)</f>
        <v/>
      </c>
      <c r="Z6196" s="12" t="inlineStr">
        <is>
          <t>device-to-JB field wiring, one cable per device</t>
        </is>
      </c>
      <c r="AA6196" s="12">
        <f>N6196*O6196</f>
        <v/>
      </c>
    </row>
    <row r="6197">
      <c r="A6197" s="12" t="inlineStr">
        <is>
          <t>C-I-0108</t>
        </is>
      </c>
      <c r="B6197" s="12" t="inlineStr">
        <is>
          <t>C</t>
        </is>
      </c>
      <c r="C6197" s="12" t="inlineStr">
        <is>
          <t>Grid interface</t>
        </is>
      </c>
      <c r="D6197" s="12" t="inlineStr">
        <is>
          <t>Home run JB-CO2 compression 3 -RTD01 to the control / marshalling room</t>
        </is>
      </c>
      <c r="E6197" s="12" t="inlineStr">
        <is>
          <t>R1</t>
        </is>
      </c>
      <c r="F6197" s="12" t="inlineStr">
        <is>
          <t>R1: main electrical building (64 x 180 ft)</t>
        </is>
      </c>
      <c r="G6197" s="12" t="inlineStr">
        <is>
          <t>JB-CO2 compression 3 -RTD01</t>
        </is>
      </c>
      <c r="H6197" s="12" t="inlineStr">
        <is>
          <t xml:space="preserve">CO2 compression 3 x ~19 MW + dehydration: rooftop HVAC, exhaust fans, </t>
        </is>
      </c>
      <c r="I6197" s="12" t="inlineStr">
        <is>
          <t>Instrumentation</t>
        </is>
      </c>
      <c r="J6197" s="12" t="inlineStr">
        <is>
          <t>RTD cable, #18 shielded triads, PLTC</t>
        </is>
      </c>
      <c r="K6197" s="12" t="inlineStr">
        <is>
          <t>RTD|12 tri|18</t>
        </is>
      </c>
      <c r="L6197" s="12" t="inlineStr">
        <is>
          <t>12 tri</t>
        </is>
      </c>
      <c r="M6197" s="12" t="inlineStr">
        <is>
          <t>18</t>
        </is>
      </c>
      <c r="N6197" s="12" t="n">
        <v>1</v>
      </c>
      <c r="O6197" s="12" t="n">
        <v>1</v>
      </c>
      <c r="P6197" s="12" t="n"/>
      <c r="Q6197" s="12" t="n"/>
      <c r="R6197" s="12" t="n"/>
      <c r="S6197" s="12" t="inlineStr">
        <is>
          <t>Tray</t>
        </is>
      </c>
      <c r="T6197" s="15" t="n">
        <v>2186</v>
      </c>
      <c r="U6197" s="15" t="n">
        <v>268</v>
      </c>
      <c r="V6197" s="15">
        <f>ROUNDUP((T6197+U6197+2*'Read Me'!$B$13)*(1+'Read Me'!$B$12),-1)</f>
        <v/>
      </c>
      <c r="W6197" s="15">
        <f>V6197*N6197*O6197</f>
        <v/>
      </c>
      <c r="X6197" s="12">
        <f>IF(LEFT(I6197,2)="MV",2*N6197*IF(L6197="1/C",O6197,1),0)</f>
        <v/>
      </c>
      <c r="Y6197" s="12">
        <f>IF(OR(LEFT(K6197,4)="LVAX",LEFT(K6197,6)="MV15AX",LEFT(K6197,4)="CTAX",LEFT(K6197,2)="W|"),2*N6197*O6197,0)</f>
        <v/>
      </c>
      <c r="Z6197" s="12" t="inlineStr"/>
      <c r="AA6197" s="12">
        <f>N6197*O6197</f>
        <v/>
      </c>
    </row>
    <row r="6198">
      <c r="A6198" s="12" t="inlineStr">
        <is>
          <t>C-I-0109</t>
        </is>
      </c>
      <c r="B6198" s="12" t="inlineStr">
        <is>
          <t>C</t>
        </is>
      </c>
      <c r="C6198" s="12" t="inlineStr">
        <is>
          <t>Grid interface</t>
        </is>
      </c>
      <c r="D6198" s="12" t="inlineStr">
        <is>
          <t>RTD to JB JB-CO2 compression 3 -RTD02: 10 x 1 tri (field cables)</t>
        </is>
      </c>
      <c r="E6198" s="12" t="inlineStr"/>
      <c r="F6198" s="12" t="inlineStr">
        <is>
          <t xml:space="preserve">CO2 compression 3 x ~19 MW + dehydration: rooftop HVAC, exhaust fans, </t>
        </is>
      </c>
      <c r="G6198" s="12" t="inlineStr">
        <is>
          <t>JB-CO2 compression 3 -RTD02</t>
        </is>
      </c>
      <c r="H6198" s="12" t="inlineStr">
        <is>
          <t xml:space="preserve">CO2 compression 3 x ~19 MW + dehydration: rooftop HVAC, exhaust fans, </t>
        </is>
      </c>
      <c r="I6198" s="12" t="inlineStr">
        <is>
          <t>Instrumentation</t>
        </is>
      </c>
      <c r="J6198" s="12" t="inlineStr">
        <is>
          <t>RTD cable, #18 shielded triads, PLTC</t>
        </is>
      </c>
      <c r="K6198" s="12" t="inlineStr">
        <is>
          <t>RTD|1 tri|18</t>
        </is>
      </c>
      <c r="L6198" s="12" t="inlineStr">
        <is>
          <t>1 tri</t>
        </is>
      </c>
      <c r="M6198" s="12" t="inlineStr">
        <is>
          <t>18</t>
        </is>
      </c>
      <c r="N6198" s="12" t="n">
        <v>10</v>
      </c>
      <c r="O6198" s="12" t="n">
        <v>1</v>
      </c>
      <c r="P6198" s="12" t="n"/>
      <c r="Q6198" s="12" t="n"/>
      <c r="R6198" s="12" t="n"/>
      <c r="S6198" s="12" t="inlineStr">
        <is>
          <t>Tray / conduit</t>
        </is>
      </c>
      <c r="T6198" s="15" t="n">
        <v>161</v>
      </c>
      <c r="U6198" s="15" t="n">
        <v>10</v>
      </c>
      <c r="V6198" s="15">
        <f>ROUNDUP((T6198+U6198+2*'Read Me'!$B$13)*(1+'Read Me'!$B$12),-1)</f>
        <v/>
      </c>
      <c r="W6198" s="15">
        <f>V6198*N6198*O6198</f>
        <v/>
      </c>
      <c r="X6198" s="12">
        <f>IF(LEFT(I6198,2)="MV",2*N6198*IF(L6198="1/C",O6198,1),0)</f>
        <v/>
      </c>
      <c r="Y6198" s="12">
        <f>IF(OR(LEFT(K6198,4)="LVAX",LEFT(K6198,6)="MV15AX",LEFT(K6198,4)="CTAX",LEFT(K6198,2)="W|"),2*N6198*O6198,0)</f>
        <v/>
      </c>
      <c r="Z6198" s="12" t="inlineStr">
        <is>
          <t>device-to-JB field wiring, one cable per device</t>
        </is>
      </c>
      <c r="AA6198" s="12">
        <f>N6198*O6198</f>
        <v/>
      </c>
    </row>
    <row r="6199">
      <c r="A6199" s="12" t="inlineStr">
        <is>
          <t>C-I-0110</t>
        </is>
      </c>
      <c r="B6199" s="12" t="inlineStr">
        <is>
          <t>C</t>
        </is>
      </c>
      <c r="C6199" s="12" t="inlineStr">
        <is>
          <t>Grid interface</t>
        </is>
      </c>
      <c r="D6199" s="12" t="inlineStr">
        <is>
          <t>Home run JB-CO2 compression 3 -RTD02 to the control / marshalling room</t>
        </is>
      </c>
      <c r="E6199" s="12" t="inlineStr">
        <is>
          <t>R1</t>
        </is>
      </c>
      <c r="F6199" s="12" t="inlineStr">
        <is>
          <t>R1: main electrical building (64 x 180 ft)</t>
        </is>
      </c>
      <c r="G6199" s="12" t="inlineStr">
        <is>
          <t>JB-CO2 compression 3 -RTD02</t>
        </is>
      </c>
      <c r="H6199" s="12" t="inlineStr">
        <is>
          <t xml:space="preserve">CO2 compression 3 x ~19 MW + dehydration: rooftop HVAC, exhaust fans, </t>
        </is>
      </c>
      <c r="I6199" s="12" t="inlineStr">
        <is>
          <t>Instrumentation</t>
        </is>
      </c>
      <c r="J6199" s="12" t="inlineStr">
        <is>
          <t>RTD cable, #18 shielded triads, PLTC</t>
        </is>
      </c>
      <c r="K6199" s="12" t="inlineStr">
        <is>
          <t>RTD|12 tri|18</t>
        </is>
      </c>
      <c r="L6199" s="12" t="inlineStr">
        <is>
          <t>12 tri</t>
        </is>
      </c>
      <c r="M6199" s="12" t="inlineStr">
        <is>
          <t>18</t>
        </is>
      </c>
      <c r="N6199" s="12" t="n">
        <v>1</v>
      </c>
      <c r="O6199" s="12" t="n">
        <v>1</v>
      </c>
      <c r="P6199" s="12" t="n"/>
      <c r="Q6199" s="12" t="n"/>
      <c r="R6199" s="12" t="n"/>
      <c r="S6199" s="12" t="inlineStr">
        <is>
          <t>Tray</t>
        </is>
      </c>
      <c r="T6199" s="15" t="n">
        <v>2186</v>
      </c>
      <c r="U6199" s="15" t="n">
        <v>268</v>
      </c>
      <c r="V6199" s="15">
        <f>ROUNDUP((T6199+U6199+2*'Read Me'!$B$13)*(1+'Read Me'!$B$12),-1)</f>
        <v/>
      </c>
      <c r="W6199" s="15">
        <f>V6199*N6199*O6199</f>
        <v/>
      </c>
      <c r="X6199" s="12">
        <f>IF(LEFT(I6199,2)="MV",2*N6199*IF(L6199="1/C",O6199,1),0)</f>
        <v/>
      </c>
      <c r="Y6199" s="12">
        <f>IF(OR(LEFT(K6199,4)="LVAX",LEFT(K6199,6)="MV15AX",LEFT(K6199,4)="CTAX",LEFT(K6199,2)="W|"),2*N6199*O6199,0)</f>
        <v/>
      </c>
      <c r="Z6199" s="12" t="inlineStr"/>
      <c r="AA6199" s="12">
        <f>N6199*O6199</f>
        <v/>
      </c>
    </row>
    <row r="6200">
      <c r="A6200" s="12" t="inlineStr">
        <is>
          <t>C-I-0111</t>
        </is>
      </c>
      <c r="B6200" s="12" t="inlineStr">
        <is>
          <t>C</t>
        </is>
      </c>
      <c r="C6200" s="12" t="inlineStr">
        <is>
          <t>Grid interface</t>
        </is>
      </c>
      <c r="D6200" s="12" t="inlineStr">
        <is>
          <t>RTD to JB JB-CO2 compression 3 -RTD03: 10 x 1 tri (field cables)</t>
        </is>
      </c>
      <c r="E6200" s="12" t="inlineStr"/>
      <c r="F6200" s="12" t="inlineStr">
        <is>
          <t xml:space="preserve">CO2 compression 3 x ~19 MW + dehydration: rooftop HVAC, exhaust fans, </t>
        </is>
      </c>
      <c r="G6200" s="12" t="inlineStr">
        <is>
          <t>JB-CO2 compression 3 -RTD03</t>
        </is>
      </c>
      <c r="H6200" s="12" t="inlineStr">
        <is>
          <t xml:space="preserve">CO2 compression 3 x ~19 MW + dehydration: rooftop HVAC, exhaust fans, </t>
        </is>
      </c>
      <c r="I6200" s="12" t="inlineStr">
        <is>
          <t>Instrumentation</t>
        </is>
      </c>
      <c r="J6200" s="12" t="inlineStr">
        <is>
          <t>RTD cable, #18 shielded triads, PLTC</t>
        </is>
      </c>
      <c r="K6200" s="12" t="inlineStr">
        <is>
          <t>RTD|1 tri|18</t>
        </is>
      </c>
      <c r="L6200" s="12" t="inlineStr">
        <is>
          <t>1 tri</t>
        </is>
      </c>
      <c r="M6200" s="12" t="inlineStr">
        <is>
          <t>18</t>
        </is>
      </c>
      <c r="N6200" s="12" t="n">
        <v>10</v>
      </c>
      <c r="O6200" s="12" t="n">
        <v>1</v>
      </c>
      <c r="P6200" s="12" t="n"/>
      <c r="Q6200" s="12" t="n"/>
      <c r="R6200" s="12" t="n"/>
      <c r="S6200" s="12" t="inlineStr">
        <is>
          <t>Tray / conduit</t>
        </is>
      </c>
      <c r="T6200" s="15" t="n">
        <v>161</v>
      </c>
      <c r="U6200" s="15" t="n">
        <v>10</v>
      </c>
      <c r="V6200" s="15">
        <f>ROUNDUP((T6200+U6200+2*'Read Me'!$B$13)*(1+'Read Me'!$B$12),-1)</f>
        <v/>
      </c>
      <c r="W6200" s="15">
        <f>V6200*N6200*O6200</f>
        <v/>
      </c>
      <c r="X6200" s="12">
        <f>IF(LEFT(I6200,2)="MV",2*N6200*IF(L6200="1/C",O6200,1),0)</f>
        <v/>
      </c>
      <c r="Y6200" s="12">
        <f>IF(OR(LEFT(K6200,4)="LVAX",LEFT(K6200,6)="MV15AX",LEFT(K6200,4)="CTAX",LEFT(K6200,2)="W|"),2*N6200*O6200,0)</f>
        <v/>
      </c>
      <c r="Z6200" s="12" t="inlineStr">
        <is>
          <t>device-to-JB field wiring, one cable per device</t>
        </is>
      </c>
      <c r="AA6200" s="12">
        <f>N6200*O6200</f>
        <v/>
      </c>
    </row>
    <row r="6201">
      <c r="A6201" s="12" t="inlineStr">
        <is>
          <t>C-I-0112</t>
        </is>
      </c>
      <c r="B6201" s="12" t="inlineStr">
        <is>
          <t>C</t>
        </is>
      </c>
      <c r="C6201" s="12" t="inlineStr">
        <is>
          <t>Grid interface</t>
        </is>
      </c>
      <c r="D6201" s="12" t="inlineStr">
        <is>
          <t>Home run JB-CO2 compression 3 -RTD03 to the control / marshalling room</t>
        </is>
      </c>
      <c r="E6201" s="12" t="inlineStr">
        <is>
          <t>R1</t>
        </is>
      </c>
      <c r="F6201" s="12" t="inlineStr">
        <is>
          <t>R1: main electrical building (64 x 180 ft)</t>
        </is>
      </c>
      <c r="G6201" s="12" t="inlineStr">
        <is>
          <t>JB-CO2 compression 3 -RTD03</t>
        </is>
      </c>
      <c r="H6201" s="12" t="inlineStr">
        <is>
          <t xml:space="preserve">CO2 compression 3 x ~19 MW + dehydration: rooftop HVAC, exhaust fans, </t>
        </is>
      </c>
      <c r="I6201" s="12" t="inlineStr">
        <is>
          <t>Instrumentation</t>
        </is>
      </c>
      <c r="J6201" s="12" t="inlineStr">
        <is>
          <t>RTD cable, #18 shielded triads, PLTC</t>
        </is>
      </c>
      <c r="K6201" s="12" t="inlineStr">
        <is>
          <t>RTD|12 tri|18</t>
        </is>
      </c>
      <c r="L6201" s="12" t="inlineStr">
        <is>
          <t>12 tri</t>
        </is>
      </c>
      <c r="M6201" s="12" t="inlineStr">
        <is>
          <t>18</t>
        </is>
      </c>
      <c r="N6201" s="12" t="n">
        <v>1</v>
      </c>
      <c r="O6201" s="12" t="n">
        <v>1</v>
      </c>
      <c r="P6201" s="12" t="n"/>
      <c r="Q6201" s="12" t="n"/>
      <c r="R6201" s="12" t="n"/>
      <c r="S6201" s="12" t="inlineStr">
        <is>
          <t>Tray</t>
        </is>
      </c>
      <c r="T6201" s="15" t="n">
        <v>2186</v>
      </c>
      <c r="U6201" s="15" t="n">
        <v>268</v>
      </c>
      <c r="V6201" s="15">
        <f>ROUNDUP((T6201+U6201+2*'Read Me'!$B$13)*(1+'Read Me'!$B$12),-1)</f>
        <v/>
      </c>
      <c r="W6201" s="15">
        <f>V6201*N6201*O6201</f>
        <v/>
      </c>
      <c r="X6201" s="12">
        <f>IF(LEFT(I6201,2)="MV",2*N6201*IF(L6201="1/C",O6201,1),0)</f>
        <v/>
      </c>
      <c r="Y6201" s="12">
        <f>IF(OR(LEFT(K6201,4)="LVAX",LEFT(K6201,6)="MV15AX",LEFT(K6201,4)="CTAX",LEFT(K6201,2)="W|"),2*N6201*O6201,0)</f>
        <v/>
      </c>
      <c r="Z6201" s="12" t="inlineStr"/>
      <c r="AA6201" s="12">
        <f>N6201*O6201</f>
        <v/>
      </c>
    </row>
    <row r="6202">
      <c r="A6202" s="12" t="inlineStr">
        <is>
          <t>C-I-0113</t>
        </is>
      </c>
      <c r="B6202" s="12" t="inlineStr">
        <is>
          <t>C</t>
        </is>
      </c>
      <c r="C6202" s="12" t="inlineStr">
        <is>
          <t>Grid interface</t>
        </is>
      </c>
      <c r="D6202" s="12" t="inlineStr">
        <is>
          <t>RTD to JB JB-CO2 compression 3 -RTD04: 6 x 1 tri (field cables)</t>
        </is>
      </c>
      <c r="E6202" s="12" t="inlineStr"/>
      <c r="F6202" s="12" t="inlineStr">
        <is>
          <t xml:space="preserve">CO2 compression 3 x ~19 MW + dehydration: rooftop HVAC, exhaust fans, </t>
        </is>
      </c>
      <c r="G6202" s="12" t="inlineStr">
        <is>
          <t>JB-CO2 compression 3 -RTD04</t>
        </is>
      </c>
      <c r="H6202" s="12" t="inlineStr">
        <is>
          <t xml:space="preserve">CO2 compression 3 x ~19 MW + dehydration: rooftop HVAC, exhaust fans, </t>
        </is>
      </c>
      <c r="I6202" s="12" t="inlineStr">
        <is>
          <t>Instrumentation</t>
        </is>
      </c>
      <c r="J6202" s="12" t="inlineStr">
        <is>
          <t>RTD cable, #18 shielded triads, PLTC</t>
        </is>
      </c>
      <c r="K6202" s="12" t="inlineStr">
        <is>
          <t>RTD|1 tri|18</t>
        </is>
      </c>
      <c r="L6202" s="12" t="inlineStr">
        <is>
          <t>1 tri</t>
        </is>
      </c>
      <c r="M6202" s="12" t="inlineStr">
        <is>
          <t>18</t>
        </is>
      </c>
      <c r="N6202" s="12" t="n">
        <v>6</v>
      </c>
      <c r="O6202" s="12" t="n">
        <v>1</v>
      </c>
      <c r="P6202" s="12" t="n"/>
      <c r="Q6202" s="12" t="n"/>
      <c r="R6202" s="12" t="n"/>
      <c r="S6202" s="12" t="inlineStr">
        <is>
          <t>Tray / conduit</t>
        </is>
      </c>
      <c r="T6202" s="15" t="n">
        <v>161</v>
      </c>
      <c r="U6202" s="15" t="n">
        <v>10</v>
      </c>
      <c r="V6202" s="15">
        <f>ROUNDUP((T6202+U6202+2*'Read Me'!$B$13)*(1+'Read Me'!$B$12),-1)</f>
        <v/>
      </c>
      <c r="W6202" s="15">
        <f>V6202*N6202*O6202</f>
        <v/>
      </c>
      <c r="X6202" s="12">
        <f>IF(LEFT(I6202,2)="MV",2*N6202*IF(L6202="1/C",O6202,1),0)</f>
        <v/>
      </c>
      <c r="Y6202" s="12">
        <f>IF(OR(LEFT(K6202,4)="LVAX",LEFT(K6202,6)="MV15AX",LEFT(K6202,4)="CTAX",LEFT(K6202,2)="W|"),2*N6202*O6202,0)</f>
        <v/>
      </c>
      <c r="Z6202" s="12" t="inlineStr">
        <is>
          <t>device-to-JB field wiring, one cable per device</t>
        </is>
      </c>
      <c r="AA6202" s="12">
        <f>N6202*O6202</f>
        <v/>
      </c>
    </row>
    <row r="6203">
      <c r="A6203" s="12" t="inlineStr">
        <is>
          <t>C-I-0114</t>
        </is>
      </c>
      <c r="B6203" s="12" t="inlineStr">
        <is>
          <t>C</t>
        </is>
      </c>
      <c r="C6203" s="12" t="inlineStr">
        <is>
          <t>Grid interface</t>
        </is>
      </c>
      <c r="D6203" s="12" t="inlineStr">
        <is>
          <t>Home run JB-CO2 compression 3 -RTD04 to the control / marshalling room</t>
        </is>
      </c>
      <c r="E6203" s="12" t="inlineStr">
        <is>
          <t>R1</t>
        </is>
      </c>
      <c r="F6203" s="12" t="inlineStr">
        <is>
          <t>R1: main electrical building (64 x 180 ft)</t>
        </is>
      </c>
      <c r="G6203" s="12" t="inlineStr">
        <is>
          <t>JB-CO2 compression 3 -RTD04</t>
        </is>
      </c>
      <c r="H6203" s="12" t="inlineStr">
        <is>
          <t xml:space="preserve">CO2 compression 3 x ~19 MW + dehydration: rooftop HVAC, exhaust fans, </t>
        </is>
      </c>
      <c r="I6203" s="12" t="inlineStr">
        <is>
          <t>Instrumentation</t>
        </is>
      </c>
      <c r="J6203" s="12" t="inlineStr">
        <is>
          <t>RTD cable, #18 shielded triads, PLTC</t>
        </is>
      </c>
      <c r="K6203" s="12" t="inlineStr">
        <is>
          <t>RTD|12 tri|18</t>
        </is>
      </c>
      <c r="L6203" s="12" t="inlineStr">
        <is>
          <t>12 tri</t>
        </is>
      </c>
      <c r="M6203" s="12" t="inlineStr">
        <is>
          <t>18</t>
        </is>
      </c>
      <c r="N6203" s="12" t="n">
        <v>1</v>
      </c>
      <c r="O6203" s="12" t="n">
        <v>1</v>
      </c>
      <c r="P6203" s="12" t="n"/>
      <c r="Q6203" s="12" t="n"/>
      <c r="R6203" s="12" t="n"/>
      <c r="S6203" s="12" t="inlineStr">
        <is>
          <t>Tray</t>
        </is>
      </c>
      <c r="T6203" s="15" t="n">
        <v>2186</v>
      </c>
      <c r="U6203" s="15" t="n">
        <v>268</v>
      </c>
      <c r="V6203" s="15">
        <f>ROUNDUP((T6203+U6203+2*'Read Me'!$B$13)*(1+'Read Me'!$B$12),-1)</f>
        <v/>
      </c>
      <c r="W6203" s="15">
        <f>V6203*N6203*O6203</f>
        <v/>
      </c>
      <c r="X6203" s="12">
        <f>IF(LEFT(I6203,2)="MV",2*N6203*IF(L6203="1/C",O6203,1),0)</f>
        <v/>
      </c>
      <c r="Y6203" s="12">
        <f>IF(OR(LEFT(K6203,4)="LVAX",LEFT(K6203,6)="MV15AX",LEFT(K6203,4)="CTAX",LEFT(K6203,2)="W|"),2*N6203*O6203,0)</f>
        <v/>
      </c>
      <c r="Z6203" s="12" t="inlineStr"/>
      <c r="AA6203" s="12">
        <f>N6203*O6203</f>
        <v/>
      </c>
    </row>
    <row r="6204">
      <c r="A6204" s="12" t="inlineStr">
        <is>
          <t>C-I-0115</t>
        </is>
      </c>
      <c r="B6204" s="12" t="inlineStr">
        <is>
          <t>C</t>
        </is>
      </c>
      <c r="C6204" s="12" t="inlineStr">
        <is>
          <t>Grid interface</t>
        </is>
      </c>
      <c r="D6204" s="12" t="inlineStr">
        <is>
          <t>Analog instrument to JB JB-Small-bore piping:-AI01: 10 x 1 pr (field cables)</t>
        </is>
      </c>
      <c r="E6204" s="12" t="inlineStr"/>
      <c r="F6204" s="12" t="inlineStr">
        <is>
          <t>Small-bore piping: instrument air, service water, nitrogen, HRSG drain</t>
        </is>
      </c>
      <c r="G6204" s="12" t="inlineStr">
        <is>
          <t>JB-Small-bore piping:-AI01</t>
        </is>
      </c>
      <c r="H6204" s="12" t="inlineStr">
        <is>
          <t>Small-bore piping: instrument air, service water, nitrogen, HRSG drain</t>
        </is>
      </c>
      <c r="I6204" s="12" t="inlineStr">
        <is>
          <t>Instrumentation</t>
        </is>
      </c>
      <c r="J6204" s="12" t="inlineStr">
        <is>
          <t>Instrumentation PLTC / TC-ER 300 V, #18 twisted shielded pairs, overall shield</t>
        </is>
      </c>
      <c r="K6204" s="12" t="inlineStr">
        <is>
          <t>PLTC|1 pr|16</t>
        </is>
      </c>
      <c r="L6204" s="12" t="inlineStr">
        <is>
          <t>1 pr</t>
        </is>
      </c>
      <c r="M6204" s="12" t="inlineStr">
        <is>
          <t>16</t>
        </is>
      </c>
      <c r="N6204" s="12" t="n">
        <v>10</v>
      </c>
      <c r="O6204" s="12" t="n">
        <v>1</v>
      </c>
      <c r="P6204" s="12" t="n"/>
      <c r="Q6204" s="12" t="n"/>
      <c r="R6204" s="12" t="n"/>
      <c r="S6204" s="12" t="inlineStr">
        <is>
          <t>Tray / conduit</t>
        </is>
      </c>
      <c r="T6204" s="15" t="n">
        <v>250</v>
      </c>
      <c r="U6204" s="15" t="n">
        <v>10</v>
      </c>
      <c r="V6204" s="15">
        <f>ROUNDUP((T6204+U6204+2*'Read Me'!$B$13)*(1+'Read Me'!$B$12),-1)</f>
        <v/>
      </c>
      <c r="W6204" s="15">
        <f>V6204*N6204*O6204</f>
        <v/>
      </c>
      <c r="X6204" s="12">
        <f>IF(LEFT(I6204,2)="MV",2*N6204*IF(L6204="1/C",O6204,1),0)</f>
        <v/>
      </c>
      <c r="Y6204" s="12">
        <f>IF(OR(LEFT(K6204,4)="LVAX",LEFT(K6204,6)="MV15AX",LEFT(K6204,4)="CTAX",LEFT(K6204,2)="W|"),2*N6204*O6204,0)</f>
        <v/>
      </c>
      <c r="Z6204" s="12" t="inlineStr">
        <is>
          <t>device-to-JB field wiring, one cable per device</t>
        </is>
      </c>
      <c r="AA6204" s="12">
        <f>N6204*O6204</f>
        <v/>
      </c>
    </row>
    <row r="6205">
      <c r="A6205" s="12" t="inlineStr">
        <is>
          <t>C-I-0116</t>
        </is>
      </c>
      <c r="B6205" s="12" t="inlineStr">
        <is>
          <t>C</t>
        </is>
      </c>
      <c r="C6205" s="12" t="inlineStr">
        <is>
          <t>Grid interface</t>
        </is>
      </c>
      <c r="D6205" s="12" t="inlineStr">
        <is>
          <t>Home run JB-Small-bore piping:-AI01 to the control / marshalling room</t>
        </is>
      </c>
      <c r="E6205" s="12" t="inlineStr">
        <is>
          <t>R1</t>
        </is>
      </c>
      <c r="F6205" s="12" t="inlineStr">
        <is>
          <t>R1: main electrical building (64 x 180 ft)</t>
        </is>
      </c>
      <c r="G6205" s="12" t="inlineStr">
        <is>
          <t>JB-Small-bore piping:-AI01</t>
        </is>
      </c>
      <c r="H6205" s="12" t="inlineStr">
        <is>
          <t>Small-bore piping: instrument air, service water, nitrogen, HRSG drain</t>
        </is>
      </c>
      <c r="I6205" s="12" t="inlineStr">
        <is>
          <t>Instrumentation</t>
        </is>
      </c>
      <c r="J6205" s="12" t="inlineStr">
        <is>
          <t>Instrumentation PLTC / TC-ER 300 V, #18 twisted shielded pairs, overall shield</t>
        </is>
      </c>
      <c r="K6205" s="12" t="inlineStr">
        <is>
          <t>PLTC|24 pr|18</t>
        </is>
      </c>
      <c r="L6205" s="12" t="inlineStr">
        <is>
          <t>24 pr</t>
        </is>
      </c>
      <c r="M6205" s="12" t="inlineStr">
        <is>
          <t>18</t>
        </is>
      </c>
      <c r="N6205" s="12" t="n">
        <v>1</v>
      </c>
      <c r="O6205" s="12" t="n">
        <v>1</v>
      </c>
      <c r="P6205" s="12" t="n"/>
      <c r="Q6205" s="12" t="n"/>
      <c r="R6205" s="12" t="n"/>
      <c r="S6205" s="12" t="inlineStr">
        <is>
          <t>Tray</t>
        </is>
      </c>
      <c r="T6205" s="15" t="n">
        <v>1218</v>
      </c>
      <c r="U6205" s="15" t="n">
        <v>200</v>
      </c>
      <c r="V6205" s="15">
        <f>ROUNDUP((T6205+U6205+2*'Read Me'!$B$13)*(1+'Read Me'!$B$12),-1)</f>
        <v/>
      </c>
      <c r="W6205" s="15">
        <f>V6205*N6205*O6205</f>
        <v/>
      </c>
      <c r="X6205" s="12">
        <f>IF(LEFT(I6205,2)="MV",2*N6205*IF(L6205="1/C",O6205,1),0)</f>
        <v/>
      </c>
      <c r="Y6205" s="12">
        <f>IF(OR(LEFT(K6205,4)="LVAX",LEFT(K6205,6)="MV15AX",LEFT(K6205,4)="CTAX",LEFT(K6205,2)="W|"),2*N6205*O6205,0)</f>
        <v/>
      </c>
      <c r="Z6205" s="12" t="inlineStr"/>
      <c r="AA6205" s="12">
        <f>N6205*O6205</f>
        <v/>
      </c>
    </row>
    <row r="6206">
      <c r="A6206" s="12" t="inlineStr">
        <is>
          <t>C-I-0117</t>
        </is>
      </c>
      <c r="B6206" s="12" t="inlineStr">
        <is>
          <t>C</t>
        </is>
      </c>
      <c r="C6206" s="12" t="inlineStr">
        <is>
          <t>Grid interface</t>
        </is>
      </c>
      <c r="D6206" s="12" t="inlineStr">
        <is>
          <t>Discrete device to JB JB-Small-bore piping:-DI01: 10 x 1 pr (field cables)</t>
        </is>
      </c>
      <c r="E6206" s="12" t="inlineStr"/>
      <c r="F6206" s="12" t="inlineStr">
        <is>
          <t>Small-bore piping: instrument air, service water, nitrogen, HRSG drain</t>
        </is>
      </c>
      <c r="G6206" s="12" t="inlineStr">
        <is>
          <t>JB-Small-bore piping:-DI01</t>
        </is>
      </c>
      <c r="H6206" s="12" t="inlineStr">
        <is>
          <t>Small-bore piping: instrument air, service water, nitrogen, HRSG drain</t>
        </is>
      </c>
      <c r="I6206" s="12" t="inlineStr">
        <is>
          <t>Instrumentation</t>
        </is>
      </c>
      <c r="J6206" s="12" t="inlineStr">
        <is>
          <t>Instrumentation PLTC / TC-ER 300 V, #18 twisted shielded pairs, overall shield</t>
        </is>
      </c>
      <c r="K6206" s="12" t="inlineStr">
        <is>
          <t>PLTC|1 pr|16</t>
        </is>
      </c>
      <c r="L6206" s="12" t="inlineStr">
        <is>
          <t>1 pr</t>
        </is>
      </c>
      <c r="M6206" s="12" t="inlineStr">
        <is>
          <t>16</t>
        </is>
      </c>
      <c r="N6206" s="12" t="n">
        <v>10</v>
      </c>
      <c r="O6206" s="12" t="n">
        <v>1</v>
      </c>
      <c r="P6206" s="12" t="n"/>
      <c r="Q6206" s="12" t="n"/>
      <c r="R6206" s="12" t="n"/>
      <c r="S6206" s="12" t="inlineStr">
        <is>
          <t>Tray / conduit</t>
        </is>
      </c>
      <c r="T6206" s="15" t="n">
        <v>250</v>
      </c>
      <c r="U6206" s="15" t="n">
        <v>10</v>
      </c>
      <c r="V6206" s="15">
        <f>ROUNDUP((T6206+U6206+2*'Read Me'!$B$13)*(1+'Read Me'!$B$12),-1)</f>
        <v/>
      </c>
      <c r="W6206" s="15">
        <f>V6206*N6206*O6206</f>
        <v/>
      </c>
      <c r="X6206" s="12">
        <f>IF(LEFT(I6206,2)="MV",2*N6206*IF(L6206="1/C",O6206,1),0)</f>
        <v/>
      </c>
      <c r="Y6206" s="12">
        <f>IF(OR(LEFT(K6206,4)="LVAX",LEFT(K6206,6)="MV15AX",LEFT(K6206,4)="CTAX",LEFT(K6206,2)="W|"),2*N6206*O6206,0)</f>
        <v/>
      </c>
      <c r="Z6206" s="12" t="inlineStr">
        <is>
          <t>device-to-JB field wiring, one cable per device</t>
        </is>
      </c>
      <c r="AA6206" s="12">
        <f>N6206*O6206</f>
        <v/>
      </c>
    </row>
    <row r="6207">
      <c r="A6207" s="12" t="inlineStr">
        <is>
          <t>C-I-0118</t>
        </is>
      </c>
      <c r="B6207" s="12" t="inlineStr">
        <is>
          <t>C</t>
        </is>
      </c>
      <c r="C6207" s="12" t="inlineStr">
        <is>
          <t>Grid interface</t>
        </is>
      </c>
      <c r="D6207" s="12" t="inlineStr">
        <is>
          <t>Home run JB-Small-bore piping:-DI01 to the control / marshalling room</t>
        </is>
      </c>
      <c r="E6207" s="12" t="inlineStr">
        <is>
          <t>R1</t>
        </is>
      </c>
      <c r="F6207" s="12" t="inlineStr">
        <is>
          <t>R1: main electrical building (64 x 180 ft)</t>
        </is>
      </c>
      <c r="G6207" s="12" t="inlineStr">
        <is>
          <t>JB-Small-bore piping:-DI01</t>
        </is>
      </c>
      <c r="H6207" s="12" t="inlineStr">
        <is>
          <t>Small-bore piping: instrument air, service water, nitrogen, HRSG drain</t>
        </is>
      </c>
      <c r="I6207" s="12" t="inlineStr">
        <is>
          <t>Instrumentation</t>
        </is>
      </c>
      <c r="J6207" s="12" t="inlineStr">
        <is>
          <t>Instrumentation PLTC / TC-ER 300 V, #18 twisted shielded pairs, overall shield</t>
        </is>
      </c>
      <c r="K6207" s="12" t="inlineStr">
        <is>
          <t>PLTC|24 pr|18</t>
        </is>
      </c>
      <c r="L6207" s="12" t="inlineStr">
        <is>
          <t>24 pr</t>
        </is>
      </c>
      <c r="M6207" s="12" t="inlineStr">
        <is>
          <t>18</t>
        </is>
      </c>
      <c r="N6207" s="12" t="n">
        <v>1</v>
      </c>
      <c r="O6207" s="12" t="n">
        <v>1</v>
      </c>
      <c r="P6207" s="12" t="n"/>
      <c r="Q6207" s="12" t="n"/>
      <c r="R6207" s="12" t="n"/>
      <c r="S6207" s="12" t="inlineStr">
        <is>
          <t>Tray</t>
        </is>
      </c>
      <c r="T6207" s="15" t="n">
        <v>1218</v>
      </c>
      <c r="U6207" s="15" t="n">
        <v>200</v>
      </c>
      <c r="V6207" s="15">
        <f>ROUNDUP((T6207+U6207+2*'Read Me'!$B$13)*(1+'Read Me'!$B$12),-1)</f>
        <v/>
      </c>
      <c r="W6207" s="15">
        <f>V6207*N6207*O6207</f>
        <v/>
      </c>
      <c r="X6207" s="12">
        <f>IF(LEFT(I6207,2)="MV",2*N6207*IF(L6207="1/C",O6207,1),0)</f>
        <v/>
      </c>
      <c r="Y6207" s="12">
        <f>IF(OR(LEFT(K6207,4)="LVAX",LEFT(K6207,6)="MV15AX",LEFT(K6207,4)="CTAX",LEFT(K6207,2)="W|"),2*N6207*O6207,0)</f>
        <v/>
      </c>
      <c r="Z6207" s="12" t="inlineStr"/>
      <c r="AA6207" s="12">
        <f>N6207*O6207</f>
        <v/>
      </c>
    </row>
    <row r="6208">
      <c r="A6208" s="12" t="inlineStr">
        <is>
          <t>C-I-0119</t>
        </is>
      </c>
      <c r="B6208" s="12" t="inlineStr">
        <is>
          <t>C</t>
        </is>
      </c>
      <c r="C6208" s="12" t="inlineStr">
        <is>
          <t>Grid interface</t>
        </is>
      </c>
      <c r="D6208" s="12" t="inlineStr">
        <is>
          <t>Analog instrument to JB JB-Wastewater treatme-AI01: 20 x 1 pr (field cables)</t>
        </is>
      </c>
      <c r="E6208" s="12" t="inlineStr"/>
      <c r="F6208" s="12" t="inlineStr">
        <is>
          <t>Wastewater treatment: rooftop HVAC, exhaust fans, vents</t>
        </is>
      </c>
      <c r="G6208" s="12" t="inlineStr">
        <is>
          <t>JB-Wastewater treatme-AI01</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PLTC|1 pr|16</t>
        </is>
      </c>
      <c r="L6208" s="12" t="inlineStr">
        <is>
          <t>1 pr</t>
        </is>
      </c>
      <c r="M6208" s="12" t="inlineStr">
        <is>
          <t>16</t>
        </is>
      </c>
      <c r="N6208" s="12" t="n">
        <v>20</v>
      </c>
      <c r="O6208" s="12" t="n">
        <v>1</v>
      </c>
      <c r="P6208" s="12" t="n"/>
      <c r="Q6208" s="12" t="n"/>
      <c r="R6208" s="12" t="n"/>
      <c r="S6208" s="12" t="inlineStr">
        <is>
          <t>Tray / conduit</t>
        </is>
      </c>
      <c r="T6208" s="15" t="n">
        <v>89</v>
      </c>
      <c r="U6208" s="15" t="n">
        <v>10</v>
      </c>
      <c r="V6208" s="15">
        <f>ROUNDUP((T6208+U6208+2*'Read Me'!$B$13)*(1+'Read Me'!$B$12),-1)</f>
        <v/>
      </c>
      <c r="W6208" s="15">
        <f>V6208*N6208*O6208</f>
        <v/>
      </c>
      <c r="X6208" s="12">
        <f>IF(LEFT(I6208,2)="MV",2*N6208*IF(L6208="1/C",O6208,1),0)</f>
        <v/>
      </c>
      <c r="Y6208" s="12">
        <f>IF(OR(LEFT(K6208,4)="LVAX",LEFT(K6208,6)="MV15AX",LEFT(K6208,4)="CTAX",LEFT(K6208,2)="W|"),2*N6208*O6208,0)</f>
        <v/>
      </c>
      <c r="Z6208" s="12" t="inlineStr">
        <is>
          <t>device-to-JB field wiring, one cable per device</t>
        </is>
      </c>
      <c r="AA6208" s="12">
        <f>N6208*O6208</f>
        <v/>
      </c>
    </row>
    <row r="6209">
      <c r="A6209" s="12" t="inlineStr">
        <is>
          <t>C-I-0120</t>
        </is>
      </c>
      <c r="B6209" s="12" t="inlineStr">
        <is>
          <t>C</t>
        </is>
      </c>
      <c r="C6209" s="12" t="inlineStr">
        <is>
          <t>Grid interface</t>
        </is>
      </c>
      <c r="D6209" s="12" t="inlineStr">
        <is>
          <t>Home run JB-Wastewater treatme-AI01 to the control / marshalling room</t>
        </is>
      </c>
      <c r="E6209" s="12" t="inlineStr">
        <is>
          <t>R1</t>
        </is>
      </c>
      <c r="F6209" s="12" t="inlineStr">
        <is>
          <t>R1: main electrical building (64 x 180 ft)</t>
        </is>
      </c>
      <c r="G6209" s="12" t="inlineStr">
        <is>
          <t>JB-Wastewater treatme-AI01</t>
        </is>
      </c>
      <c r="H6209" s="12" t="inlineStr">
        <is>
          <t>Wastewater treatment: rooftop HVAC, exhaust fans, vents</t>
        </is>
      </c>
      <c r="I6209" s="12" t="inlineStr">
        <is>
          <t>Instrumentation</t>
        </is>
      </c>
      <c r="J6209" s="12" t="inlineStr">
        <is>
          <t>Instrumentation PLTC / TC-ER 300 V, #18 twisted shielded pairs, overall shield</t>
        </is>
      </c>
      <c r="K6209" s="12" t="inlineStr">
        <is>
          <t>PLTC|24 pr|18</t>
        </is>
      </c>
      <c r="L6209" s="12" t="inlineStr">
        <is>
          <t>24 pr</t>
        </is>
      </c>
      <c r="M6209" s="12" t="inlineStr">
        <is>
          <t>18</t>
        </is>
      </c>
      <c r="N6209" s="12" t="n">
        <v>1</v>
      </c>
      <c r="O6209" s="12" t="n">
        <v>1</v>
      </c>
      <c r="P6209" s="12" t="n"/>
      <c r="Q6209" s="12" t="n"/>
      <c r="R6209" s="12" t="n"/>
      <c r="S6209" s="12" t="inlineStr">
        <is>
          <t>Duct bank</t>
        </is>
      </c>
      <c r="T6209" s="15" t="n">
        <v>1215</v>
      </c>
      <c r="U6209" s="15" t="n">
        <v>99</v>
      </c>
      <c r="V6209" s="15">
        <f>ROUNDUP((T6209+U6209+2*'Read Me'!$B$13)*(1+'Read Me'!$B$12),-1)</f>
        <v/>
      </c>
      <c r="W6209" s="15">
        <f>V6209*N6209*O6209</f>
        <v/>
      </c>
      <c r="X6209" s="12">
        <f>IF(LEFT(I6209,2)="MV",2*N6209*IF(L6209="1/C",O6209,1),0)</f>
        <v/>
      </c>
      <c r="Y6209" s="12">
        <f>IF(OR(LEFT(K6209,4)="LVAX",LEFT(K6209,6)="MV15AX",LEFT(K6209,4)="CTAX",LEFT(K6209,2)="W|"),2*N6209*O6209,0)</f>
        <v/>
      </c>
      <c r="Z6209" s="12" t="inlineStr"/>
      <c r="AA6209" s="12">
        <f>N6209*O6209</f>
        <v/>
      </c>
    </row>
    <row r="6210">
      <c r="A6210" s="12" t="inlineStr">
        <is>
          <t>C-I-0121</t>
        </is>
      </c>
      <c r="B6210" s="12" t="inlineStr">
        <is>
          <t>C</t>
        </is>
      </c>
      <c r="C6210" s="12" t="inlineStr">
        <is>
          <t>Grid interface</t>
        </is>
      </c>
      <c r="D6210" s="12" t="inlineStr">
        <is>
          <t>Discrete device to JB JB-Wastewater treatme-DI01: 20 x 1 pr (field cables)</t>
        </is>
      </c>
      <c r="E6210" s="12" t="inlineStr"/>
      <c r="F6210" s="12" t="inlineStr">
        <is>
          <t>Wastewater treatment: rooftop HVAC, exhaust fans, vents</t>
        </is>
      </c>
      <c r="G6210" s="12" t="inlineStr">
        <is>
          <t>JB-Wastewater treatme-DI01</t>
        </is>
      </c>
      <c r="H6210" s="12" t="inlineStr">
        <is>
          <t>Wastewater treatment: rooftop HVAC, exhaust fans, vents</t>
        </is>
      </c>
      <c r="I6210" s="12" t="inlineStr">
        <is>
          <t>Instrumentation</t>
        </is>
      </c>
      <c r="J6210" s="12" t="inlineStr">
        <is>
          <t>Instrumentation PLTC / TC-ER 300 V, #18 twisted shielded pairs, overall shield</t>
        </is>
      </c>
      <c r="K6210" s="12" t="inlineStr">
        <is>
          <t>PLTC|1 pr|16</t>
        </is>
      </c>
      <c r="L6210" s="12" t="inlineStr">
        <is>
          <t>1 pr</t>
        </is>
      </c>
      <c r="M6210" s="12" t="inlineStr">
        <is>
          <t>16</t>
        </is>
      </c>
      <c r="N6210" s="12" t="n">
        <v>20</v>
      </c>
      <c r="O6210" s="12" t="n">
        <v>1</v>
      </c>
      <c r="P6210" s="12" t="n"/>
      <c r="Q6210" s="12" t="n"/>
      <c r="R6210" s="12" t="n"/>
      <c r="S6210" s="12" t="inlineStr">
        <is>
          <t>Tray / conduit</t>
        </is>
      </c>
      <c r="T6210" s="15" t="n">
        <v>89</v>
      </c>
      <c r="U6210" s="15" t="n">
        <v>10</v>
      </c>
      <c r="V6210" s="15">
        <f>ROUNDUP((T6210+U6210+2*'Read Me'!$B$13)*(1+'Read Me'!$B$12),-1)</f>
        <v/>
      </c>
      <c r="W6210" s="15">
        <f>V6210*N6210*O6210</f>
        <v/>
      </c>
      <c r="X6210" s="12">
        <f>IF(LEFT(I6210,2)="MV",2*N6210*IF(L6210="1/C",O6210,1),0)</f>
        <v/>
      </c>
      <c r="Y6210" s="12">
        <f>IF(OR(LEFT(K6210,4)="LVAX",LEFT(K6210,6)="MV15AX",LEFT(K6210,4)="CTAX",LEFT(K6210,2)="W|"),2*N6210*O6210,0)</f>
        <v/>
      </c>
      <c r="Z6210" s="12" t="inlineStr">
        <is>
          <t>device-to-JB field wiring, one cable per device</t>
        </is>
      </c>
      <c r="AA6210" s="12">
        <f>N6210*O6210</f>
        <v/>
      </c>
    </row>
    <row r="6211">
      <c r="A6211" s="12" t="inlineStr">
        <is>
          <t>C-I-0122</t>
        </is>
      </c>
      <c r="B6211" s="12" t="inlineStr">
        <is>
          <t>C</t>
        </is>
      </c>
      <c r="C6211" s="12" t="inlineStr">
        <is>
          <t>Grid interface</t>
        </is>
      </c>
      <c r="D6211" s="12" t="inlineStr">
        <is>
          <t>Home run JB-Wastewater treatme-DI01 to the control / marshalling room</t>
        </is>
      </c>
      <c r="E6211" s="12" t="inlineStr">
        <is>
          <t>R1</t>
        </is>
      </c>
      <c r="F6211" s="12" t="inlineStr">
        <is>
          <t>R1: main electrical building (64 x 180 ft)</t>
        </is>
      </c>
      <c r="G6211" s="12" t="inlineStr">
        <is>
          <t>JB-Wastewater treatme-DI01</t>
        </is>
      </c>
      <c r="H6211" s="12" t="inlineStr">
        <is>
          <t>Wastewater treatment: rooftop HVAC, exhaust fans, vents</t>
        </is>
      </c>
      <c r="I6211" s="12" t="inlineStr">
        <is>
          <t>Instrumentation</t>
        </is>
      </c>
      <c r="J6211" s="12" t="inlineStr">
        <is>
          <t>Instrumentation PLTC / TC-ER 300 V, #18 twisted shielded pairs, overall shield</t>
        </is>
      </c>
      <c r="K6211" s="12" t="inlineStr">
        <is>
          <t>PLTC|24 pr|18</t>
        </is>
      </c>
      <c r="L6211" s="12" t="inlineStr">
        <is>
          <t>24 pr</t>
        </is>
      </c>
      <c r="M6211" s="12" t="inlineStr">
        <is>
          <t>18</t>
        </is>
      </c>
      <c r="N6211" s="12" t="n">
        <v>1</v>
      </c>
      <c r="O6211" s="12" t="n">
        <v>1</v>
      </c>
      <c r="P6211" s="12" t="n"/>
      <c r="Q6211" s="12" t="n"/>
      <c r="R6211" s="12" t="n"/>
      <c r="S6211" s="12" t="inlineStr">
        <is>
          <t>Duct bank</t>
        </is>
      </c>
      <c r="T6211" s="15" t="n">
        <v>1215</v>
      </c>
      <c r="U6211" s="15" t="n">
        <v>99</v>
      </c>
      <c r="V6211" s="15">
        <f>ROUNDUP((T6211+U6211+2*'Read Me'!$B$13)*(1+'Read Me'!$B$12),-1)</f>
        <v/>
      </c>
      <c r="W6211" s="15">
        <f>V6211*N6211*O6211</f>
        <v/>
      </c>
      <c r="X6211" s="12">
        <f>IF(LEFT(I6211,2)="MV",2*N6211*IF(L6211="1/C",O6211,1),0)</f>
        <v/>
      </c>
      <c r="Y6211" s="12">
        <f>IF(OR(LEFT(K6211,4)="LVAX",LEFT(K6211,6)="MV15AX",LEFT(K6211,4)="CTAX",LEFT(K6211,2)="W|"),2*N6211*O6211,0)</f>
        <v/>
      </c>
      <c r="Z6211" s="12" t="inlineStr"/>
      <c r="AA6211" s="12">
        <f>N6211*O6211</f>
        <v/>
      </c>
    </row>
    <row r="6212">
      <c r="A6212" s="12" t="inlineStr">
        <is>
          <t>C-I-0123</t>
        </is>
      </c>
      <c r="B6212" s="12" t="inlineStr">
        <is>
          <t>C</t>
        </is>
      </c>
      <c r="C6212" s="12" t="inlineStr">
        <is>
          <t>Grid interface</t>
        </is>
      </c>
      <c r="D6212" s="12" t="inlineStr">
        <is>
          <t>Discrete device to JB JB-Wastewater treatme-DI02: 10 x 1 pr (field cables)</t>
        </is>
      </c>
      <c r="E6212" s="12" t="inlineStr"/>
      <c r="F6212" s="12" t="inlineStr">
        <is>
          <t>Wastewater treatment: rooftop HVAC, exhaust fans, vents</t>
        </is>
      </c>
      <c r="G6212" s="12" t="inlineStr">
        <is>
          <t>JB-Wastewater treatme-DI02</t>
        </is>
      </c>
      <c r="H6212" s="12" t="inlineStr">
        <is>
          <t>Wastewater treatment: rooftop HVAC, exhaust fans, vents</t>
        </is>
      </c>
      <c r="I6212" s="12" t="inlineStr">
        <is>
          <t>Instrumentation</t>
        </is>
      </c>
      <c r="J6212" s="12" t="inlineStr">
        <is>
          <t>Instrumentation PLTC / TC-ER 300 V, #18 twisted shielded pairs, overall shield</t>
        </is>
      </c>
      <c r="K6212" s="12" t="inlineStr">
        <is>
          <t>PLTC|1 pr|16</t>
        </is>
      </c>
      <c r="L6212" s="12" t="inlineStr">
        <is>
          <t>1 pr</t>
        </is>
      </c>
      <c r="M6212" s="12" t="inlineStr">
        <is>
          <t>16</t>
        </is>
      </c>
      <c r="N6212" s="12" t="n">
        <v>10</v>
      </c>
      <c r="O6212" s="12" t="n">
        <v>1</v>
      </c>
      <c r="P6212" s="12" t="n"/>
      <c r="Q6212" s="12" t="n"/>
      <c r="R6212" s="12" t="n"/>
      <c r="S6212" s="12" t="inlineStr">
        <is>
          <t>Tray / conduit</t>
        </is>
      </c>
      <c r="T6212" s="15" t="n">
        <v>89</v>
      </c>
      <c r="U6212" s="15" t="n">
        <v>10</v>
      </c>
      <c r="V6212" s="15">
        <f>ROUNDUP((T6212+U6212+2*'Read Me'!$B$13)*(1+'Read Me'!$B$12),-1)</f>
        <v/>
      </c>
      <c r="W6212" s="15">
        <f>V6212*N6212*O6212</f>
        <v/>
      </c>
      <c r="X6212" s="12">
        <f>IF(LEFT(I6212,2)="MV",2*N6212*IF(L6212="1/C",O6212,1),0)</f>
        <v/>
      </c>
      <c r="Y6212" s="12">
        <f>IF(OR(LEFT(K6212,4)="LVAX",LEFT(K6212,6)="MV15AX",LEFT(K6212,4)="CTAX",LEFT(K6212,2)="W|"),2*N6212*O6212,0)</f>
        <v/>
      </c>
      <c r="Z6212" s="12" t="inlineStr">
        <is>
          <t>device-to-JB field wiring, one cable per device</t>
        </is>
      </c>
      <c r="AA6212" s="12">
        <f>N6212*O6212</f>
        <v/>
      </c>
    </row>
    <row r="6213">
      <c r="A6213" s="12" t="inlineStr">
        <is>
          <t>C-I-0124</t>
        </is>
      </c>
      <c r="B6213" s="12" t="inlineStr">
        <is>
          <t>C</t>
        </is>
      </c>
      <c r="C6213" s="12" t="inlineStr">
        <is>
          <t>Grid interface</t>
        </is>
      </c>
      <c r="D6213" s="12" t="inlineStr">
        <is>
          <t>Home run JB-Wastewater treatme-DI02 to the control / marshalling room</t>
        </is>
      </c>
      <c r="E6213" s="12" t="inlineStr">
        <is>
          <t>R1</t>
        </is>
      </c>
      <c r="F6213" s="12" t="inlineStr">
        <is>
          <t>R1: main electrical building (64 x 180 ft)</t>
        </is>
      </c>
      <c r="G6213" s="12" t="inlineStr">
        <is>
          <t>JB-Wastewater treatme-DI02</t>
        </is>
      </c>
      <c r="H6213" s="12" t="inlineStr">
        <is>
          <t>Wastewater treatment: rooftop HVAC, exhaust fans, vents</t>
        </is>
      </c>
      <c r="I6213" s="12" t="inlineStr">
        <is>
          <t>Instrumentation</t>
        </is>
      </c>
      <c r="J6213" s="12" t="inlineStr">
        <is>
          <t>Instrumentation PLTC / TC-ER 300 V, #18 twisted shielded pairs, overall shield</t>
        </is>
      </c>
      <c r="K6213" s="12" t="inlineStr">
        <is>
          <t>PLTC|24 pr|18</t>
        </is>
      </c>
      <c r="L6213" s="12" t="inlineStr">
        <is>
          <t>24 pr</t>
        </is>
      </c>
      <c r="M6213" s="12" t="inlineStr">
        <is>
          <t>18</t>
        </is>
      </c>
      <c r="N6213" s="12" t="n">
        <v>1</v>
      </c>
      <c r="O6213" s="12" t="n">
        <v>1</v>
      </c>
      <c r="P6213" s="12" t="n"/>
      <c r="Q6213" s="12" t="n"/>
      <c r="R6213" s="12" t="n"/>
      <c r="S6213" s="12" t="inlineStr">
        <is>
          <t>Duct bank</t>
        </is>
      </c>
      <c r="T6213" s="15" t="n">
        <v>1215</v>
      </c>
      <c r="U6213" s="15" t="n">
        <v>99</v>
      </c>
      <c r="V6213" s="15">
        <f>ROUNDUP((T6213+U6213+2*'Read Me'!$B$13)*(1+'Read Me'!$B$12),-1)</f>
        <v/>
      </c>
      <c r="W6213" s="15">
        <f>V6213*N6213*O6213</f>
        <v/>
      </c>
      <c r="X6213" s="12">
        <f>IF(LEFT(I6213,2)="MV",2*N6213*IF(L6213="1/C",O6213,1),0)</f>
        <v/>
      </c>
      <c r="Y6213" s="12">
        <f>IF(OR(LEFT(K6213,4)="LVAX",LEFT(K6213,6)="MV15AX",LEFT(K6213,4)="CTAX",LEFT(K6213,2)="W|"),2*N6213*O6213,0)</f>
        <v/>
      </c>
      <c r="Z6213" s="12" t="inlineStr"/>
      <c r="AA6213" s="12">
        <f>N6213*O6213</f>
        <v/>
      </c>
    </row>
    <row r="6214">
      <c r="A6214" s="12" t="inlineStr">
        <is>
          <t>C-I-0125</t>
        </is>
      </c>
      <c r="B6214" s="12" t="inlineStr">
        <is>
          <t>C</t>
        </is>
      </c>
      <c r="C6214" s="12" t="inlineStr">
        <is>
          <t>Grid interface</t>
        </is>
      </c>
      <c r="D6214" s="12" t="inlineStr">
        <is>
          <t>Analog instrument to JB JB-Water treatment bu-AI01: 20 x 1 pr (field cables)</t>
        </is>
      </c>
      <c r="E6214" s="12" t="inlineStr"/>
      <c r="F6214" s="12" t="inlineStr">
        <is>
          <t>Water treatment building: rooftop HVAC, exhaust fans, vents</t>
        </is>
      </c>
      <c r="G6214" s="12" t="inlineStr">
        <is>
          <t>JB-Water treatment bu-AI01</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PLTC|1 pr|16</t>
        </is>
      </c>
      <c r="L6214" s="12" t="inlineStr">
        <is>
          <t>1 pr</t>
        </is>
      </c>
      <c r="M6214" s="12" t="inlineStr">
        <is>
          <t>16</t>
        </is>
      </c>
      <c r="N6214" s="12" t="n">
        <v>20</v>
      </c>
      <c r="O6214" s="12" t="n">
        <v>1</v>
      </c>
      <c r="P6214" s="12" t="n"/>
      <c r="Q6214" s="12" t="n"/>
      <c r="R6214" s="12" t="n"/>
      <c r="S6214" s="12" t="inlineStr">
        <is>
          <t>Tray / conduit</t>
        </is>
      </c>
      <c r="T6214" s="15" t="n">
        <v>162</v>
      </c>
      <c r="U6214" s="15" t="n">
        <v>10</v>
      </c>
      <c r="V6214" s="15">
        <f>ROUNDUP((T6214+U6214+2*'Read Me'!$B$13)*(1+'Read Me'!$B$12),-1)</f>
        <v/>
      </c>
      <c r="W6214" s="15">
        <f>V6214*N6214*O6214</f>
        <v/>
      </c>
      <c r="X6214" s="12">
        <f>IF(LEFT(I6214,2)="MV",2*N6214*IF(L6214="1/C",O6214,1),0)</f>
        <v/>
      </c>
      <c r="Y6214" s="12">
        <f>IF(OR(LEFT(K6214,4)="LVAX",LEFT(K6214,6)="MV15AX",LEFT(K6214,4)="CTAX",LEFT(K6214,2)="W|"),2*N6214*O6214,0)</f>
        <v/>
      </c>
      <c r="Z6214" s="12" t="inlineStr">
        <is>
          <t>device-to-JB field wiring, one cable per device</t>
        </is>
      </c>
      <c r="AA6214" s="12">
        <f>N6214*O6214</f>
        <v/>
      </c>
    </row>
    <row r="6215">
      <c r="A6215" s="12" t="inlineStr">
        <is>
          <t>C-I-0126</t>
        </is>
      </c>
      <c r="B6215" s="12" t="inlineStr">
        <is>
          <t>C</t>
        </is>
      </c>
      <c r="C6215" s="12" t="inlineStr">
        <is>
          <t>Grid interface</t>
        </is>
      </c>
      <c r="D6215" s="12" t="inlineStr">
        <is>
          <t>Home run JB-Water treatment bu-AI01 to the control / marshalling room</t>
        </is>
      </c>
      <c r="E6215" s="12" t="inlineStr">
        <is>
          <t>R1</t>
        </is>
      </c>
      <c r="F6215" s="12" t="inlineStr">
        <is>
          <t>R1: main electrical building (64 x 180 ft)</t>
        </is>
      </c>
      <c r="G6215" s="12" t="inlineStr">
        <is>
          <t>JB-Water treatment bu-AI01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PLTC|24 pr|18</t>
        </is>
      </c>
      <c r="L6215" s="12" t="inlineStr">
        <is>
          <t>24 pr</t>
        </is>
      </c>
      <c r="M6215" s="12" t="inlineStr">
        <is>
          <t>18</t>
        </is>
      </c>
      <c r="N6215" s="12" t="n">
        <v>1</v>
      </c>
      <c r="O6215" s="12" t="n">
        <v>1</v>
      </c>
      <c r="P6215" s="12" t="n"/>
      <c r="Q6215" s="12" t="n"/>
      <c r="R6215" s="12" t="n"/>
      <c r="S6215" s="12" t="inlineStr">
        <is>
          <t>Duct bank</t>
        </is>
      </c>
      <c r="T6215" s="15" t="n">
        <v>985</v>
      </c>
      <c r="U6215" s="15" t="n">
        <v>32</v>
      </c>
      <c r="V6215" s="15">
        <f>ROUNDUP((T6215+U6215+2*'Read Me'!$B$13)*(1+'Read Me'!$B$12),-1)</f>
        <v/>
      </c>
      <c r="W6215" s="15">
        <f>V6215*N6215*O6215</f>
        <v/>
      </c>
      <c r="X6215" s="12">
        <f>IF(LEFT(I6215,2)="MV",2*N6215*IF(L6215="1/C",O6215,1),0)</f>
        <v/>
      </c>
      <c r="Y6215" s="12">
        <f>IF(OR(LEFT(K6215,4)="LVAX",LEFT(K6215,6)="MV15AX",LEFT(K6215,4)="CTAX",LEFT(K6215,2)="W|"),2*N6215*O6215,0)</f>
        <v/>
      </c>
      <c r="Z6215" s="12" t="inlineStr"/>
      <c r="AA6215" s="12">
        <f>N6215*O6215</f>
        <v/>
      </c>
    </row>
    <row r="6216">
      <c r="A6216" s="12" t="inlineStr">
        <is>
          <t>C-I-0127</t>
        </is>
      </c>
      <c r="B6216" s="12" t="inlineStr">
        <is>
          <t>C</t>
        </is>
      </c>
      <c r="C6216" s="12" t="inlineStr">
        <is>
          <t>Grid interface</t>
        </is>
      </c>
      <c r="D6216" s="12" t="inlineStr">
        <is>
          <t>Analog instrument to JB JB-Water treatment bu-AI02: 20 x 1 pr (field cables)</t>
        </is>
      </c>
      <c r="E6216" s="12" t="inlineStr"/>
      <c r="F6216" s="12" t="inlineStr">
        <is>
          <t>Water treatment building: rooftop HVAC, exhaust fans, vents</t>
        </is>
      </c>
      <c r="G6216" s="12" t="inlineStr">
        <is>
          <t>JB-Water treatment bu-AI02</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PLTC|1 pr|16</t>
        </is>
      </c>
      <c r="L6216" s="12" t="inlineStr">
        <is>
          <t>1 pr</t>
        </is>
      </c>
      <c r="M6216" s="12" t="inlineStr">
        <is>
          <t>16</t>
        </is>
      </c>
      <c r="N6216" s="12" t="n">
        <v>20</v>
      </c>
      <c r="O6216" s="12" t="n">
        <v>1</v>
      </c>
      <c r="P6216" s="12" t="n"/>
      <c r="Q6216" s="12" t="n"/>
      <c r="R6216" s="12" t="n"/>
      <c r="S6216" s="12" t="inlineStr">
        <is>
          <t>Tray / conduit</t>
        </is>
      </c>
      <c r="T6216" s="15" t="n">
        <v>162</v>
      </c>
      <c r="U6216" s="15" t="n">
        <v>10</v>
      </c>
      <c r="V6216" s="15">
        <f>ROUNDUP((T6216+U6216+2*'Read Me'!$B$13)*(1+'Read Me'!$B$12),-1)</f>
        <v/>
      </c>
      <c r="W6216" s="15">
        <f>V6216*N6216*O6216</f>
        <v/>
      </c>
      <c r="X6216" s="12">
        <f>IF(LEFT(I6216,2)="MV",2*N6216*IF(L6216="1/C",O6216,1),0)</f>
        <v/>
      </c>
      <c r="Y6216" s="12">
        <f>IF(OR(LEFT(K6216,4)="LVAX",LEFT(K6216,6)="MV15AX",LEFT(K6216,4)="CTAX",LEFT(K6216,2)="W|"),2*N6216*O6216,0)</f>
        <v/>
      </c>
      <c r="Z6216" s="12" t="inlineStr">
        <is>
          <t>device-to-JB field wiring, one cable per device</t>
        </is>
      </c>
      <c r="AA6216" s="12">
        <f>N6216*O6216</f>
        <v/>
      </c>
    </row>
    <row r="6217">
      <c r="A6217" s="12" t="inlineStr">
        <is>
          <t>C-I-0128</t>
        </is>
      </c>
      <c r="B6217" s="12" t="inlineStr">
        <is>
          <t>C</t>
        </is>
      </c>
      <c r="C6217" s="12" t="inlineStr">
        <is>
          <t>Grid interface</t>
        </is>
      </c>
      <c r="D6217" s="12" t="inlineStr">
        <is>
          <t>Home run JB-Water treatment bu-AI02 to the control / marshalling room</t>
        </is>
      </c>
      <c r="E6217" s="12" t="inlineStr">
        <is>
          <t>R1</t>
        </is>
      </c>
      <c r="F6217" s="12" t="inlineStr">
        <is>
          <t>R1: main electrical building (64 x 180 ft)</t>
        </is>
      </c>
      <c r="G6217" s="12" t="inlineStr">
        <is>
          <t>JB-Water treatment bu-AI02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PLTC|24 pr|18</t>
        </is>
      </c>
      <c r="L6217" s="12" t="inlineStr">
        <is>
          <t>24 pr</t>
        </is>
      </c>
      <c r="M6217" s="12" t="inlineStr">
        <is>
          <t>18</t>
        </is>
      </c>
      <c r="N6217" s="12" t="n">
        <v>1</v>
      </c>
      <c r="O6217" s="12" t="n">
        <v>1</v>
      </c>
      <c r="P6217" s="12" t="n"/>
      <c r="Q6217" s="12" t="n"/>
      <c r="R6217" s="12" t="n"/>
      <c r="S6217" s="12" t="inlineStr">
        <is>
          <t>Duct bank</t>
        </is>
      </c>
      <c r="T6217" s="15" t="n">
        <v>985</v>
      </c>
      <c r="U6217" s="15" t="n">
        <v>32</v>
      </c>
      <c r="V6217" s="15">
        <f>ROUNDUP((T6217+U6217+2*'Read Me'!$B$13)*(1+'Read Me'!$B$12),-1)</f>
        <v/>
      </c>
      <c r="W6217" s="15">
        <f>V6217*N6217*O6217</f>
        <v/>
      </c>
      <c r="X6217" s="12">
        <f>IF(LEFT(I6217,2)="MV",2*N6217*IF(L6217="1/C",O6217,1),0)</f>
        <v/>
      </c>
      <c r="Y6217" s="12">
        <f>IF(OR(LEFT(K6217,4)="LVAX",LEFT(K6217,6)="MV15AX",LEFT(K6217,4)="CTAX",LEFT(K6217,2)="W|"),2*N6217*O6217,0)</f>
        <v/>
      </c>
      <c r="Z6217" s="12" t="inlineStr"/>
      <c r="AA6217" s="12">
        <f>N6217*O6217</f>
        <v/>
      </c>
    </row>
    <row r="6218">
      <c r="A6218" s="12" t="inlineStr">
        <is>
          <t>C-I-0129</t>
        </is>
      </c>
      <c r="B6218" s="12" t="inlineStr">
        <is>
          <t>C</t>
        </is>
      </c>
      <c r="C6218" s="12" t="inlineStr">
        <is>
          <t>Grid interface</t>
        </is>
      </c>
      <c r="D6218" s="12" t="inlineStr">
        <is>
          <t>Analog instrument to JB JB-Water treatment bu-AI03: 20 x 1 pr (field cables)</t>
        </is>
      </c>
      <c r="E6218" s="12" t="inlineStr"/>
      <c r="F6218" s="12" t="inlineStr">
        <is>
          <t>Water treatment building: rooftop HVAC, exhaust fans, vents</t>
        </is>
      </c>
      <c r="G6218" s="12" t="inlineStr">
        <is>
          <t>JB-Water treatment bu-AI03</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PLTC|1 pr|16</t>
        </is>
      </c>
      <c r="L6218" s="12" t="inlineStr">
        <is>
          <t>1 pr</t>
        </is>
      </c>
      <c r="M6218" s="12" t="inlineStr">
        <is>
          <t>16</t>
        </is>
      </c>
      <c r="N6218" s="12" t="n">
        <v>20</v>
      </c>
      <c r="O6218" s="12" t="n">
        <v>1</v>
      </c>
      <c r="P6218" s="12" t="n"/>
      <c r="Q6218" s="12" t="n"/>
      <c r="R6218" s="12" t="n"/>
      <c r="S6218" s="12" t="inlineStr">
        <is>
          <t>Tray / conduit</t>
        </is>
      </c>
      <c r="T6218" s="15" t="n">
        <v>162</v>
      </c>
      <c r="U6218" s="15" t="n">
        <v>10</v>
      </c>
      <c r="V6218" s="15">
        <f>ROUNDUP((T6218+U6218+2*'Read Me'!$B$13)*(1+'Read Me'!$B$12),-1)</f>
        <v/>
      </c>
      <c r="W6218" s="15">
        <f>V6218*N6218*O6218</f>
        <v/>
      </c>
      <c r="X6218" s="12">
        <f>IF(LEFT(I6218,2)="MV",2*N6218*IF(L6218="1/C",O6218,1),0)</f>
        <v/>
      </c>
      <c r="Y6218" s="12">
        <f>IF(OR(LEFT(K6218,4)="LVAX",LEFT(K6218,6)="MV15AX",LEFT(K6218,4)="CTAX",LEFT(K6218,2)="W|"),2*N6218*O6218,0)</f>
        <v/>
      </c>
      <c r="Z6218" s="12" t="inlineStr">
        <is>
          <t>device-to-JB field wiring, one cable per device</t>
        </is>
      </c>
      <c r="AA6218" s="12">
        <f>N6218*O6218</f>
        <v/>
      </c>
    </row>
    <row r="6219">
      <c r="A6219" s="12" t="inlineStr">
        <is>
          <t>C-I-0130</t>
        </is>
      </c>
      <c r="B6219" s="12" t="inlineStr">
        <is>
          <t>C</t>
        </is>
      </c>
      <c r="C6219" s="12" t="inlineStr">
        <is>
          <t>Grid interface</t>
        </is>
      </c>
      <c r="D6219" s="12" t="inlineStr">
        <is>
          <t>Home run JB-Water treatment bu-AI03 to the control / marshalling room</t>
        </is>
      </c>
      <c r="E6219" s="12" t="inlineStr">
        <is>
          <t>R1</t>
        </is>
      </c>
      <c r="F6219" s="12" t="inlineStr">
        <is>
          <t>R1: main electrical building (64 x 180 ft)</t>
        </is>
      </c>
      <c r="G6219" s="12" t="inlineStr">
        <is>
          <t>JB-Water treatment bu-AI03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PLTC|24 pr|18</t>
        </is>
      </c>
      <c r="L6219" s="12" t="inlineStr">
        <is>
          <t>24 pr</t>
        </is>
      </c>
      <c r="M6219" s="12" t="inlineStr">
        <is>
          <t>18</t>
        </is>
      </c>
      <c r="N6219" s="12" t="n">
        <v>1</v>
      </c>
      <c r="O6219" s="12" t="n">
        <v>1</v>
      </c>
      <c r="P6219" s="12" t="n"/>
      <c r="Q6219" s="12" t="n"/>
      <c r="R6219" s="12" t="n"/>
      <c r="S6219" s="12" t="inlineStr">
        <is>
          <t>Duct bank</t>
        </is>
      </c>
      <c r="T6219" s="15" t="n">
        <v>985</v>
      </c>
      <c r="U6219" s="15" t="n">
        <v>32</v>
      </c>
      <c r="V6219" s="15">
        <f>ROUNDUP((T6219+U6219+2*'Read Me'!$B$13)*(1+'Read Me'!$B$12),-1)</f>
        <v/>
      </c>
      <c r="W6219" s="15">
        <f>V6219*N6219*O6219</f>
        <v/>
      </c>
      <c r="X6219" s="12">
        <f>IF(LEFT(I6219,2)="MV",2*N6219*IF(L6219="1/C",O6219,1),0)</f>
        <v/>
      </c>
      <c r="Y6219" s="12">
        <f>IF(OR(LEFT(K6219,4)="LVAX",LEFT(K6219,6)="MV15AX",LEFT(K6219,4)="CTAX",LEFT(K6219,2)="W|"),2*N6219*O6219,0)</f>
        <v/>
      </c>
      <c r="Z6219" s="12" t="inlineStr"/>
      <c r="AA6219" s="12">
        <f>N6219*O6219</f>
        <v/>
      </c>
    </row>
    <row r="6220">
      <c r="A6220" s="12" t="inlineStr">
        <is>
          <t>C-I-0131</t>
        </is>
      </c>
      <c r="B6220" s="12" t="inlineStr">
        <is>
          <t>C</t>
        </is>
      </c>
      <c r="C6220" s="12" t="inlineStr">
        <is>
          <t>Grid interface</t>
        </is>
      </c>
      <c r="D6220" s="12" t="inlineStr">
        <is>
          <t>Discrete device to JB JB-Water treatment bu-DI01: 20 x 1 pr (field cables)</t>
        </is>
      </c>
      <c r="E6220" s="12" t="inlineStr"/>
      <c r="F6220" s="12" t="inlineStr">
        <is>
          <t>Water treatment building: rooftop HVAC, exhaust fans, vents</t>
        </is>
      </c>
      <c r="G6220" s="12" t="inlineStr">
        <is>
          <t>JB-Water treatment bu-DI01</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PLTC|1 pr|16</t>
        </is>
      </c>
      <c r="L6220" s="12" t="inlineStr">
        <is>
          <t>1 pr</t>
        </is>
      </c>
      <c r="M6220" s="12" t="inlineStr">
        <is>
          <t>16</t>
        </is>
      </c>
      <c r="N6220" s="12" t="n">
        <v>20</v>
      </c>
      <c r="O6220" s="12" t="n">
        <v>1</v>
      </c>
      <c r="P6220" s="12" t="n"/>
      <c r="Q6220" s="12" t="n"/>
      <c r="R6220" s="12" t="n"/>
      <c r="S6220" s="12" t="inlineStr">
        <is>
          <t>Tray / conduit</t>
        </is>
      </c>
      <c r="T6220" s="15" t="n">
        <v>162</v>
      </c>
      <c r="U6220" s="15" t="n">
        <v>10</v>
      </c>
      <c r="V6220" s="15">
        <f>ROUNDUP((T6220+U6220+2*'Read Me'!$B$13)*(1+'Read Me'!$B$12),-1)</f>
        <v/>
      </c>
      <c r="W6220" s="15">
        <f>V6220*N6220*O6220</f>
        <v/>
      </c>
      <c r="X6220" s="12">
        <f>IF(LEFT(I6220,2)="MV",2*N6220*IF(L6220="1/C",O6220,1),0)</f>
        <v/>
      </c>
      <c r="Y6220" s="12">
        <f>IF(OR(LEFT(K6220,4)="LVAX",LEFT(K6220,6)="MV15AX",LEFT(K6220,4)="CTAX",LEFT(K6220,2)="W|"),2*N6220*O6220,0)</f>
        <v/>
      </c>
      <c r="Z6220" s="12" t="inlineStr">
        <is>
          <t>device-to-JB field wiring, one cable per device</t>
        </is>
      </c>
      <c r="AA6220" s="12">
        <f>N6220*O6220</f>
        <v/>
      </c>
    </row>
    <row r="6221">
      <c r="A6221" s="12" t="inlineStr">
        <is>
          <t>C-I-0132</t>
        </is>
      </c>
      <c r="B6221" s="12" t="inlineStr">
        <is>
          <t>C</t>
        </is>
      </c>
      <c r="C6221" s="12" t="inlineStr">
        <is>
          <t>Grid interface</t>
        </is>
      </c>
      <c r="D6221" s="12" t="inlineStr">
        <is>
          <t>Home run JB-Water treatment bu-DI01 to the control / marshalling room</t>
        </is>
      </c>
      <c r="E6221" s="12" t="inlineStr">
        <is>
          <t>R1</t>
        </is>
      </c>
      <c r="F6221" s="12" t="inlineStr">
        <is>
          <t>R1: main electrical building (64 x 180 ft)</t>
        </is>
      </c>
      <c r="G6221" s="12" t="inlineStr">
        <is>
          <t>JB-Water treatment bu-DI01</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PLTC|24 pr|18</t>
        </is>
      </c>
      <c r="L6221" s="12" t="inlineStr">
        <is>
          <t>24 pr</t>
        </is>
      </c>
      <c r="M6221" s="12" t="inlineStr">
        <is>
          <t>18</t>
        </is>
      </c>
      <c r="N6221" s="12" t="n">
        <v>1</v>
      </c>
      <c r="O6221" s="12" t="n">
        <v>1</v>
      </c>
      <c r="P6221" s="12" t="n"/>
      <c r="Q6221" s="12" t="n"/>
      <c r="R6221" s="12" t="n"/>
      <c r="S6221" s="12" t="inlineStr">
        <is>
          <t>Duct bank</t>
        </is>
      </c>
      <c r="T6221" s="15" t="n">
        <v>985</v>
      </c>
      <c r="U6221" s="15" t="n">
        <v>32</v>
      </c>
      <c r="V6221" s="15">
        <f>ROUNDUP((T6221+U6221+2*'Read Me'!$B$13)*(1+'Read Me'!$B$12),-1)</f>
        <v/>
      </c>
      <c r="W6221" s="15">
        <f>V6221*N6221*O6221</f>
        <v/>
      </c>
      <c r="X6221" s="12">
        <f>IF(LEFT(I6221,2)="MV",2*N6221*IF(L6221="1/C",O6221,1),0)</f>
        <v/>
      </c>
      <c r="Y6221" s="12">
        <f>IF(OR(LEFT(K6221,4)="LVAX",LEFT(K6221,6)="MV15AX",LEFT(K6221,4)="CTAX",LEFT(K6221,2)="W|"),2*N6221*O6221,0)</f>
        <v/>
      </c>
      <c r="Z6221" s="12" t="inlineStr"/>
      <c r="AA6221" s="12">
        <f>N6221*O6221</f>
        <v/>
      </c>
    </row>
    <row r="6222">
      <c r="A6222" s="12" t="inlineStr">
        <is>
          <t>C-I-0133</t>
        </is>
      </c>
      <c r="B6222" s="12" t="inlineStr">
        <is>
          <t>C</t>
        </is>
      </c>
      <c r="C6222" s="12" t="inlineStr">
        <is>
          <t>Grid interface</t>
        </is>
      </c>
      <c r="D6222" s="12" t="inlineStr">
        <is>
          <t>Discrete device to JB JB-Water treatment bu-DI02: 20 x 1 pr (field cables)</t>
        </is>
      </c>
      <c r="E6222" s="12" t="inlineStr"/>
      <c r="F6222" s="12" t="inlineStr">
        <is>
          <t>Water treatment building: rooftop HVAC, exhaust fans, vents</t>
        </is>
      </c>
      <c r="G6222" s="12" t="inlineStr">
        <is>
          <t>JB-Water treatment bu-DI02</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PLTC|1 pr|16</t>
        </is>
      </c>
      <c r="L6222" s="12" t="inlineStr">
        <is>
          <t>1 pr</t>
        </is>
      </c>
      <c r="M6222" s="12" t="inlineStr">
        <is>
          <t>16</t>
        </is>
      </c>
      <c r="N6222" s="12" t="n">
        <v>20</v>
      </c>
      <c r="O6222" s="12" t="n">
        <v>1</v>
      </c>
      <c r="P6222" s="12" t="n"/>
      <c r="Q6222" s="12" t="n"/>
      <c r="R6222" s="12" t="n"/>
      <c r="S6222" s="12" t="inlineStr">
        <is>
          <t>Tray / conduit</t>
        </is>
      </c>
      <c r="T6222" s="15" t="n">
        <v>162</v>
      </c>
      <c r="U6222" s="15" t="n">
        <v>10</v>
      </c>
      <c r="V6222" s="15">
        <f>ROUNDUP((T6222+U6222+2*'Read Me'!$B$13)*(1+'Read Me'!$B$12),-1)</f>
        <v/>
      </c>
      <c r="W6222" s="15">
        <f>V6222*N6222*O6222</f>
        <v/>
      </c>
      <c r="X6222" s="12">
        <f>IF(LEFT(I6222,2)="MV",2*N6222*IF(L6222="1/C",O6222,1),0)</f>
        <v/>
      </c>
      <c r="Y6222" s="12">
        <f>IF(OR(LEFT(K6222,4)="LVAX",LEFT(K6222,6)="MV15AX",LEFT(K6222,4)="CTAX",LEFT(K6222,2)="W|"),2*N6222*O6222,0)</f>
        <v/>
      </c>
      <c r="Z6222" s="12" t="inlineStr">
        <is>
          <t>device-to-JB field wiring, one cable per device</t>
        </is>
      </c>
      <c r="AA6222" s="12">
        <f>N6222*O6222</f>
        <v/>
      </c>
    </row>
    <row r="6223">
      <c r="A6223" s="12" t="inlineStr">
        <is>
          <t>C-I-0134</t>
        </is>
      </c>
      <c r="B6223" s="12" t="inlineStr">
        <is>
          <t>C</t>
        </is>
      </c>
      <c r="C6223" s="12" t="inlineStr">
        <is>
          <t>Grid interface</t>
        </is>
      </c>
      <c r="D6223" s="12" t="inlineStr">
        <is>
          <t>Home run JB-Water treatment bu-DI02 to the control / marshalling room</t>
        </is>
      </c>
      <c r="E6223" s="12" t="inlineStr">
        <is>
          <t>R1</t>
        </is>
      </c>
      <c r="F6223" s="12" t="inlineStr">
        <is>
          <t>R1: main electrical building (64 x 180 ft)</t>
        </is>
      </c>
      <c r="G6223" s="12" t="inlineStr">
        <is>
          <t>JB-Water treatment bu-DI02</t>
        </is>
      </c>
      <c r="H6223" s="12" t="inlineStr">
        <is>
          <t>Water treatment building: rooftop HVAC, exhaust fans, vents</t>
        </is>
      </c>
      <c r="I6223" s="12" t="inlineStr">
        <is>
          <t>Instrumentation</t>
        </is>
      </c>
      <c r="J6223" s="12" t="inlineStr">
        <is>
          <t>Instrumentation PLTC / TC-ER 300 V, #18 twisted shielded pairs, overall shield</t>
        </is>
      </c>
      <c r="K6223" s="12" t="inlineStr">
        <is>
          <t>PLTC|24 pr|18</t>
        </is>
      </c>
      <c r="L6223" s="12" t="inlineStr">
        <is>
          <t>24 pr</t>
        </is>
      </c>
      <c r="M6223" s="12" t="inlineStr">
        <is>
          <t>18</t>
        </is>
      </c>
      <c r="N6223" s="12" t="n">
        <v>1</v>
      </c>
      <c r="O6223" s="12" t="n">
        <v>1</v>
      </c>
      <c r="P6223" s="12" t="n"/>
      <c r="Q6223" s="12" t="n"/>
      <c r="R6223" s="12" t="n"/>
      <c r="S6223" s="12" t="inlineStr">
        <is>
          <t>Duct bank</t>
        </is>
      </c>
      <c r="T6223" s="15" t="n">
        <v>985</v>
      </c>
      <c r="U6223" s="15" t="n">
        <v>32</v>
      </c>
      <c r="V6223" s="15">
        <f>ROUNDUP((T6223+U6223+2*'Read Me'!$B$13)*(1+'Read Me'!$B$12),-1)</f>
        <v/>
      </c>
      <c r="W6223" s="15">
        <f>V6223*N6223*O6223</f>
        <v/>
      </c>
      <c r="X6223" s="12">
        <f>IF(LEFT(I6223,2)="MV",2*N6223*IF(L6223="1/C",O6223,1),0)</f>
        <v/>
      </c>
      <c r="Y6223" s="12">
        <f>IF(OR(LEFT(K6223,4)="LVAX",LEFT(K6223,6)="MV15AX",LEFT(K6223,4)="CTAX",LEFT(K6223,2)="W|"),2*N6223*O6223,0)</f>
        <v/>
      </c>
      <c r="Z6223" s="12" t="inlineStr"/>
      <c r="AA6223" s="12">
        <f>N6223*O6223</f>
        <v/>
      </c>
    </row>
    <row r="6224">
      <c r="A6224" s="12" t="inlineStr">
        <is>
          <t>C-I-0135</t>
        </is>
      </c>
      <c r="B6224" s="12" t="inlineStr">
        <is>
          <t>C</t>
        </is>
      </c>
      <c r="C6224" s="12" t="inlineStr">
        <is>
          <t>Grid interface</t>
        </is>
      </c>
      <c r="D6224" s="12" t="inlineStr">
        <is>
          <t>Discrete device to JB JB-Water treatment bu-DI03: 20 x 1 pr (field cables)</t>
        </is>
      </c>
      <c r="E6224" s="12" t="inlineStr"/>
      <c r="F6224" s="12" t="inlineStr">
        <is>
          <t>Water treatment building: rooftop HVAC, exhaust fans, vents</t>
        </is>
      </c>
      <c r="G6224" s="12" t="inlineStr">
        <is>
          <t>JB-Water treatment bu-DI03</t>
        </is>
      </c>
      <c r="H6224" s="12" t="inlineStr">
        <is>
          <t>Water treatment building: rooftop HVAC, exhaust fans, vents</t>
        </is>
      </c>
      <c r="I6224" s="12" t="inlineStr">
        <is>
          <t>Instrumentation</t>
        </is>
      </c>
      <c r="J6224" s="12" t="inlineStr">
        <is>
          <t>Instrumentation PLTC / TC-ER 300 V, #18 twisted shielded pairs, overall shield</t>
        </is>
      </c>
      <c r="K6224" s="12" t="inlineStr">
        <is>
          <t>PLTC|1 pr|16</t>
        </is>
      </c>
      <c r="L6224" s="12" t="inlineStr">
        <is>
          <t>1 pr</t>
        </is>
      </c>
      <c r="M6224" s="12" t="inlineStr">
        <is>
          <t>16</t>
        </is>
      </c>
      <c r="N6224" s="12" t="n">
        <v>20</v>
      </c>
      <c r="O6224" s="12" t="n">
        <v>1</v>
      </c>
      <c r="P6224" s="12" t="n"/>
      <c r="Q6224" s="12" t="n"/>
      <c r="R6224" s="12" t="n"/>
      <c r="S6224" s="12" t="inlineStr">
        <is>
          <t>Tray / conduit</t>
        </is>
      </c>
      <c r="T6224" s="15" t="n">
        <v>162</v>
      </c>
      <c r="U6224" s="15" t="n">
        <v>10</v>
      </c>
      <c r="V6224" s="15">
        <f>ROUNDUP((T6224+U6224+2*'Read Me'!$B$13)*(1+'Read Me'!$B$12),-1)</f>
        <v/>
      </c>
      <c r="W6224" s="15">
        <f>V6224*N6224*O6224</f>
        <v/>
      </c>
      <c r="X6224" s="12">
        <f>IF(LEFT(I6224,2)="MV",2*N6224*IF(L6224="1/C",O6224,1),0)</f>
        <v/>
      </c>
      <c r="Y6224" s="12">
        <f>IF(OR(LEFT(K6224,4)="LVAX",LEFT(K6224,6)="MV15AX",LEFT(K6224,4)="CTAX",LEFT(K6224,2)="W|"),2*N6224*O6224,0)</f>
        <v/>
      </c>
      <c r="Z6224" s="12" t="inlineStr">
        <is>
          <t>device-to-JB field wiring, one cable per device</t>
        </is>
      </c>
      <c r="AA6224" s="12">
        <f>N6224*O6224</f>
        <v/>
      </c>
    </row>
    <row r="6225">
      <c r="A6225" s="12" t="inlineStr">
        <is>
          <t>C-I-0136</t>
        </is>
      </c>
      <c r="B6225" s="12" t="inlineStr">
        <is>
          <t>C</t>
        </is>
      </c>
      <c r="C6225" s="12" t="inlineStr">
        <is>
          <t>Grid interface</t>
        </is>
      </c>
      <c r="D6225" s="12" t="inlineStr">
        <is>
          <t>Home run JB-Water treatment bu-DI03 to the control / marshalling room</t>
        </is>
      </c>
      <c r="E6225" s="12" t="inlineStr">
        <is>
          <t>R1</t>
        </is>
      </c>
      <c r="F6225" s="12" t="inlineStr">
        <is>
          <t>R1: main electrical building (64 x 180 ft)</t>
        </is>
      </c>
      <c r="G6225" s="12" t="inlineStr">
        <is>
          <t>JB-Water treatment bu-DI03</t>
        </is>
      </c>
      <c r="H6225" s="12" t="inlineStr">
        <is>
          <t>Water treatment building: rooftop HVAC, exhaust fans, vents</t>
        </is>
      </c>
      <c r="I6225" s="12" t="inlineStr">
        <is>
          <t>Instrumentation</t>
        </is>
      </c>
      <c r="J6225" s="12" t="inlineStr">
        <is>
          <t>Instrumentation PLTC / TC-ER 300 V, #18 twisted shielded pairs, overall shield</t>
        </is>
      </c>
      <c r="K6225" s="12" t="inlineStr">
        <is>
          <t>PLTC|24 pr|18</t>
        </is>
      </c>
      <c r="L6225" s="12" t="inlineStr">
        <is>
          <t>24 pr</t>
        </is>
      </c>
      <c r="M6225" s="12" t="inlineStr">
        <is>
          <t>18</t>
        </is>
      </c>
      <c r="N6225" s="12" t="n">
        <v>1</v>
      </c>
      <c r="O6225" s="12" t="n">
        <v>1</v>
      </c>
      <c r="P6225" s="12" t="n"/>
      <c r="Q6225" s="12" t="n"/>
      <c r="R6225" s="12" t="n"/>
      <c r="S6225" s="12" t="inlineStr">
        <is>
          <t>Duct bank</t>
        </is>
      </c>
      <c r="T6225" s="15" t="n">
        <v>985</v>
      </c>
      <c r="U6225" s="15" t="n">
        <v>32</v>
      </c>
      <c r="V6225" s="15">
        <f>ROUNDUP((T6225+U6225+2*'Read Me'!$B$13)*(1+'Read Me'!$B$12),-1)</f>
        <v/>
      </c>
      <c r="W6225" s="15">
        <f>V6225*N6225*O6225</f>
        <v/>
      </c>
      <c r="X6225" s="12">
        <f>IF(LEFT(I6225,2)="MV",2*N6225*IF(L6225="1/C",O6225,1),0)</f>
        <v/>
      </c>
      <c r="Y6225" s="12">
        <f>IF(OR(LEFT(K6225,4)="LVAX",LEFT(K6225,6)="MV15AX",LEFT(K6225,4)="CTAX",LEFT(K6225,2)="W|"),2*N6225*O6225,0)</f>
        <v/>
      </c>
      <c r="Z6225" s="12" t="inlineStr"/>
      <c r="AA6225" s="12">
        <f>N6225*O6225</f>
        <v/>
      </c>
    </row>
    <row r="6226">
      <c r="A6226" s="12" t="inlineStr">
        <is>
          <t>C-I-0137</t>
        </is>
      </c>
      <c r="B6226" s="12" t="inlineStr">
        <is>
          <t>C</t>
        </is>
      </c>
      <c r="C6226" s="12" t="inlineStr">
        <is>
          <t>Grid interface</t>
        </is>
      </c>
      <c r="D6226" s="12" t="inlineStr">
        <is>
          <t>Discrete device to JB JB-Water treatment bu-DI04: 20 x 1 pr (field cables)</t>
        </is>
      </c>
      <c r="E6226" s="12" t="inlineStr"/>
      <c r="F6226" s="12" t="inlineStr">
        <is>
          <t>Water treatment building: rooftop HVAC, exhaust fans, vents</t>
        </is>
      </c>
      <c r="G6226" s="12" t="inlineStr">
        <is>
          <t>JB-Water treatment bu-DI04</t>
        </is>
      </c>
      <c r="H6226" s="12" t="inlineStr">
        <is>
          <t>Water treatment building: rooftop HVAC, exhaust fans, vents</t>
        </is>
      </c>
      <c r="I6226" s="12" t="inlineStr">
        <is>
          <t>Instrumentation</t>
        </is>
      </c>
      <c r="J6226" s="12" t="inlineStr">
        <is>
          <t>Instrumentation PLTC / TC-ER 300 V, #18 twisted shielded pairs, overall shield</t>
        </is>
      </c>
      <c r="K6226" s="12" t="inlineStr">
        <is>
          <t>PLTC|1 pr|16</t>
        </is>
      </c>
      <c r="L6226" s="12" t="inlineStr">
        <is>
          <t>1 pr</t>
        </is>
      </c>
      <c r="M6226" s="12" t="inlineStr">
        <is>
          <t>16</t>
        </is>
      </c>
      <c r="N6226" s="12" t="n">
        <v>20</v>
      </c>
      <c r="O6226" s="12" t="n">
        <v>1</v>
      </c>
      <c r="P6226" s="12" t="n"/>
      <c r="Q6226" s="12" t="n"/>
      <c r="R6226" s="12" t="n"/>
      <c r="S6226" s="12" t="inlineStr">
        <is>
          <t>Tray / conduit</t>
        </is>
      </c>
      <c r="T6226" s="15" t="n">
        <v>162</v>
      </c>
      <c r="U6226" s="15" t="n">
        <v>10</v>
      </c>
      <c r="V6226" s="15">
        <f>ROUNDUP((T6226+U6226+2*'Read Me'!$B$13)*(1+'Read Me'!$B$12),-1)</f>
        <v/>
      </c>
      <c r="W6226" s="15">
        <f>V6226*N6226*O6226</f>
        <v/>
      </c>
      <c r="X6226" s="12">
        <f>IF(LEFT(I6226,2)="MV",2*N6226*IF(L6226="1/C",O6226,1),0)</f>
        <v/>
      </c>
      <c r="Y6226" s="12">
        <f>IF(OR(LEFT(K6226,4)="LVAX",LEFT(K6226,6)="MV15AX",LEFT(K6226,4)="CTAX",LEFT(K6226,2)="W|"),2*N6226*O6226,0)</f>
        <v/>
      </c>
      <c r="Z6226" s="12" t="inlineStr">
        <is>
          <t>device-to-JB field wiring, one cable per device</t>
        </is>
      </c>
      <c r="AA6226" s="12">
        <f>N6226*O6226</f>
        <v/>
      </c>
    </row>
    <row r="6227">
      <c r="A6227" s="12" t="inlineStr">
        <is>
          <t>C-I-0138</t>
        </is>
      </c>
      <c r="B6227" s="12" t="inlineStr">
        <is>
          <t>C</t>
        </is>
      </c>
      <c r="C6227" s="12" t="inlineStr">
        <is>
          <t>Grid interface</t>
        </is>
      </c>
      <c r="D6227" s="12" t="inlineStr">
        <is>
          <t>Home run JB-Water treatment bu-DI04 to the control / marshalling room</t>
        </is>
      </c>
      <c r="E6227" s="12" t="inlineStr">
        <is>
          <t>R1</t>
        </is>
      </c>
      <c r="F6227" s="12" t="inlineStr">
        <is>
          <t>R1: main electrical building (64 x 180 ft)</t>
        </is>
      </c>
      <c r="G6227" s="12" t="inlineStr">
        <is>
          <t>JB-Water treatment bu-DI04</t>
        </is>
      </c>
      <c r="H6227" s="12" t="inlineStr">
        <is>
          <t>Water treatment building: rooftop HVAC, exhaust fans, vents</t>
        </is>
      </c>
      <c r="I6227" s="12" t="inlineStr">
        <is>
          <t>Instrumentation</t>
        </is>
      </c>
      <c r="J6227" s="12" t="inlineStr">
        <is>
          <t>Instrumentation PLTC / TC-ER 300 V, #18 twisted shielded pairs, overall shield</t>
        </is>
      </c>
      <c r="K6227" s="12" t="inlineStr">
        <is>
          <t>PLTC|24 pr|18</t>
        </is>
      </c>
      <c r="L6227" s="12" t="inlineStr">
        <is>
          <t>24 pr</t>
        </is>
      </c>
      <c r="M6227" s="12" t="inlineStr">
        <is>
          <t>18</t>
        </is>
      </c>
      <c r="N6227" s="12" t="n">
        <v>1</v>
      </c>
      <c r="O6227" s="12" t="n">
        <v>1</v>
      </c>
      <c r="P6227" s="12" t="n"/>
      <c r="Q6227" s="12" t="n"/>
      <c r="R6227" s="12" t="n"/>
      <c r="S6227" s="12" t="inlineStr">
        <is>
          <t>Duct bank</t>
        </is>
      </c>
      <c r="T6227" s="15" t="n">
        <v>985</v>
      </c>
      <c r="U6227" s="15" t="n">
        <v>32</v>
      </c>
      <c r="V6227" s="15">
        <f>ROUNDUP((T6227+U6227+2*'Read Me'!$B$13)*(1+'Read Me'!$B$12),-1)</f>
        <v/>
      </c>
      <c r="W6227" s="15">
        <f>V6227*N6227*O6227</f>
        <v/>
      </c>
      <c r="X6227" s="12">
        <f>IF(LEFT(I6227,2)="MV",2*N6227*IF(L6227="1/C",O6227,1),0)</f>
        <v/>
      </c>
      <c r="Y6227" s="12">
        <f>IF(OR(LEFT(K6227,4)="LVAX",LEFT(K6227,6)="MV15AX",LEFT(K6227,4)="CTAX",LEFT(K6227,2)="W|"),2*N6227*O6227,0)</f>
        <v/>
      </c>
      <c r="Z6227" s="12" t="inlineStr"/>
      <c r="AA6227" s="12">
        <f>N6227*O6227</f>
        <v/>
      </c>
    </row>
    <row r="6228">
      <c r="A6228" s="12" t="inlineStr">
        <is>
          <t>C-P-0006</t>
        </is>
      </c>
      <c r="B6228" s="12" t="inlineStr">
        <is>
          <t>C</t>
        </is>
      </c>
      <c r="C6228" s="12" t="inlineStr">
        <is>
          <t>Grid interface</t>
        </is>
      </c>
      <c r="D6228" s="12" t="inlineStr">
        <is>
          <t>Motor 1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C-P-0007</t>
        </is>
      </c>
      <c r="B6229" s="12" t="inlineStr">
        <is>
          <t>C</t>
        </is>
      </c>
      <c r="C6229" s="12" t="inlineStr">
        <is>
          <t>Grid interface</t>
        </is>
      </c>
      <c r="D6229" s="12" t="inlineStr">
        <is>
          <t>Motor 2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C-P-0008</t>
        </is>
      </c>
      <c r="B6230" s="12" t="inlineStr">
        <is>
          <t>C</t>
        </is>
      </c>
      <c r="C6230" s="12" t="inlineStr">
        <is>
          <t>Grid interface</t>
        </is>
      </c>
      <c r="D6230" s="12" t="inlineStr">
        <is>
          <t>Motor 3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C-P-0009</t>
        </is>
      </c>
      <c r="B6231" s="12" t="inlineStr">
        <is>
          <t>C</t>
        </is>
      </c>
      <c r="C6231" s="12" t="inlineStr">
        <is>
          <t>Grid interface</t>
        </is>
      </c>
      <c r="D6231" s="12" t="inlineStr">
        <is>
          <t>Motor 4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C-P-0010</t>
        </is>
      </c>
      <c r="B6232" s="12" t="inlineStr">
        <is>
          <t>C</t>
        </is>
      </c>
      <c r="C6232" s="12" t="inlineStr">
        <is>
          <t>Grid interface</t>
        </is>
      </c>
      <c r="D6232" s="12" t="inlineStr">
        <is>
          <t>Motor 5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C-P-0011</t>
        </is>
      </c>
      <c r="B6233" s="12" t="inlineStr">
        <is>
          <t>C</t>
        </is>
      </c>
      <c r="C6233" s="12" t="inlineStr">
        <is>
          <t>Grid interface</t>
        </is>
      </c>
      <c r="D6233" s="12" t="inlineStr">
        <is>
          <t>Motor 6 of 10, 30 kW</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LV|3/C+G|3/0</t>
        </is>
      </c>
      <c r="L6233" s="12" t="inlineStr">
        <is>
          <t>3/C+G</t>
        </is>
      </c>
      <c r="M6233" s="12" t="inlineStr">
        <is>
          <t>3/0</t>
        </is>
      </c>
      <c r="N6233" s="12" t="n">
        <v>1</v>
      </c>
      <c r="O6233" s="12" t="n">
        <v>1</v>
      </c>
      <c r="P6233" s="12" t="n">
        <v>480</v>
      </c>
      <c r="Q6233" s="12" t="n">
        <v>30</v>
      </c>
      <c r="R6233" s="12" t="n">
        <v>42.5</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2.5 %</t>
        </is>
      </c>
      <c r="AA6233" s="12">
        <f>N6233*O6233</f>
        <v/>
      </c>
    </row>
    <row r="6234">
      <c r="A6234" s="12" t="inlineStr">
        <is>
          <t>C-P-0012</t>
        </is>
      </c>
      <c r="B6234" s="12" t="inlineStr">
        <is>
          <t>C</t>
        </is>
      </c>
      <c r="C6234" s="12" t="inlineStr">
        <is>
          <t>Grid interface</t>
        </is>
      </c>
      <c r="D6234" s="12" t="inlineStr">
        <is>
          <t>Motor 7 of 10, 30 kW</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LV|3/C+G|3/0</t>
        </is>
      </c>
      <c r="L6234" s="12" t="inlineStr">
        <is>
          <t>3/C+G</t>
        </is>
      </c>
      <c r="M6234" s="12" t="inlineStr">
        <is>
          <t>3/0</t>
        </is>
      </c>
      <c r="N6234" s="12" t="n">
        <v>1</v>
      </c>
      <c r="O6234" s="12" t="n">
        <v>1</v>
      </c>
      <c r="P6234" s="12" t="n">
        <v>480</v>
      </c>
      <c r="Q6234" s="12" t="n">
        <v>30</v>
      </c>
      <c r="R6234" s="12" t="n">
        <v>42.5</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2.5 %</t>
        </is>
      </c>
      <c r="AA6234" s="12">
        <f>N6234*O6234</f>
        <v/>
      </c>
    </row>
    <row r="6235">
      <c r="A6235" s="12" t="inlineStr">
        <is>
          <t>C-P-0013</t>
        </is>
      </c>
      <c r="B6235" s="12" t="inlineStr">
        <is>
          <t>C</t>
        </is>
      </c>
      <c r="C6235" s="12" t="inlineStr">
        <is>
          <t>Grid interface</t>
        </is>
      </c>
      <c r="D6235" s="12" t="inlineStr">
        <is>
          <t>Motor 8 of 10, 30 kW</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LV|3/C+G|3/0</t>
        </is>
      </c>
      <c r="L6235" s="12" t="inlineStr">
        <is>
          <t>3/C+G</t>
        </is>
      </c>
      <c r="M6235" s="12" t="inlineStr">
        <is>
          <t>3/0</t>
        </is>
      </c>
      <c r="N6235" s="12" t="n">
        <v>1</v>
      </c>
      <c r="O6235" s="12" t="n">
        <v>1</v>
      </c>
      <c r="P6235" s="12" t="n">
        <v>480</v>
      </c>
      <c r="Q6235" s="12" t="n">
        <v>30</v>
      </c>
      <c r="R6235" s="12" t="n">
        <v>42.5</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2.5 %</t>
        </is>
      </c>
      <c r="AA6235" s="12">
        <f>N6235*O6235</f>
        <v/>
      </c>
    </row>
    <row r="6236">
      <c r="A6236" s="12" t="inlineStr">
        <is>
          <t>C-P-0014</t>
        </is>
      </c>
      <c r="B6236" s="12" t="inlineStr">
        <is>
          <t>C</t>
        </is>
      </c>
      <c r="C6236" s="12" t="inlineStr">
        <is>
          <t>Grid interface</t>
        </is>
      </c>
      <c r="D6236" s="12" t="inlineStr">
        <is>
          <t>Motor 9 of 10, 30 kW</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LV|3/C+G|3/0</t>
        </is>
      </c>
      <c r="L6236" s="12" t="inlineStr">
        <is>
          <t>3/C+G</t>
        </is>
      </c>
      <c r="M6236" s="12" t="inlineStr">
        <is>
          <t>3/0</t>
        </is>
      </c>
      <c r="N6236" s="12" t="n">
        <v>1</v>
      </c>
      <c r="O6236" s="12" t="n">
        <v>1</v>
      </c>
      <c r="P6236" s="12" t="n">
        <v>480</v>
      </c>
      <c r="Q6236" s="12" t="n">
        <v>30</v>
      </c>
      <c r="R6236" s="12" t="n">
        <v>42.5</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2.5 %</t>
        </is>
      </c>
      <c r="AA6236" s="12">
        <f>N6236*O6236</f>
        <v/>
      </c>
    </row>
    <row r="6237">
      <c r="A6237" s="12" t="inlineStr">
        <is>
          <t>C-P-0015</t>
        </is>
      </c>
      <c r="B6237" s="12" t="inlineStr">
        <is>
          <t>C</t>
        </is>
      </c>
      <c r="C6237" s="12" t="inlineStr">
        <is>
          <t>Grid interface</t>
        </is>
      </c>
      <c r="D6237" s="12" t="inlineStr">
        <is>
          <t>Motor 10 of 10, 30 kW</t>
        </is>
      </c>
      <c r="E6237" s="12" t="inlineStr">
        <is>
          <t>MCC-C1</t>
        </is>
      </c>
      <c r="F6237" s="12" t="inlineStr">
        <is>
          <t>R1 MCC-C1</t>
        </is>
      </c>
      <c r="G6237" s="12" t="inlineStr"/>
      <c r="H6237" s="12" t="inlineStr">
        <is>
          <t xml:space="preserve">CO2 compression 3 x ~19 MW + dehydration: rooftop HVAC, exhaust fans, </t>
        </is>
      </c>
      <c r="I6237" s="12" t="inlineStr">
        <is>
          <t>LV 600 V</t>
        </is>
      </c>
      <c r="J6237" s="12" t="inlineStr">
        <is>
          <t>Type TC-ER 600 V 3/C Cu XHHW-2 + ground, PVC jacket</t>
        </is>
      </c>
      <c r="K6237" s="12" t="inlineStr">
        <is>
          <t>LV|3/C+G|3/0</t>
        </is>
      </c>
      <c r="L6237" s="12" t="inlineStr">
        <is>
          <t>3/C+G</t>
        </is>
      </c>
      <c r="M6237" s="12" t="inlineStr">
        <is>
          <t>3/0</t>
        </is>
      </c>
      <c r="N6237" s="12" t="n">
        <v>1</v>
      </c>
      <c r="O6237" s="12" t="n">
        <v>1</v>
      </c>
      <c r="P6237" s="12" t="n">
        <v>480</v>
      </c>
      <c r="Q6237" s="12" t="n">
        <v>30</v>
      </c>
      <c r="R6237" s="12" t="n">
        <v>42.5</v>
      </c>
      <c r="S6237" s="12" t="inlineStr">
        <is>
          <t>Tray</t>
        </is>
      </c>
      <c r="T6237" s="15" t="n">
        <v>1744</v>
      </c>
      <c r="U6237" s="15" t="n">
        <v>161</v>
      </c>
      <c r="V6237" s="15">
        <f>ROUNDUP((T6237+U6237+2*'Read Me'!$B$13)*(1+'Read Me'!$B$12),-1)</f>
        <v/>
      </c>
      <c r="W6237" s="15">
        <f>V6237*N6237*O6237</f>
        <v/>
      </c>
      <c r="X6237" s="12">
        <f>IF(LEFT(I6237,2)="MV",2*N6237*IF(L6237="1/C",O6237,1),0)</f>
        <v/>
      </c>
      <c r="Y6237" s="12">
        <f>IF(OR(LEFT(K6237,4)="LVAX",LEFT(K6237,6)="MV15AX",LEFT(K6237,4)="CTAX",LEFT(K6237,2)="W|"),2*N6237*O6237,0)</f>
        <v/>
      </c>
      <c r="Z6237" s="12" t="inlineStr">
        <is>
          <t>VD 2.5 %</t>
        </is>
      </c>
      <c r="AA6237" s="12">
        <f>N6237*O6237</f>
        <v/>
      </c>
    </row>
    <row r="6238">
      <c r="A6238" s="12" t="inlineStr">
        <is>
          <t>C-P-0016</t>
        </is>
      </c>
      <c r="B6238" s="12" t="inlineStr">
        <is>
          <t>C</t>
        </is>
      </c>
      <c r="C6238" s="12" t="inlineStr">
        <is>
          <t>Grid interface</t>
        </is>
      </c>
      <c r="D6238" s="12" t="inlineStr">
        <is>
          <t>480 V welding receptacle 1</t>
        </is>
      </c>
      <c r="E6238" s="12" t="inlineStr">
        <is>
          <t>MCC-C1</t>
        </is>
      </c>
      <c r="F6238" s="12" t="inlineStr">
        <is>
          <t>R1 MCC-C1</t>
        </is>
      </c>
      <c r="G6238" s="12" t="inlineStr"/>
      <c r="H6238" s="12" t="inlineStr">
        <is>
          <t xml:space="preserve">CO2 compression 3 x ~19 MW + dehydration: rooftop HVAC, exhaust fans, </t>
        </is>
      </c>
      <c r="I6238" s="12" t="inlineStr">
        <is>
          <t>LV 600 V</t>
        </is>
      </c>
      <c r="J6238" s="12" t="inlineStr">
        <is>
          <t>Type TC-ER 600 V 3/C Cu XHHW-2 + ground, PVC jacket</t>
        </is>
      </c>
      <c r="K6238" s="12" t="inlineStr">
        <is>
          <t>LV|3/C+G|250</t>
        </is>
      </c>
      <c r="L6238" s="12" t="inlineStr">
        <is>
          <t>3/C+G</t>
        </is>
      </c>
      <c r="M6238" s="12" t="inlineStr">
        <is>
          <t>250 kcmil</t>
        </is>
      </c>
      <c r="N6238" s="12" t="n">
        <v>1</v>
      </c>
      <c r="O6238" s="12" t="n">
        <v>1</v>
      </c>
      <c r="P6238" s="12" t="n">
        <v>480</v>
      </c>
      <c r="Q6238" s="12" t="n">
        <v>60</v>
      </c>
      <c r="R6238" s="12" t="n">
        <v>76</v>
      </c>
      <c r="S6238" s="12" t="inlineStr">
        <is>
          <t>Tray</t>
        </is>
      </c>
      <c r="T6238" s="15" t="n">
        <v>1744</v>
      </c>
      <c r="U6238" s="15" t="n">
        <v>161</v>
      </c>
      <c r="V6238" s="15">
        <f>ROUNDUP((T6238+U6238+2*'Read Me'!$B$13)*(1+'Read Me'!$B$12),-1)</f>
        <v/>
      </c>
      <c r="W6238" s="15">
        <f>V6238*N6238*O6238</f>
        <v/>
      </c>
      <c r="X6238" s="12">
        <f>IF(LEFT(I6238,2)="MV",2*N6238*IF(L6238="1/C",O6238,1),0)</f>
        <v/>
      </c>
      <c r="Y6238" s="12">
        <f>IF(OR(LEFT(K6238,4)="LVAX",LEFT(K6238,6)="MV15AX",LEFT(K6238,4)="CTAX",LEFT(K6238,2)="W|"),2*N6238*O6238,0)</f>
        <v/>
      </c>
      <c r="Z6238" s="12" t="inlineStr">
        <is>
          <t>VD 3.0 %</t>
        </is>
      </c>
      <c r="AA6238" s="12">
        <f>N6238*O6238</f>
        <v/>
      </c>
    </row>
    <row r="6239">
      <c r="A6239" s="12" t="inlineStr">
        <is>
          <t>C-P-0017</t>
        </is>
      </c>
      <c r="B6239" s="12" t="inlineStr">
        <is>
          <t>C</t>
        </is>
      </c>
      <c r="C6239" s="12" t="inlineStr">
        <is>
          <t>Grid interface</t>
        </is>
      </c>
      <c r="D6239" s="12" t="inlineStr">
        <is>
          <t>480 V welding receptacle 2</t>
        </is>
      </c>
      <c r="E6239" s="12" t="inlineStr">
        <is>
          <t>MCC-C1</t>
        </is>
      </c>
      <c r="F6239" s="12" t="inlineStr">
        <is>
          <t>R1 MCC-C1</t>
        </is>
      </c>
      <c r="G6239" s="12" t="inlineStr"/>
      <c r="H6239" s="12" t="inlineStr">
        <is>
          <t xml:space="preserve">CO2 compression 3 x ~19 MW + dehydration: rooftop HVAC, exhaust fans, </t>
        </is>
      </c>
      <c r="I6239" s="12" t="inlineStr">
        <is>
          <t>LV 600 V</t>
        </is>
      </c>
      <c r="J6239" s="12" t="inlineStr">
        <is>
          <t>Type TC-ER 600 V 3/C Cu XHHW-2 + ground, PVC jacket</t>
        </is>
      </c>
      <c r="K6239" s="12" t="inlineStr">
        <is>
          <t>LV|3/C+G|250</t>
        </is>
      </c>
      <c r="L6239" s="12" t="inlineStr">
        <is>
          <t>3/C+G</t>
        </is>
      </c>
      <c r="M6239" s="12" t="inlineStr">
        <is>
          <t>250 kcmil</t>
        </is>
      </c>
      <c r="N6239" s="12" t="n">
        <v>1</v>
      </c>
      <c r="O6239" s="12" t="n">
        <v>1</v>
      </c>
      <c r="P6239" s="12" t="n">
        <v>480</v>
      </c>
      <c r="Q6239" s="12" t="n">
        <v>60</v>
      </c>
      <c r="R6239" s="12" t="n">
        <v>76</v>
      </c>
      <c r="S6239" s="12" t="inlineStr">
        <is>
          <t>Tray</t>
        </is>
      </c>
      <c r="T6239" s="15" t="n">
        <v>1744</v>
      </c>
      <c r="U6239" s="15" t="n">
        <v>161</v>
      </c>
      <c r="V6239" s="15">
        <f>ROUNDUP((T6239+U6239+2*'Read Me'!$B$13)*(1+'Read Me'!$B$12),-1)</f>
        <v/>
      </c>
      <c r="W6239" s="15">
        <f>V6239*N6239*O6239</f>
        <v/>
      </c>
      <c r="X6239" s="12">
        <f>IF(LEFT(I6239,2)="MV",2*N6239*IF(L6239="1/C",O6239,1),0)</f>
        <v/>
      </c>
      <c r="Y6239" s="12">
        <f>IF(OR(LEFT(K6239,4)="LVAX",LEFT(K6239,6)="MV15AX",LEFT(K6239,4)="CTAX",LEFT(K6239,2)="W|"),2*N6239*O6239,0)</f>
        <v/>
      </c>
      <c r="Z6239" s="12" t="inlineStr">
        <is>
          <t>VD 3.0 %</t>
        </is>
      </c>
      <c r="AA6239" s="12">
        <f>N6239*O6239</f>
        <v/>
      </c>
    </row>
    <row r="6240">
      <c r="A6240" s="12" t="inlineStr">
        <is>
          <t>C-P-0018</t>
        </is>
      </c>
      <c r="B6240" s="12" t="inlineStr">
        <is>
          <t>C</t>
        </is>
      </c>
      <c r="C6240" s="12" t="inlineStr">
        <is>
          <t>Grid interface</t>
        </is>
      </c>
      <c r="D6240" s="12" t="inlineStr">
        <is>
          <t>480 V welding receptacle 3</t>
        </is>
      </c>
      <c r="E6240" s="12" t="inlineStr">
        <is>
          <t>MCC-C1</t>
        </is>
      </c>
      <c r="F6240" s="12" t="inlineStr">
        <is>
          <t>R1 MCC-C1</t>
        </is>
      </c>
      <c r="G6240" s="12" t="inlineStr"/>
      <c r="H6240" s="12" t="inlineStr">
        <is>
          <t xml:space="preserve">CO2 compression 3 x ~19 MW + dehydration: rooftop HVAC, exhaust fans, </t>
        </is>
      </c>
      <c r="I6240" s="12" t="inlineStr">
        <is>
          <t>LV 600 V</t>
        </is>
      </c>
      <c r="J6240" s="12" t="inlineStr">
        <is>
          <t>Type TC-ER 600 V 3/C Cu XHHW-2 + ground, PVC jacket</t>
        </is>
      </c>
      <c r="K6240" s="12" t="inlineStr">
        <is>
          <t>LV|3/C+G|250</t>
        </is>
      </c>
      <c r="L6240" s="12" t="inlineStr">
        <is>
          <t>3/C+G</t>
        </is>
      </c>
      <c r="M6240" s="12" t="inlineStr">
        <is>
          <t>250 kcmil</t>
        </is>
      </c>
      <c r="N6240" s="12" t="n">
        <v>1</v>
      </c>
      <c r="O6240" s="12" t="n">
        <v>1</v>
      </c>
      <c r="P6240" s="12" t="n">
        <v>480</v>
      </c>
      <c r="Q6240" s="12" t="n">
        <v>60</v>
      </c>
      <c r="R6240" s="12" t="n">
        <v>76</v>
      </c>
      <c r="S6240" s="12" t="inlineStr">
        <is>
          <t>Tray</t>
        </is>
      </c>
      <c r="T6240" s="15" t="n">
        <v>1744</v>
      </c>
      <c r="U6240" s="15" t="n">
        <v>161</v>
      </c>
      <c r="V6240" s="15">
        <f>ROUNDUP((T6240+U6240+2*'Read Me'!$B$13)*(1+'Read Me'!$B$12),-1)</f>
        <v/>
      </c>
      <c r="W6240" s="15">
        <f>V6240*N6240*O6240</f>
        <v/>
      </c>
      <c r="X6240" s="12">
        <f>IF(LEFT(I6240,2)="MV",2*N6240*IF(L6240="1/C",O6240,1),0)</f>
        <v/>
      </c>
      <c r="Y6240" s="12">
        <f>IF(OR(LEFT(K6240,4)="LVAX",LEFT(K6240,6)="MV15AX",LEFT(K6240,4)="CTAX",LEFT(K6240,2)="W|"),2*N6240*O6240,0)</f>
        <v/>
      </c>
      <c r="Z6240" s="12" t="inlineStr">
        <is>
          <t>VD 3.0 %</t>
        </is>
      </c>
      <c r="AA6240" s="12">
        <f>N6240*O6240</f>
        <v/>
      </c>
    </row>
    <row r="6241">
      <c r="A6241" s="12" t="inlineStr">
        <is>
          <t>C-P-0019</t>
        </is>
      </c>
      <c r="B6241" s="12" t="inlineStr">
        <is>
          <t>C</t>
        </is>
      </c>
      <c r="C6241" s="12" t="inlineStr">
        <is>
          <t>Grid interface</t>
        </is>
      </c>
      <c r="D6241" s="12" t="inlineStr">
        <is>
          <t>480 V welding receptacle 4</t>
        </is>
      </c>
      <c r="E6241" s="12" t="inlineStr">
        <is>
          <t>MCC-C1</t>
        </is>
      </c>
      <c r="F6241" s="12" t="inlineStr">
        <is>
          <t>R1 MCC-C1</t>
        </is>
      </c>
      <c r="G6241" s="12" t="inlineStr"/>
      <c r="H6241" s="12" t="inlineStr">
        <is>
          <t xml:space="preserve">CO2 compression 3 x ~19 MW + dehydration: rooftop HVAC, exhaust fans, </t>
        </is>
      </c>
      <c r="I6241" s="12" t="inlineStr">
        <is>
          <t>LV 600 V</t>
        </is>
      </c>
      <c r="J6241" s="12" t="inlineStr">
        <is>
          <t>Type TC-ER 600 V 3/C Cu XHHW-2 + ground, PVC jacket</t>
        </is>
      </c>
      <c r="K6241" s="12" t="inlineStr">
        <is>
          <t>LV|3/C+G|250</t>
        </is>
      </c>
      <c r="L6241" s="12" t="inlineStr">
        <is>
          <t>3/C+G</t>
        </is>
      </c>
      <c r="M6241" s="12" t="inlineStr">
        <is>
          <t>250 kcmil</t>
        </is>
      </c>
      <c r="N6241" s="12" t="n">
        <v>1</v>
      </c>
      <c r="O6241" s="12" t="n">
        <v>1</v>
      </c>
      <c r="P6241" s="12" t="n">
        <v>480</v>
      </c>
      <c r="Q6241" s="12" t="n">
        <v>60</v>
      </c>
      <c r="R6241" s="12" t="n">
        <v>76</v>
      </c>
      <c r="S6241" s="12" t="inlineStr">
        <is>
          <t>Tray</t>
        </is>
      </c>
      <c r="T6241" s="15" t="n">
        <v>1744</v>
      </c>
      <c r="U6241" s="15" t="n">
        <v>161</v>
      </c>
      <c r="V6241" s="15">
        <f>ROUNDUP((T6241+U6241+2*'Read Me'!$B$13)*(1+'Read Me'!$B$12),-1)</f>
        <v/>
      </c>
      <c r="W6241" s="15">
        <f>V6241*N6241*O6241</f>
        <v/>
      </c>
      <c r="X6241" s="12">
        <f>IF(LEFT(I6241,2)="MV",2*N6241*IF(L6241="1/C",O6241,1),0)</f>
        <v/>
      </c>
      <c r="Y6241" s="12">
        <f>IF(OR(LEFT(K6241,4)="LVAX",LEFT(K6241,6)="MV15AX",LEFT(K6241,4)="CTAX",LEFT(K6241,2)="W|"),2*N6241*O6241,0)</f>
        <v/>
      </c>
      <c r="Z6241" s="12" t="inlineStr">
        <is>
          <t>VD 3.0 %</t>
        </is>
      </c>
      <c r="AA6241" s="12">
        <f>N6241*O6241</f>
        <v/>
      </c>
    </row>
    <row r="6242">
      <c r="A6242" s="12" t="inlineStr">
        <is>
          <t>C-P-0020</t>
        </is>
      </c>
      <c r="B6242" s="12" t="inlineStr">
        <is>
          <t>C</t>
        </is>
      </c>
      <c r="C6242" s="12" t="inlineStr">
        <is>
          <t>Grid interface</t>
        </is>
      </c>
      <c r="D6242" s="12" t="inlineStr">
        <is>
          <t>Motor 1 of 2, 250 kW</t>
        </is>
      </c>
      <c r="E6242" s="12" t="inlineStr">
        <is>
          <t>MCC-C1</t>
        </is>
      </c>
      <c r="F6242" s="12" t="inlineStr">
        <is>
          <t>R1 MCC-C1</t>
        </is>
      </c>
      <c r="G6242" s="12" t="inlineStr"/>
      <c r="H6242" s="12" t="inlineStr">
        <is>
          <t>Small-bore piping: instrument air, service water, nitrogen, HRSG drain</t>
        </is>
      </c>
      <c r="I6242" s="12" t="inlineStr">
        <is>
          <t>LV 600 V</t>
        </is>
      </c>
      <c r="J6242" s="12" t="inlineStr">
        <is>
          <t>Type TC-ER 600 V 3/C Cu XHHW-2 + ground, PVC jacket</t>
        </is>
      </c>
      <c r="K6242" s="12" t="inlineStr">
        <is>
          <t>LV|3/C+G|250</t>
        </is>
      </c>
      <c r="L6242" s="12" t="inlineStr">
        <is>
          <t>3/C+G</t>
        </is>
      </c>
      <c r="M6242" s="12" t="inlineStr">
        <is>
          <t>250 kcmil</t>
        </is>
      </c>
      <c r="N6242" s="12" t="n">
        <v>2</v>
      </c>
      <c r="O6242" s="12" t="n">
        <v>1</v>
      </c>
      <c r="P6242" s="12" t="n">
        <v>480</v>
      </c>
      <c r="Q6242" s="12" t="n">
        <v>250</v>
      </c>
      <c r="R6242" s="12" t="n">
        <v>353.8</v>
      </c>
      <c r="S6242" s="12" t="inlineStr">
        <is>
          <t>Tray</t>
        </is>
      </c>
      <c r="T6242" s="15" t="n">
        <v>614</v>
      </c>
      <c r="U6242" s="15" t="n">
        <v>145</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C-P-0021</t>
        </is>
      </c>
      <c r="B6243" s="12" t="inlineStr">
        <is>
          <t>C</t>
        </is>
      </c>
      <c r="C6243" s="12" t="inlineStr">
        <is>
          <t>Grid interface</t>
        </is>
      </c>
      <c r="D6243" s="12" t="inlineStr">
        <is>
          <t>Motor 2 of 2, 250 kW</t>
        </is>
      </c>
      <c r="E6243" s="12" t="inlineStr">
        <is>
          <t>MCC-C1</t>
        </is>
      </c>
      <c r="F6243" s="12" t="inlineStr">
        <is>
          <t>R1 MCC-C1</t>
        </is>
      </c>
      <c r="G6243" s="12" t="inlineStr"/>
      <c r="H6243" s="12" t="inlineStr">
        <is>
          <t>Small-bore piping: instrument air, service water, nitrogen, HRSG drain</t>
        </is>
      </c>
      <c r="I6243" s="12" t="inlineStr">
        <is>
          <t>LV 600 V</t>
        </is>
      </c>
      <c r="J6243" s="12" t="inlineStr">
        <is>
          <t>Type TC-ER 600 V 3/C Cu XHHW-2 + ground, PVC jacket</t>
        </is>
      </c>
      <c r="K6243" s="12" t="inlineStr">
        <is>
          <t>LV|3/C+G|250</t>
        </is>
      </c>
      <c r="L6243" s="12" t="inlineStr">
        <is>
          <t>3/C+G</t>
        </is>
      </c>
      <c r="M6243" s="12" t="inlineStr">
        <is>
          <t>250 kcmil</t>
        </is>
      </c>
      <c r="N6243" s="12" t="n">
        <v>2</v>
      </c>
      <c r="O6243" s="12" t="n">
        <v>1</v>
      </c>
      <c r="P6243" s="12" t="n">
        <v>480</v>
      </c>
      <c r="Q6243" s="12" t="n">
        <v>250</v>
      </c>
      <c r="R6243" s="12" t="n">
        <v>353.8</v>
      </c>
      <c r="S6243" s="12" t="inlineStr">
        <is>
          <t>Tray</t>
        </is>
      </c>
      <c r="T6243" s="15" t="n">
        <v>614</v>
      </c>
      <c r="U6243" s="15" t="n">
        <v>145</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C-P-0022</t>
        </is>
      </c>
      <c r="B6244" s="12" t="inlineStr">
        <is>
          <t>C</t>
        </is>
      </c>
      <c r="C6244" s="12" t="inlineStr">
        <is>
          <t>Grid interface</t>
        </is>
      </c>
      <c r="D6244" s="12" t="inlineStr">
        <is>
          <t>Motor 1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C-P-0023</t>
        </is>
      </c>
      <c r="B6245" s="12" t="inlineStr">
        <is>
          <t>C</t>
        </is>
      </c>
      <c r="C6245" s="12" t="inlineStr">
        <is>
          <t>Grid interface</t>
        </is>
      </c>
      <c r="D6245" s="12" t="inlineStr">
        <is>
          <t>Motor 2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C-P-0024</t>
        </is>
      </c>
      <c r="B6246" s="12" t="inlineStr">
        <is>
          <t>C</t>
        </is>
      </c>
      <c r="C6246" s="12" t="inlineStr">
        <is>
          <t>Grid interface</t>
        </is>
      </c>
      <c r="D6246" s="12" t="inlineStr">
        <is>
          <t>Motor 3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C-P-0025</t>
        </is>
      </c>
      <c r="B6247" s="12" t="inlineStr">
        <is>
          <t>C</t>
        </is>
      </c>
      <c r="C6247" s="12" t="inlineStr">
        <is>
          <t>Grid interface</t>
        </is>
      </c>
      <c r="D6247" s="12" t="inlineStr">
        <is>
          <t>Motor 4 of 8, 15 kW</t>
        </is>
      </c>
      <c r="E6247" s="12" t="inlineStr">
        <is>
          <t>MCC-C1</t>
        </is>
      </c>
      <c r="F6247" s="12" t="inlineStr">
        <is>
          <t>R1 MCC-C1</t>
        </is>
      </c>
      <c r="G6247" s="12" t="inlineStr"/>
      <c r="H6247" s="12" t="inlineStr">
        <is>
          <t>Wastewater treatment: rooftop HVAC, exhaust fans, vents</t>
        </is>
      </c>
      <c r="I6247" s="12" t="inlineStr">
        <is>
          <t>LV 600 V</t>
        </is>
      </c>
      <c r="J6247" s="12" t="inlineStr">
        <is>
          <t>Type TC-ER 600 V 3/C Cu XHHW-2 + ground, PVC jacket</t>
        </is>
      </c>
      <c r="K6247" s="12" t="inlineStr">
        <is>
          <t>LV|3/C+G|1</t>
        </is>
      </c>
      <c r="L6247" s="12" t="inlineStr">
        <is>
          <t>3/C+G</t>
        </is>
      </c>
      <c r="M6247" s="12" t="inlineStr">
        <is>
          <t>1</t>
        </is>
      </c>
      <c r="N6247" s="12" t="n">
        <v>1</v>
      </c>
      <c r="O6247" s="12" t="n">
        <v>1</v>
      </c>
      <c r="P6247" s="12" t="n">
        <v>480</v>
      </c>
      <c r="Q6247" s="12" t="n">
        <v>15</v>
      </c>
      <c r="R6247" s="12" t="n">
        <v>21.2</v>
      </c>
      <c r="S6247" s="12" t="inlineStr">
        <is>
          <t>Duct bank</t>
        </is>
      </c>
      <c r="T6247" s="15" t="n">
        <v>1859</v>
      </c>
      <c r="U6247" s="15" t="n">
        <v>228</v>
      </c>
      <c r="V6247" s="15">
        <f>ROUNDUP((T6247+U6247+2*'Read Me'!$B$13)*(1+'Read Me'!$B$12),-1)</f>
        <v/>
      </c>
      <c r="W6247" s="15">
        <f>V6247*N6247*O6247</f>
        <v/>
      </c>
      <c r="X6247" s="12">
        <f>IF(LEFT(I6247,2)="MV",2*N6247*IF(L6247="1/C",O6247,1),0)</f>
        <v/>
      </c>
      <c r="Y6247" s="12">
        <f>IF(OR(LEFT(K6247,4)="LVAX",LEFT(K6247,6)="MV15AX",LEFT(K6247,4)="CTAX",LEFT(K6247,2)="W|"),2*N6247*O6247,0)</f>
        <v/>
      </c>
      <c r="Z6247" s="12" t="inlineStr">
        <is>
          <t>VD 2.7 %</t>
        </is>
      </c>
      <c r="AA6247" s="12">
        <f>N6247*O6247</f>
        <v/>
      </c>
    </row>
    <row r="6248">
      <c r="A6248" s="12" t="inlineStr">
        <is>
          <t>C-P-0026</t>
        </is>
      </c>
      <c r="B6248" s="12" t="inlineStr">
        <is>
          <t>C</t>
        </is>
      </c>
      <c r="C6248" s="12" t="inlineStr">
        <is>
          <t>Grid interface</t>
        </is>
      </c>
      <c r="D6248" s="12" t="inlineStr">
        <is>
          <t>Motor 5 of 8, 15 kW</t>
        </is>
      </c>
      <c r="E6248" s="12" t="inlineStr">
        <is>
          <t>MCC-C1</t>
        </is>
      </c>
      <c r="F6248" s="12" t="inlineStr">
        <is>
          <t>R1 MCC-C1</t>
        </is>
      </c>
      <c r="G6248" s="12" t="inlineStr"/>
      <c r="H6248" s="12" t="inlineStr">
        <is>
          <t>Wastewater treatment: rooftop HVAC, exhaust fans, vents</t>
        </is>
      </c>
      <c r="I6248" s="12" t="inlineStr">
        <is>
          <t>LV 600 V</t>
        </is>
      </c>
      <c r="J6248" s="12" t="inlineStr">
        <is>
          <t>Type TC-ER 600 V 3/C Cu XHHW-2 + ground, PVC jacket</t>
        </is>
      </c>
      <c r="K6248" s="12" t="inlineStr">
        <is>
          <t>LV|3/C+G|1</t>
        </is>
      </c>
      <c r="L6248" s="12" t="inlineStr">
        <is>
          <t>3/C+G</t>
        </is>
      </c>
      <c r="M6248" s="12" t="inlineStr">
        <is>
          <t>1</t>
        </is>
      </c>
      <c r="N6248" s="12" t="n">
        <v>1</v>
      </c>
      <c r="O6248" s="12" t="n">
        <v>1</v>
      </c>
      <c r="P6248" s="12" t="n">
        <v>480</v>
      </c>
      <c r="Q6248" s="12" t="n">
        <v>15</v>
      </c>
      <c r="R6248" s="12" t="n">
        <v>21.2</v>
      </c>
      <c r="S6248" s="12" t="inlineStr">
        <is>
          <t>Duct bank</t>
        </is>
      </c>
      <c r="T6248" s="15" t="n">
        <v>1859</v>
      </c>
      <c r="U6248" s="15" t="n">
        <v>228</v>
      </c>
      <c r="V6248" s="15">
        <f>ROUNDUP((T6248+U6248+2*'Read Me'!$B$13)*(1+'Read Me'!$B$12),-1)</f>
        <v/>
      </c>
      <c r="W6248" s="15">
        <f>V6248*N6248*O6248</f>
        <v/>
      </c>
      <c r="X6248" s="12">
        <f>IF(LEFT(I6248,2)="MV",2*N6248*IF(L6248="1/C",O6248,1),0)</f>
        <v/>
      </c>
      <c r="Y6248" s="12">
        <f>IF(OR(LEFT(K6248,4)="LVAX",LEFT(K6248,6)="MV15AX",LEFT(K6248,4)="CTAX",LEFT(K6248,2)="W|"),2*N6248*O6248,0)</f>
        <v/>
      </c>
      <c r="Z6248" s="12" t="inlineStr">
        <is>
          <t>VD 2.7 %</t>
        </is>
      </c>
      <c r="AA6248" s="12">
        <f>N6248*O6248</f>
        <v/>
      </c>
    </row>
    <row r="6249">
      <c r="A6249" s="12" t="inlineStr">
        <is>
          <t>C-P-0027</t>
        </is>
      </c>
      <c r="B6249" s="12" t="inlineStr">
        <is>
          <t>C</t>
        </is>
      </c>
      <c r="C6249" s="12" t="inlineStr">
        <is>
          <t>Grid interface</t>
        </is>
      </c>
      <c r="D6249" s="12" t="inlineStr">
        <is>
          <t>Motor 6 of 8, 15 kW</t>
        </is>
      </c>
      <c r="E6249" s="12" t="inlineStr">
        <is>
          <t>MCC-C1</t>
        </is>
      </c>
      <c r="F6249" s="12" t="inlineStr">
        <is>
          <t>R1 MCC-C1</t>
        </is>
      </c>
      <c r="G6249" s="12" t="inlineStr"/>
      <c r="H6249" s="12" t="inlineStr">
        <is>
          <t>Wastewater treatment: rooftop HVAC, exhaust fans, vents</t>
        </is>
      </c>
      <c r="I6249" s="12" t="inlineStr">
        <is>
          <t>LV 600 V</t>
        </is>
      </c>
      <c r="J6249" s="12" t="inlineStr">
        <is>
          <t>Type TC-ER 600 V 3/C Cu XHHW-2 + ground, PVC jacket</t>
        </is>
      </c>
      <c r="K6249" s="12" t="inlineStr">
        <is>
          <t>LV|3/C+G|1</t>
        </is>
      </c>
      <c r="L6249" s="12" t="inlineStr">
        <is>
          <t>3/C+G</t>
        </is>
      </c>
      <c r="M6249" s="12" t="inlineStr">
        <is>
          <t>1</t>
        </is>
      </c>
      <c r="N6249" s="12" t="n">
        <v>1</v>
      </c>
      <c r="O6249" s="12" t="n">
        <v>1</v>
      </c>
      <c r="P6249" s="12" t="n">
        <v>480</v>
      </c>
      <c r="Q6249" s="12" t="n">
        <v>15</v>
      </c>
      <c r="R6249" s="12" t="n">
        <v>21.2</v>
      </c>
      <c r="S6249" s="12" t="inlineStr">
        <is>
          <t>Duct bank</t>
        </is>
      </c>
      <c r="T6249" s="15" t="n">
        <v>1859</v>
      </c>
      <c r="U6249" s="15" t="n">
        <v>228</v>
      </c>
      <c r="V6249" s="15">
        <f>ROUNDUP((T6249+U6249+2*'Read Me'!$B$13)*(1+'Read Me'!$B$12),-1)</f>
        <v/>
      </c>
      <c r="W6249" s="15">
        <f>V6249*N6249*O6249</f>
        <v/>
      </c>
      <c r="X6249" s="12">
        <f>IF(LEFT(I6249,2)="MV",2*N6249*IF(L6249="1/C",O6249,1),0)</f>
        <v/>
      </c>
      <c r="Y6249" s="12">
        <f>IF(OR(LEFT(K6249,4)="LVAX",LEFT(K6249,6)="MV15AX",LEFT(K6249,4)="CTAX",LEFT(K6249,2)="W|"),2*N6249*O6249,0)</f>
        <v/>
      </c>
      <c r="Z6249" s="12" t="inlineStr">
        <is>
          <t>VD 2.7 %</t>
        </is>
      </c>
      <c r="AA6249" s="12">
        <f>N6249*O6249</f>
        <v/>
      </c>
    </row>
    <row r="6250">
      <c r="A6250" s="12" t="inlineStr">
        <is>
          <t>C-P-0028</t>
        </is>
      </c>
      <c r="B6250" s="12" t="inlineStr">
        <is>
          <t>C</t>
        </is>
      </c>
      <c r="C6250" s="12" t="inlineStr">
        <is>
          <t>Grid interface</t>
        </is>
      </c>
      <c r="D6250" s="12" t="inlineStr">
        <is>
          <t>Motor 7 of 8, 15 kW</t>
        </is>
      </c>
      <c r="E6250" s="12" t="inlineStr">
        <is>
          <t>MCC-C1</t>
        </is>
      </c>
      <c r="F6250" s="12" t="inlineStr">
        <is>
          <t>R1 MCC-C1</t>
        </is>
      </c>
      <c r="G6250" s="12" t="inlineStr"/>
      <c r="H6250" s="12" t="inlineStr">
        <is>
          <t>Wastewater treatment: rooftop HVAC, exhaust fans, vents</t>
        </is>
      </c>
      <c r="I6250" s="12" t="inlineStr">
        <is>
          <t>LV 600 V</t>
        </is>
      </c>
      <c r="J6250" s="12" t="inlineStr">
        <is>
          <t>Type TC-ER 600 V 3/C Cu XHHW-2 + ground, PVC jacket</t>
        </is>
      </c>
      <c r="K6250" s="12" t="inlineStr">
        <is>
          <t>LV|3/C+G|1</t>
        </is>
      </c>
      <c r="L6250" s="12" t="inlineStr">
        <is>
          <t>3/C+G</t>
        </is>
      </c>
      <c r="M6250" s="12" t="inlineStr">
        <is>
          <t>1</t>
        </is>
      </c>
      <c r="N6250" s="12" t="n">
        <v>1</v>
      </c>
      <c r="O6250" s="12" t="n">
        <v>1</v>
      </c>
      <c r="P6250" s="12" t="n">
        <v>480</v>
      </c>
      <c r="Q6250" s="12" t="n">
        <v>15</v>
      </c>
      <c r="R6250" s="12" t="n">
        <v>21.2</v>
      </c>
      <c r="S6250" s="12" t="inlineStr">
        <is>
          <t>Duct bank</t>
        </is>
      </c>
      <c r="T6250" s="15" t="n">
        <v>1859</v>
      </c>
      <c r="U6250" s="15" t="n">
        <v>228</v>
      </c>
      <c r="V6250" s="15">
        <f>ROUNDUP((T6250+U6250+2*'Read Me'!$B$13)*(1+'Read Me'!$B$12),-1)</f>
        <v/>
      </c>
      <c r="W6250" s="15">
        <f>V6250*N6250*O6250</f>
        <v/>
      </c>
      <c r="X6250" s="12">
        <f>IF(LEFT(I6250,2)="MV",2*N6250*IF(L6250="1/C",O6250,1),0)</f>
        <v/>
      </c>
      <c r="Y6250" s="12">
        <f>IF(OR(LEFT(K6250,4)="LVAX",LEFT(K6250,6)="MV15AX",LEFT(K6250,4)="CTAX",LEFT(K6250,2)="W|"),2*N6250*O6250,0)</f>
        <v/>
      </c>
      <c r="Z6250" s="12" t="inlineStr">
        <is>
          <t>VD 2.7 %</t>
        </is>
      </c>
      <c r="AA6250" s="12">
        <f>N6250*O6250</f>
        <v/>
      </c>
    </row>
    <row r="6251">
      <c r="A6251" s="12" t="inlineStr">
        <is>
          <t>C-P-0029</t>
        </is>
      </c>
      <c r="B6251" s="12" t="inlineStr">
        <is>
          <t>C</t>
        </is>
      </c>
      <c r="C6251" s="12" t="inlineStr">
        <is>
          <t>Grid interface</t>
        </is>
      </c>
      <c r="D6251" s="12" t="inlineStr">
        <is>
          <t>Motor 8 of 8, 15 kW</t>
        </is>
      </c>
      <c r="E6251" s="12" t="inlineStr">
        <is>
          <t>MCC-C1</t>
        </is>
      </c>
      <c r="F6251" s="12" t="inlineStr">
        <is>
          <t>R1 MCC-C1</t>
        </is>
      </c>
      <c r="G6251" s="12" t="inlineStr"/>
      <c r="H6251" s="12" t="inlineStr">
        <is>
          <t>Wastewater treatment: rooftop HVAC, exhaust fans, vents</t>
        </is>
      </c>
      <c r="I6251" s="12" t="inlineStr">
        <is>
          <t>LV 600 V</t>
        </is>
      </c>
      <c r="J6251" s="12" t="inlineStr">
        <is>
          <t>Type TC-ER 600 V 3/C Cu XHHW-2 + ground, PVC jacket</t>
        </is>
      </c>
      <c r="K6251" s="12" t="inlineStr">
        <is>
          <t>LV|3/C+G|1</t>
        </is>
      </c>
      <c r="L6251" s="12" t="inlineStr">
        <is>
          <t>3/C+G</t>
        </is>
      </c>
      <c r="M6251" s="12" t="inlineStr">
        <is>
          <t>1</t>
        </is>
      </c>
      <c r="N6251" s="12" t="n">
        <v>1</v>
      </c>
      <c r="O6251" s="12" t="n">
        <v>1</v>
      </c>
      <c r="P6251" s="12" t="n">
        <v>480</v>
      </c>
      <c r="Q6251" s="12" t="n">
        <v>15</v>
      </c>
      <c r="R6251" s="12" t="n">
        <v>21.2</v>
      </c>
      <c r="S6251" s="12" t="inlineStr">
        <is>
          <t>Duct bank</t>
        </is>
      </c>
      <c r="T6251" s="15" t="n">
        <v>1859</v>
      </c>
      <c r="U6251" s="15" t="n">
        <v>228</v>
      </c>
      <c r="V6251" s="15">
        <f>ROUNDUP((T6251+U6251+2*'Read Me'!$B$13)*(1+'Read Me'!$B$12),-1)</f>
        <v/>
      </c>
      <c r="W6251" s="15">
        <f>V6251*N6251*O6251</f>
        <v/>
      </c>
      <c r="X6251" s="12">
        <f>IF(LEFT(I6251,2)="MV",2*N6251*IF(L6251="1/C",O6251,1),0)</f>
        <v/>
      </c>
      <c r="Y6251" s="12">
        <f>IF(OR(LEFT(K6251,4)="LVAX",LEFT(K6251,6)="MV15AX",LEFT(K6251,4)="CTAX",LEFT(K6251,2)="W|"),2*N6251*O6251,0)</f>
        <v/>
      </c>
      <c r="Z6251" s="12" t="inlineStr">
        <is>
          <t>VD 2.7 %</t>
        </is>
      </c>
      <c r="AA6251" s="12">
        <f>N6251*O6251</f>
        <v/>
      </c>
    </row>
    <row r="6252">
      <c r="A6252" s="12" t="inlineStr">
        <is>
          <t>C-P-0030</t>
        </is>
      </c>
      <c r="B6252" s="12" t="inlineStr">
        <is>
          <t>C</t>
        </is>
      </c>
      <c r="C6252" s="12" t="inlineStr">
        <is>
          <t>Grid interface</t>
        </is>
      </c>
      <c r="D6252" s="12" t="inlineStr">
        <is>
          <t>Motor 1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C-P-0031</t>
        </is>
      </c>
      <c r="B6253" s="12" t="inlineStr">
        <is>
          <t>C</t>
        </is>
      </c>
      <c r="C6253" s="12" t="inlineStr">
        <is>
          <t>Grid interface</t>
        </is>
      </c>
      <c r="D6253" s="12" t="inlineStr">
        <is>
          <t>Motor 2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C-P-0032</t>
        </is>
      </c>
      <c r="B6254" s="12" t="inlineStr">
        <is>
          <t>C</t>
        </is>
      </c>
      <c r="C6254" s="12" t="inlineStr">
        <is>
          <t>Grid interface</t>
        </is>
      </c>
      <c r="D6254" s="12" t="inlineStr">
        <is>
          <t>Motor 3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C-P-0033</t>
        </is>
      </c>
      <c r="B6255" s="12" t="inlineStr">
        <is>
          <t>C</t>
        </is>
      </c>
      <c r="C6255" s="12" t="inlineStr">
        <is>
          <t>Grid interface</t>
        </is>
      </c>
      <c r="D6255" s="12" t="inlineStr">
        <is>
          <t>Motor 4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C-P-0034</t>
        </is>
      </c>
      <c r="B6256" s="12" t="inlineStr">
        <is>
          <t>C</t>
        </is>
      </c>
      <c r="C6256" s="12" t="inlineStr">
        <is>
          <t>Grid interface</t>
        </is>
      </c>
      <c r="D6256" s="12" t="inlineStr">
        <is>
          <t>Motor 5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C-P-0035</t>
        </is>
      </c>
      <c r="B6257" s="12" t="inlineStr">
        <is>
          <t>C</t>
        </is>
      </c>
      <c r="C6257" s="12" t="inlineStr">
        <is>
          <t>Grid interface</t>
        </is>
      </c>
      <c r="D6257" s="12" t="inlineStr">
        <is>
          <t>Motor 6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C-P-0036</t>
        </is>
      </c>
      <c r="B6258" s="12" t="inlineStr">
        <is>
          <t>C</t>
        </is>
      </c>
      <c r="C6258" s="12" t="inlineStr">
        <is>
          <t>Grid interface</t>
        </is>
      </c>
      <c r="D6258" s="12" t="inlineStr">
        <is>
          <t>Motor 7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C-P-0037</t>
        </is>
      </c>
      <c r="B6259" s="12" t="inlineStr">
        <is>
          <t>C</t>
        </is>
      </c>
      <c r="C6259" s="12" t="inlineStr">
        <is>
          <t>Grid interface</t>
        </is>
      </c>
      <c r="D6259" s="12" t="inlineStr">
        <is>
          <t>Motor 8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C-P-0038</t>
        </is>
      </c>
      <c r="B6260" s="12" t="inlineStr">
        <is>
          <t>C</t>
        </is>
      </c>
      <c r="C6260" s="12" t="inlineStr">
        <is>
          <t>Grid interface</t>
        </is>
      </c>
      <c r="D6260" s="12" t="inlineStr">
        <is>
          <t>Motor 9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C-P-0039</t>
        </is>
      </c>
      <c r="B6261" s="12" t="inlineStr">
        <is>
          <t>C</t>
        </is>
      </c>
      <c r="C6261" s="12" t="inlineStr">
        <is>
          <t>Grid interface</t>
        </is>
      </c>
      <c r="D6261" s="12" t="inlineStr">
        <is>
          <t>Motor 10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C-P-0040</t>
        </is>
      </c>
      <c r="B6262" s="12" t="inlineStr">
        <is>
          <t>C</t>
        </is>
      </c>
      <c r="C6262" s="12" t="inlineStr">
        <is>
          <t>Grid interface</t>
        </is>
      </c>
      <c r="D6262" s="12" t="inlineStr">
        <is>
          <t>Motor 11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C-P-0041</t>
        </is>
      </c>
      <c r="B6263" s="12" t="inlineStr">
        <is>
          <t>C</t>
        </is>
      </c>
      <c r="C6263" s="12" t="inlineStr">
        <is>
          <t>Grid interface</t>
        </is>
      </c>
      <c r="D6263" s="12" t="inlineStr">
        <is>
          <t>Motor 12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C-P-0042</t>
        </is>
      </c>
      <c r="B6264" s="12" t="inlineStr">
        <is>
          <t>C</t>
        </is>
      </c>
      <c r="C6264" s="12" t="inlineStr">
        <is>
          <t>Grid interface</t>
        </is>
      </c>
      <c r="D6264" s="12" t="inlineStr">
        <is>
          <t>Motor 13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C-P-0043</t>
        </is>
      </c>
      <c r="B6265" s="12" t="inlineStr">
        <is>
          <t>C</t>
        </is>
      </c>
      <c r="C6265" s="12" t="inlineStr">
        <is>
          <t>Grid interface</t>
        </is>
      </c>
      <c r="D6265" s="12" t="inlineStr">
        <is>
          <t>Motor 14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C-P-0044</t>
        </is>
      </c>
      <c r="B6266" s="12" t="inlineStr">
        <is>
          <t>C</t>
        </is>
      </c>
      <c r="C6266" s="12" t="inlineStr">
        <is>
          <t>Grid interface</t>
        </is>
      </c>
      <c r="D6266" s="12" t="inlineStr">
        <is>
          <t>Motor 15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row r="6267">
      <c r="A6267" s="12" t="inlineStr">
        <is>
          <t>C-P-0045</t>
        </is>
      </c>
      <c r="B6267" s="12" t="inlineStr">
        <is>
          <t>C</t>
        </is>
      </c>
      <c r="C6267" s="12" t="inlineStr">
        <is>
          <t>Grid interface</t>
        </is>
      </c>
      <c r="D6267" s="12" t="inlineStr">
        <is>
          <t>Motor 16 of 20, 15 kW</t>
        </is>
      </c>
      <c r="E6267" s="12" t="inlineStr">
        <is>
          <t>MCC-C1</t>
        </is>
      </c>
      <c r="F6267" s="12" t="inlineStr">
        <is>
          <t>R1 MCC-C1</t>
        </is>
      </c>
      <c r="G6267" s="12" t="inlineStr"/>
      <c r="H6267" s="12" t="inlineStr">
        <is>
          <t>Water treatment building: rooftop HVAC, exhaust fans, vents</t>
        </is>
      </c>
      <c r="I6267" s="12" t="inlineStr">
        <is>
          <t>LV 600 V</t>
        </is>
      </c>
      <c r="J6267" s="12" t="inlineStr">
        <is>
          <t>Type TC-ER 600 V 3/C Cu XHHW-2 + ground, PVC jacket</t>
        </is>
      </c>
      <c r="K6267" s="12" t="inlineStr">
        <is>
          <t>LV|3/C+G|2</t>
        </is>
      </c>
      <c r="L6267" s="12" t="inlineStr">
        <is>
          <t>3/C+G</t>
        </is>
      </c>
      <c r="M6267" s="12" t="inlineStr">
        <is>
          <t>2</t>
        </is>
      </c>
      <c r="N6267" s="12" t="n">
        <v>1</v>
      </c>
      <c r="O6267" s="12" t="n">
        <v>1</v>
      </c>
      <c r="P6267" s="12" t="n">
        <v>480</v>
      </c>
      <c r="Q6267" s="12" t="n">
        <v>15</v>
      </c>
      <c r="R6267" s="12" t="n">
        <v>21.2</v>
      </c>
      <c r="S6267" s="12" t="inlineStr">
        <is>
          <t>Duct bank</t>
        </is>
      </c>
      <c r="T6267" s="15" t="n">
        <v>1629</v>
      </c>
      <c r="U6267" s="15" t="n">
        <v>161</v>
      </c>
      <c r="V6267" s="15">
        <f>ROUNDUP((T6267+U6267+2*'Read Me'!$B$13)*(1+'Read Me'!$B$12),-1)</f>
        <v/>
      </c>
      <c r="W6267" s="15">
        <f>V6267*N6267*O6267</f>
        <v/>
      </c>
      <c r="X6267" s="12">
        <f>IF(LEFT(I6267,2)="MV",2*N6267*IF(L6267="1/C",O6267,1),0)</f>
        <v/>
      </c>
      <c r="Y6267" s="12">
        <f>IF(OR(LEFT(K6267,4)="LVAX",LEFT(K6267,6)="MV15AX",LEFT(K6267,4)="CTAX",LEFT(K6267,2)="W|"),2*N6267*O6267,0)</f>
        <v/>
      </c>
      <c r="Z6267" s="12" t="inlineStr">
        <is>
          <t>VD 2.9 %</t>
        </is>
      </c>
      <c r="AA6267" s="12">
        <f>N6267*O6267</f>
        <v/>
      </c>
    </row>
    <row r="6268">
      <c r="A6268" s="12" t="inlineStr">
        <is>
          <t>C-P-0046</t>
        </is>
      </c>
      <c r="B6268" s="12" t="inlineStr">
        <is>
          <t>C</t>
        </is>
      </c>
      <c r="C6268" s="12" t="inlineStr">
        <is>
          <t>Grid interface</t>
        </is>
      </c>
      <c r="D6268" s="12" t="inlineStr">
        <is>
          <t>Motor 17 of 20, 15 kW</t>
        </is>
      </c>
      <c r="E6268" s="12" t="inlineStr">
        <is>
          <t>MCC-C1</t>
        </is>
      </c>
      <c r="F6268" s="12" t="inlineStr">
        <is>
          <t>R1 MCC-C1</t>
        </is>
      </c>
      <c r="G6268" s="12" t="inlineStr"/>
      <c r="H6268" s="12" t="inlineStr">
        <is>
          <t>Water treatment building: rooftop HVAC, exhaust fans, vents</t>
        </is>
      </c>
      <c r="I6268" s="12" t="inlineStr">
        <is>
          <t>LV 600 V</t>
        </is>
      </c>
      <c r="J6268" s="12" t="inlineStr">
        <is>
          <t>Type TC-ER 600 V 3/C Cu XHHW-2 + ground, PVC jacket</t>
        </is>
      </c>
      <c r="K6268" s="12" t="inlineStr">
        <is>
          <t>LV|3/C+G|2</t>
        </is>
      </c>
      <c r="L6268" s="12" t="inlineStr">
        <is>
          <t>3/C+G</t>
        </is>
      </c>
      <c r="M6268" s="12" t="inlineStr">
        <is>
          <t>2</t>
        </is>
      </c>
      <c r="N6268" s="12" t="n">
        <v>1</v>
      </c>
      <c r="O6268" s="12" t="n">
        <v>1</v>
      </c>
      <c r="P6268" s="12" t="n">
        <v>480</v>
      </c>
      <c r="Q6268" s="12" t="n">
        <v>15</v>
      </c>
      <c r="R6268" s="12" t="n">
        <v>21.2</v>
      </c>
      <c r="S6268" s="12" t="inlineStr">
        <is>
          <t>Duct bank</t>
        </is>
      </c>
      <c r="T6268" s="15" t="n">
        <v>1629</v>
      </c>
      <c r="U6268" s="15" t="n">
        <v>161</v>
      </c>
      <c r="V6268" s="15">
        <f>ROUNDUP((T6268+U6268+2*'Read Me'!$B$13)*(1+'Read Me'!$B$12),-1)</f>
        <v/>
      </c>
      <c r="W6268" s="15">
        <f>V6268*N6268*O6268</f>
        <v/>
      </c>
      <c r="X6268" s="12">
        <f>IF(LEFT(I6268,2)="MV",2*N6268*IF(L6268="1/C",O6268,1),0)</f>
        <v/>
      </c>
      <c r="Y6268" s="12">
        <f>IF(OR(LEFT(K6268,4)="LVAX",LEFT(K6268,6)="MV15AX",LEFT(K6268,4)="CTAX",LEFT(K6268,2)="W|"),2*N6268*O6268,0)</f>
        <v/>
      </c>
      <c r="Z6268" s="12" t="inlineStr">
        <is>
          <t>VD 2.9 %</t>
        </is>
      </c>
      <c r="AA6268" s="12">
        <f>N6268*O6268</f>
        <v/>
      </c>
    </row>
    <row r="6269">
      <c r="A6269" s="12" t="inlineStr">
        <is>
          <t>C-P-0047</t>
        </is>
      </c>
      <c r="B6269" s="12" t="inlineStr">
        <is>
          <t>C</t>
        </is>
      </c>
      <c r="C6269" s="12" t="inlineStr">
        <is>
          <t>Grid interface</t>
        </is>
      </c>
      <c r="D6269" s="12" t="inlineStr">
        <is>
          <t>Motor 18 of 20, 15 kW</t>
        </is>
      </c>
      <c r="E6269" s="12" t="inlineStr">
        <is>
          <t>MCC-C1</t>
        </is>
      </c>
      <c r="F6269" s="12" t="inlineStr">
        <is>
          <t>R1 MCC-C1</t>
        </is>
      </c>
      <c r="G6269" s="12" t="inlineStr"/>
      <c r="H6269" s="12" t="inlineStr">
        <is>
          <t>Water treatment building: rooftop HVAC, exhaust fans, vents</t>
        </is>
      </c>
      <c r="I6269" s="12" t="inlineStr">
        <is>
          <t>LV 600 V</t>
        </is>
      </c>
      <c r="J6269" s="12" t="inlineStr">
        <is>
          <t>Type TC-ER 600 V 3/C Cu XHHW-2 + ground, PVC jacket</t>
        </is>
      </c>
      <c r="K6269" s="12" t="inlineStr">
        <is>
          <t>LV|3/C+G|2</t>
        </is>
      </c>
      <c r="L6269" s="12" t="inlineStr">
        <is>
          <t>3/C+G</t>
        </is>
      </c>
      <c r="M6269" s="12" t="inlineStr">
        <is>
          <t>2</t>
        </is>
      </c>
      <c r="N6269" s="12" t="n">
        <v>1</v>
      </c>
      <c r="O6269" s="12" t="n">
        <v>1</v>
      </c>
      <c r="P6269" s="12" t="n">
        <v>480</v>
      </c>
      <c r="Q6269" s="12" t="n">
        <v>15</v>
      </c>
      <c r="R6269" s="12" t="n">
        <v>21.2</v>
      </c>
      <c r="S6269" s="12" t="inlineStr">
        <is>
          <t>Duct bank</t>
        </is>
      </c>
      <c r="T6269" s="15" t="n">
        <v>1629</v>
      </c>
      <c r="U6269" s="15" t="n">
        <v>161</v>
      </c>
      <c r="V6269" s="15">
        <f>ROUNDUP((T6269+U6269+2*'Read Me'!$B$13)*(1+'Read Me'!$B$12),-1)</f>
        <v/>
      </c>
      <c r="W6269" s="15">
        <f>V6269*N6269*O6269</f>
        <v/>
      </c>
      <c r="X6269" s="12">
        <f>IF(LEFT(I6269,2)="MV",2*N6269*IF(L6269="1/C",O6269,1),0)</f>
        <v/>
      </c>
      <c r="Y6269" s="12">
        <f>IF(OR(LEFT(K6269,4)="LVAX",LEFT(K6269,6)="MV15AX",LEFT(K6269,4)="CTAX",LEFT(K6269,2)="W|"),2*N6269*O6269,0)</f>
        <v/>
      </c>
      <c r="Z6269" s="12" t="inlineStr">
        <is>
          <t>VD 2.9 %</t>
        </is>
      </c>
      <c r="AA6269" s="12">
        <f>N6269*O6269</f>
        <v/>
      </c>
    </row>
    <row r="6270">
      <c r="A6270" s="12" t="inlineStr">
        <is>
          <t>C-P-0048</t>
        </is>
      </c>
      <c r="B6270" s="12" t="inlineStr">
        <is>
          <t>C</t>
        </is>
      </c>
      <c r="C6270" s="12" t="inlineStr">
        <is>
          <t>Grid interface</t>
        </is>
      </c>
      <c r="D6270" s="12" t="inlineStr">
        <is>
          <t>Motor 19 of 20, 15 kW</t>
        </is>
      </c>
      <c r="E6270" s="12" t="inlineStr">
        <is>
          <t>MCC-C1</t>
        </is>
      </c>
      <c r="F6270" s="12" t="inlineStr">
        <is>
          <t>R1 MCC-C1</t>
        </is>
      </c>
      <c r="G6270" s="12" t="inlineStr"/>
      <c r="H6270" s="12" t="inlineStr">
        <is>
          <t>Water treatment building: rooftop HVAC, exhaust fans, vents</t>
        </is>
      </c>
      <c r="I6270" s="12" t="inlineStr">
        <is>
          <t>LV 600 V</t>
        </is>
      </c>
      <c r="J6270" s="12" t="inlineStr">
        <is>
          <t>Type TC-ER 600 V 3/C Cu XHHW-2 + ground, PVC jacket</t>
        </is>
      </c>
      <c r="K6270" s="12" t="inlineStr">
        <is>
          <t>LV|3/C+G|2</t>
        </is>
      </c>
      <c r="L6270" s="12" t="inlineStr">
        <is>
          <t>3/C+G</t>
        </is>
      </c>
      <c r="M6270" s="12" t="inlineStr">
        <is>
          <t>2</t>
        </is>
      </c>
      <c r="N6270" s="12" t="n">
        <v>1</v>
      </c>
      <c r="O6270" s="12" t="n">
        <v>1</v>
      </c>
      <c r="P6270" s="12" t="n">
        <v>480</v>
      </c>
      <c r="Q6270" s="12" t="n">
        <v>15</v>
      </c>
      <c r="R6270" s="12" t="n">
        <v>21.2</v>
      </c>
      <c r="S6270" s="12" t="inlineStr">
        <is>
          <t>Duct bank</t>
        </is>
      </c>
      <c r="T6270" s="15" t="n">
        <v>1629</v>
      </c>
      <c r="U6270" s="15" t="n">
        <v>161</v>
      </c>
      <c r="V6270" s="15">
        <f>ROUNDUP((T6270+U6270+2*'Read Me'!$B$13)*(1+'Read Me'!$B$12),-1)</f>
        <v/>
      </c>
      <c r="W6270" s="15">
        <f>V6270*N6270*O6270</f>
        <v/>
      </c>
      <c r="X6270" s="12">
        <f>IF(LEFT(I6270,2)="MV",2*N6270*IF(L6270="1/C",O6270,1),0)</f>
        <v/>
      </c>
      <c r="Y6270" s="12">
        <f>IF(OR(LEFT(K6270,4)="LVAX",LEFT(K6270,6)="MV15AX",LEFT(K6270,4)="CTAX",LEFT(K6270,2)="W|"),2*N6270*O6270,0)</f>
        <v/>
      </c>
      <c r="Z6270" s="12" t="inlineStr">
        <is>
          <t>VD 2.9 %</t>
        </is>
      </c>
      <c r="AA6270" s="12">
        <f>N6270*O6270</f>
        <v/>
      </c>
    </row>
    <row r="6271">
      <c r="A6271" s="12" t="inlineStr">
        <is>
          <t>C-P-0049</t>
        </is>
      </c>
      <c r="B6271" s="12" t="inlineStr">
        <is>
          <t>C</t>
        </is>
      </c>
      <c r="C6271" s="12" t="inlineStr">
        <is>
          <t>Grid interface</t>
        </is>
      </c>
      <c r="D6271" s="12" t="inlineStr">
        <is>
          <t>Motor 20 of 20, 15 kW</t>
        </is>
      </c>
      <c r="E6271" s="12" t="inlineStr">
        <is>
          <t>MCC-C1</t>
        </is>
      </c>
      <c r="F6271" s="12" t="inlineStr">
        <is>
          <t>R1 MCC-C1</t>
        </is>
      </c>
      <c r="G6271" s="12" t="inlineStr"/>
      <c r="H6271" s="12" t="inlineStr">
        <is>
          <t>Water treatment building: rooftop HVAC, exhaust fans, vents</t>
        </is>
      </c>
      <c r="I6271" s="12" t="inlineStr">
        <is>
          <t>LV 600 V</t>
        </is>
      </c>
      <c r="J6271" s="12" t="inlineStr">
        <is>
          <t>Type TC-ER 600 V 3/C Cu XHHW-2 + ground, PVC jacket</t>
        </is>
      </c>
      <c r="K6271" s="12" t="inlineStr">
        <is>
          <t>LV|3/C+G|2</t>
        </is>
      </c>
      <c r="L6271" s="12" t="inlineStr">
        <is>
          <t>3/C+G</t>
        </is>
      </c>
      <c r="M6271" s="12" t="inlineStr">
        <is>
          <t>2</t>
        </is>
      </c>
      <c r="N6271" s="12" t="n">
        <v>1</v>
      </c>
      <c r="O6271" s="12" t="n">
        <v>1</v>
      </c>
      <c r="P6271" s="12" t="n">
        <v>480</v>
      </c>
      <c r="Q6271" s="12" t="n">
        <v>15</v>
      </c>
      <c r="R6271" s="12" t="n">
        <v>21.2</v>
      </c>
      <c r="S6271" s="12" t="inlineStr">
        <is>
          <t>Duct bank</t>
        </is>
      </c>
      <c r="T6271" s="15" t="n">
        <v>1629</v>
      </c>
      <c r="U6271" s="15" t="n">
        <v>161</v>
      </c>
      <c r="V6271" s="15">
        <f>ROUNDUP((T6271+U6271+2*'Read Me'!$B$13)*(1+'Read Me'!$B$12),-1)</f>
        <v/>
      </c>
      <c r="W6271" s="15">
        <f>V6271*N6271*O6271</f>
        <v/>
      </c>
      <c r="X6271" s="12">
        <f>IF(LEFT(I6271,2)="MV",2*N6271*IF(L6271="1/C",O6271,1),0)</f>
        <v/>
      </c>
      <c r="Y6271" s="12">
        <f>IF(OR(LEFT(K6271,4)="LVAX",LEFT(K6271,6)="MV15AX",LEFT(K6271,4)="CTAX",LEFT(K6271,2)="W|"),2*N6271*O6271,0)</f>
        <v/>
      </c>
      <c r="Z6271" s="12" t="inlineStr">
        <is>
          <t>VD 2.9 %</t>
        </is>
      </c>
      <c r="AA6271" s="12">
        <f>N6271*O6271</f>
        <v/>
      </c>
    </row>
  </sheetData>
  <autoFilter ref="A1:AA62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Schedule'!$AA$2:$AA$6271,'Cable Schedule'!$K$2:$K$6271,A2)</f>
        <v/>
      </c>
      <c r="G2" s="17">
        <f>SUMIFS('Cable Schedule'!$W$2:$W$6271,'Cable Schedule'!$K$2:$K$6271,A2)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Schedule'!$AA$2:$AA$6271,'Cable Schedule'!$K$2:$K$6271,A3)</f>
        <v/>
      </c>
      <c r="G3" s="17">
        <f>SUMIFS('Cable Schedule'!$W$2:$W$6271,'Cable Schedule'!$K$2:$K$6271,A3)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Schedule'!$AA$2:$AA$6271,'Cable Schedule'!$K$2:$K$6271,A4)</f>
        <v/>
      </c>
      <c r="G4" s="17">
        <f>SUMIFS('Cable Schedule'!$W$2:$W$6271,'Cable Schedule'!$K$2:$K$6271,A4)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Schedule'!$AA$2:$AA$6271,'Cable Schedule'!$K$2:$K$6271,A5)</f>
        <v/>
      </c>
      <c r="G5" s="17">
        <f>SUMIFS('Cable Schedule'!$W$2:$W$6271,'Cable Schedule'!$K$2:$K$6271,A5)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Schedule'!$AA$2:$AA$6271,'Cable Schedule'!$K$2:$K$6271,A6)</f>
        <v/>
      </c>
      <c r="G6" s="17">
        <f>SUMIFS('Cable Schedule'!$W$2:$W$6271,'Cable Schedule'!$K$2:$K$6271,A6)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Schedule'!$AA$2:$AA$6271,'Cable Schedule'!$K$2:$K$6271,A7)</f>
        <v/>
      </c>
      <c r="G7" s="17">
        <f>SUMIFS('Cable Schedule'!$W$2:$W$6271,'Cable Schedule'!$K$2:$K$6271,A7)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Schedule'!$AA$2:$AA$6271,'Cable Schedule'!$K$2:$K$6271,A8)</f>
        <v/>
      </c>
      <c r="G8" s="17">
        <f>SUMIFS('Cable Schedule'!$W$2:$W$6271,'Cable Schedule'!$K$2:$K$6271,A8)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Schedule'!$AA$2:$AA$6271,'Cable Schedule'!$K$2:$K$6271,A9)</f>
        <v/>
      </c>
      <c r="G9" s="17">
        <f>SUMIFS('Cable Schedule'!$W$2:$W$6271,'Cable Schedule'!$K$2:$K$6271,A9)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Schedule'!$AA$2:$AA$6271,'Cable Schedule'!$K$2:$K$6271,A10)</f>
        <v/>
      </c>
      <c r="G10" s="17">
        <f>SUMIFS('Cable Schedule'!$W$2:$W$6271,'Cable Schedule'!$K$2:$K$6271,A10)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Schedule'!$AA$2:$AA$6271,'Cable Schedule'!$K$2:$K$6271,A11)</f>
        <v/>
      </c>
      <c r="G11" s="17">
        <f>SUMIFS('Cable Schedule'!$W$2:$W$6271,'Cable Schedule'!$K$2:$K$6271,A11)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Schedule'!$AA$2:$AA$6271,'Cable Schedule'!$K$2:$K$6271,A12)</f>
        <v/>
      </c>
      <c r="G12" s="17">
        <f>SUMIFS('Cable Schedule'!$W$2:$W$6271,'Cable Schedule'!$K$2:$K$6271,A12)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Schedule'!$AA$2:$AA$6271,'Cable Schedule'!$K$2:$K$6271,A13)</f>
        <v/>
      </c>
      <c r="G13" s="17">
        <f>SUMIFS('Cable Schedule'!$W$2:$W$6271,'Cable Schedule'!$K$2:$K$6271,A13)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Schedule'!$AA$2:$AA$6271,'Cable Schedule'!$K$2:$K$6271,A14)</f>
        <v/>
      </c>
      <c r="G14" s="17">
        <f>SUMIFS('Cable Schedule'!$W$2:$W$6271,'Cable Schedule'!$K$2:$K$6271,A14)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Schedule'!$AA$2:$AA$6271,'Cable Schedule'!$K$2:$K$6271,A15)</f>
        <v/>
      </c>
      <c r="G15" s="17">
        <f>SUMIFS('Cable Schedule'!$W$2:$W$6271,'Cable Schedule'!$K$2:$K$6271,A15)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Schedule'!$AA$2:$AA$6271,'Cable Schedule'!$K$2:$K$6271,A16)</f>
        <v/>
      </c>
      <c r="G16" s="17">
        <f>SUMIFS('Cable Schedule'!$W$2:$W$6271,'Cable Schedule'!$K$2:$K$6271,A16)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Schedule'!$AA$2:$AA$6271,'Cable Schedule'!$K$2:$K$6271,A17)</f>
        <v/>
      </c>
      <c r="G17" s="17">
        <f>SUMIFS('Cable Schedule'!$W$2:$W$6271,'Cable Schedule'!$K$2:$K$6271,A17)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Schedule'!$AA$2:$AA$6271,'Cable Schedule'!$K$2:$K$6271,A18)</f>
        <v/>
      </c>
      <c r="G18" s="17">
        <f>SUMIFS('Cable Schedule'!$W$2:$W$6271,'Cable Schedule'!$K$2:$K$6271,A18)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Schedule'!$AA$2:$AA$6271,'Cable Schedule'!$K$2:$K$6271,A19)</f>
        <v/>
      </c>
      <c r="G19" s="17">
        <f>SUMIFS('Cable Schedule'!$W$2:$W$6271,'Cable Schedule'!$K$2:$K$6271,A19)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Schedule'!$AA$2:$AA$6271,'Cable Schedule'!$K$2:$K$6271,A20)</f>
        <v/>
      </c>
      <c r="G20" s="17">
        <f>SUMIFS('Cable Schedule'!$W$2:$W$6271,'Cable Schedule'!$K$2:$K$6271,A20)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Schedule'!$AA$2:$AA$6271,'Cable Schedule'!$K$2:$K$6271,A21)</f>
        <v/>
      </c>
      <c r="G21" s="17">
        <f>SUMIFS('Cable Schedule'!$W$2:$W$6271,'Cable Schedule'!$K$2:$K$6271,A21)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Schedule'!$AA$2:$AA$6271,'Cable Schedule'!$K$2:$K$6271,A22)</f>
        <v/>
      </c>
      <c r="G22" s="17">
        <f>SUMIFS('Cable Schedule'!$W$2:$W$6271,'Cable Schedule'!$K$2:$K$6271,A22)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Schedule'!$AA$2:$AA$6271,'Cable Schedule'!$K$2:$K$6271,A23)</f>
        <v/>
      </c>
      <c r="G23" s="17">
        <f>SUMIFS('Cable Schedule'!$W$2:$W$6271,'Cable Schedule'!$K$2:$K$6271,A23)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Schedule'!$AA$2:$AA$6271,'Cable Schedule'!$K$2:$K$6271,A24)</f>
        <v/>
      </c>
      <c r="G24" s="17">
        <f>SUMIFS('Cable Schedule'!$W$2:$W$6271,'Cable Schedule'!$K$2:$K$6271,A24)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Schedule'!$AA$2:$AA$6271,'Cable Schedule'!$K$2:$K$6271,A25)</f>
        <v/>
      </c>
      <c r="G25" s="17">
        <f>SUMIFS('Cable Schedule'!$W$2:$W$6271,'Cable Schedule'!$K$2:$K$6271,A25)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Schedule'!$AA$2:$AA$6271,'Cable Schedule'!$K$2:$K$6271,A26)</f>
        <v/>
      </c>
      <c r="G26" s="17">
        <f>SUMIFS('Cable Schedule'!$W$2:$W$6271,'Cable Schedule'!$K$2:$K$6271,A26)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Schedule'!$AA$2:$AA$6271,'Cable Schedule'!$K$2:$K$6271,A27)</f>
        <v/>
      </c>
      <c r="G27" s="17">
        <f>SUMIFS('Cable Schedule'!$W$2:$W$6271,'Cable Schedule'!$K$2:$K$6271,A27)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Schedule'!$AA$2:$AA$6271,'Cable Schedule'!$K$2:$K$6271,A28)</f>
        <v/>
      </c>
      <c r="G28" s="17">
        <f>SUMIFS('Cable Schedule'!$W$2:$W$6271,'Cable Schedule'!$K$2:$K$6271,A28)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Schedule'!$AA$2:$AA$6271,'Cable Schedule'!$K$2:$K$6271,A29)</f>
        <v/>
      </c>
      <c r="G29" s="17">
        <f>SUMIFS('Cable Schedule'!$W$2:$W$6271,'Cable Schedule'!$K$2:$K$6271,A29)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Schedule'!$AA$2:$AA$6271,'Cable Schedule'!$K$2:$K$6271,A30)</f>
        <v/>
      </c>
      <c r="G30" s="17">
        <f>SUMIFS('Cable Schedule'!$W$2:$W$6271,'Cable Schedule'!$K$2:$K$6271,A30)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Schedule'!$AA$2:$AA$6271,'Cable Schedule'!$K$2:$K$6271,A31)</f>
        <v/>
      </c>
      <c r="G31" s="17">
        <f>SUMIFS('Cable Schedule'!$W$2:$W$6271,'Cable Schedule'!$K$2:$K$6271,A31)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Schedule'!$AA$2:$AA$6271,'Cable Schedule'!$K$2:$K$6271,A32)</f>
        <v/>
      </c>
      <c r="G32" s="17">
        <f>SUMIFS('Cable Schedule'!$W$2:$W$6271,'Cable Schedule'!$K$2:$K$6271,A32)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Schedule'!$AA$2:$AA$6271,'Cable Schedule'!$K$2:$K$6271,A33)</f>
        <v/>
      </c>
      <c r="G33" s="17">
        <f>SUMIFS('Cable Schedule'!$W$2:$W$6271,'Cable Schedule'!$K$2:$K$6271,A33)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Schedule'!$AA$2:$AA$6271,'Cable Schedule'!$K$2:$K$6271,A34)</f>
        <v/>
      </c>
      <c r="G34" s="17">
        <f>SUMIFS('Cable Schedule'!$W$2:$W$6271,'Cable Schedule'!$K$2:$K$6271,A34)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Schedule'!$AA$2:$AA$6271,'Cable Schedule'!$K$2:$K$6271,A35)</f>
        <v/>
      </c>
      <c r="G35" s="17">
        <f>SUMIFS('Cable Schedule'!$W$2:$W$6271,'Cable Schedule'!$K$2:$K$6271,A35)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Schedule'!$AA$2:$AA$6271,'Cable Schedule'!$K$2:$K$6271,A36)</f>
        <v/>
      </c>
      <c r="G36" s="17">
        <f>SUMIFS('Cable Schedule'!$W$2:$W$6271,'Cable Schedule'!$K$2:$K$6271,A36)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Schedule'!$AA$2:$AA$6271,'Cable Schedule'!$K$2:$K$6271,A37)</f>
        <v/>
      </c>
      <c r="G37" s="17">
        <f>SUMIFS('Cable Schedule'!$W$2:$W$6271,'Cable Schedule'!$K$2:$K$6271,A37)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Schedule'!$AA$2:$AA$6271,'Cable Schedule'!$K$2:$K$6271,A38)</f>
        <v/>
      </c>
      <c r="G38" s="17">
        <f>SUMIFS('Cable Schedule'!$W$2:$W$6271,'Cable Schedule'!$K$2:$K$6271,A38)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Schedule'!$AA$2:$AA$6271,'Cable Schedule'!$K$2:$K$6271,A39)</f>
        <v/>
      </c>
      <c r="G39" s="17">
        <f>SUMIFS('Cable Schedule'!$W$2:$W$6271,'Cable Schedule'!$K$2:$K$6271,A39)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Schedule'!$AA$2:$AA$6271,'Cable Schedule'!$K$2:$K$6271,A40)</f>
        <v/>
      </c>
      <c r="G40" s="17">
        <f>SUMIFS('Cable Schedule'!$W$2:$W$6271,'Cable Schedule'!$K$2:$K$6271,A40)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Schedule'!$AA$2:$AA$6271,'Cable Schedule'!$K$2:$K$6271,A41)</f>
        <v/>
      </c>
      <c r="G41" s="17">
        <f>SUMIFS('Cable Schedule'!$W$2:$W$6271,'Cable Schedule'!$K$2:$K$6271,A41)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Schedule'!$AA$2:$AA$6271,'Cable Schedule'!$K$2:$K$6271,A42)</f>
        <v/>
      </c>
      <c r="G42" s="17">
        <f>SUMIFS('Cable Schedule'!$W$2:$W$6271,'Cable Schedule'!$K$2:$K$6271,A42)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Schedule'!$AA$2:$AA$6271,'Cable Schedule'!$K$2:$K$6271,A43)</f>
        <v/>
      </c>
      <c r="G43" s="17">
        <f>SUMIFS('Cable Schedule'!$W$2:$W$6271,'Cable Schedule'!$K$2:$K$6271,A43)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Schedule'!$AA$2:$AA$6271,'Cable Schedule'!$K$2:$K$6271,A44)</f>
        <v/>
      </c>
      <c r="G44" s="17">
        <f>SUMIFS('Cable Schedule'!$W$2:$W$6271,'Cable Schedule'!$K$2:$K$6271,A44)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Schedule'!$AA$2:$AA$6271,'Cable Schedule'!$K$2:$K$6271,A45)</f>
        <v/>
      </c>
      <c r="G45" s="17">
        <f>SUMIFS('Cable Schedule'!$W$2:$W$6271,'Cable Schedule'!$K$2:$K$6271,A45)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Schedule'!$AA$2:$AA$6271,'Cable Schedule'!$K$2:$K$6271,A46)</f>
        <v/>
      </c>
      <c r="G46" s="17">
        <f>SUMIFS('Cable Schedule'!$W$2:$W$6271,'Cable Schedule'!$K$2:$K$6271,A46)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Schedule'!$AA$2:$AA$6271,'Cable Schedule'!$K$2:$K$6271,A47)</f>
        <v/>
      </c>
      <c r="G47" s="17">
        <f>SUMIFS('Cable Schedule'!$W$2:$W$6271,'Cable Schedule'!$K$2:$K$6271,A47)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Schedule'!$AA$2:$AA$6271,'Cable Schedule'!$K$2:$K$6271,A48)</f>
        <v/>
      </c>
      <c r="G48" s="17">
        <f>SUMIFS('Cable Schedule'!$W$2:$W$6271,'Cable Schedule'!$K$2:$K$6271,A48)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Schedule'!$AA$2:$AA$6271,'Cable Schedule'!$K$2:$K$6271,A49)</f>
        <v/>
      </c>
      <c r="G49" s="17">
        <f>SUMIFS('Cable Schedule'!$W$2:$W$6271,'Cable Schedule'!$K$2:$K$6271,A49)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Schedule'!$AA$2:$AA$6271,'Cable Schedule'!$K$2:$K$6271,A50)</f>
        <v/>
      </c>
      <c r="G50" s="17">
        <f>SUMIFS('Cable Schedule'!$W$2:$W$6271,'Cable Schedule'!$K$2:$K$6271,A50)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Schedule'!$AA$2:$AA$6271,'Cable Schedule'!$K$2:$K$6271,A51)</f>
        <v/>
      </c>
      <c r="G51" s="17">
        <f>SUMIFS('Cable Schedule'!$W$2:$W$6271,'Cable Schedule'!$K$2:$K$6271,A51)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Schedule'!$AA$2:$AA$6271,'Cable Schedule'!$K$2:$K$6271,A52)</f>
        <v/>
      </c>
      <c r="G52" s="17">
        <f>SUMIFS('Cable Schedule'!$W$2:$W$6271,'Cable Schedule'!$K$2:$K$6271,A52)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Schedule'!$AA$2:$AA$6271,'Cable Schedule'!$K$2:$K$6271,A53)</f>
        <v/>
      </c>
      <c r="G53" s="17">
        <f>SUMIFS('Cable Schedule'!$W$2:$W$6271,'Cable Schedule'!$K$2:$K$6271,A53)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Schedule'!$AA$2:$AA$6271,'Cable Schedule'!$K$2:$K$6271,A54)</f>
        <v/>
      </c>
      <c r="G54" s="17">
        <f>SUMIFS('Cable Schedule'!$W$2:$W$6271,'Cable Schedule'!$K$2:$K$6271,A54)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Schedule'!$AA$2:$AA$6271,'Cable Schedule'!$K$2:$K$6271,A55)</f>
        <v/>
      </c>
      <c r="G55" s="17">
        <f>SUMIFS('Cable Schedule'!$W$2:$W$6271,'Cable Schedule'!$K$2:$K$6271,A55)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Schedule'!$AA$2:$AA$6271,'Cable Schedule'!$K$2:$K$6271,A56)</f>
        <v/>
      </c>
      <c r="G56" s="17">
        <f>SUMIFS('Cable Schedule'!$W$2:$W$6271,'Cable Schedule'!$K$2:$K$6271,A56)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Schedule'!$AA$2:$AA$6271,'Cable Schedule'!$K$2:$K$6271,A57)</f>
        <v/>
      </c>
      <c r="G57" s="17">
        <f>SUMIFS('Cable Schedule'!$W$2:$W$6271,'Cable Schedule'!$K$2:$K$6271,A57)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Schedule'!$AA$2:$AA$6271,'Cable Schedule'!$K$2:$K$6271,A58)</f>
        <v/>
      </c>
      <c r="G58" s="17">
        <f>SUMIFS('Cable Schedule'!$W$2:$W$6271,'Cable Schedule'!$K$2:$K$6271,A58)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Schedule'!$AA$2:$AA$6271,'Cable Schedule'!$K$2:$K$6271,A59)</f>
        <v/>
      </c>
      <c r="G59" s="17">
        <f>SUMIFS('Cable Schedule'!$W$2:$W$6271,'Cable Schedule'!$K$2:$K$6271,A59)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Schedule'!$AA$2:$AA$6271,'Cable Schedule'!$K$2:$K$6271,A60)</f>
        <v/>
      </c>
      <c r="G60" s="17">
        <f>SUMIFS('Cable Schedule'!$W$2:$W$6271,'Cable Schedule'!$K$2:$K$6271,A60)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Schedule'!$AA$2:$AA$6271,'Cable Schedule'!$K$2:$K$6271,A61)</f>
        <v/>
      </c>
      <c r="G61" s="17">
        <f>SUMIFS('Cable Schedule'!$W$2:$W$6271,'Cable Schedule'!$K$2:$K$6271,A61)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Schedule'!$AA$2:$AA$6271,'Cable Schedule'!$K$2:$K$6271,A62)</f>
        <v/>
      </c>
      <c r="G62" s="17">
        <f>SUMIFS('Cable Schedule'!$W$2:$W$6271,'Cable Schedule'!$K$2:$K$6271,A62)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Schedule'!$AA$2:$AA$6271,'Cable Schedule'!$K$2:$K$6271,A63)</f>
        <v/>
      </c>
      <c r="G63" s="17">
        <f>SUMIFS('Cable Schedule'!$W$2:$W$6271,'Cable Schedule'!$K$2:$K$6271,A63)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Schedule'!$AA$2:$AA$6271,'Cable Schedule'!$K$2:$K$6271,A64)</f>
        <v/>
      </c>
      <c r="G64" s="17">
        <f>SUMIFS('Cable Schedule'!$W$2:$W$6271,'Cable Schedule'!$K$2:$K$6271,A64)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Schedule'!$AA$2:$AA$6271,'Cable Schedule'!$K$2:$K$6271,A65)</f>
        <v/>
      </c>
      <c r="G65" s="17">
        <f>SUMIFS('Cable Schedule'!$W$2:$W$6271,'Cable Schedule'!$K$2:$K$6271,A65)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Schedule'!$AA$2:$AA$6271,'Cable Schedule'!$K$2:$K$6271,A66)</f>
        <v/>
      </c>
      <c r="G66" s="17">
        <f>SUMIFS('Cable Schedule'!$W$2:$W$6271,'Cable Schedule'!$K$2:$K$6271,A66)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Schedule'!$AA$2:$AA$6271,'Cable Schedule'!$K$2:$K$6271,A67)</f>
        <v/>
      </c>
      <c r="G67" s="17">
        <f>SUMIFS('Cable Schedule'!$W$2:$W$6271,'Cable Schedule'!$K$2:$K$6271,A67)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Schedule'!$AA$2:$AA$6271,'Cable Schedule'!$K$2:$K$6271,A68)</f>
        <v/>
      </c>
      <c r="G68" s="17">
        <f>SUMIFS('Cable Schedule'!$W$2:$W$6271,'Cable Schedule'!$K$2:$K$6271,A68)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Schedule'!$AA$2:$AA$6271,'Cable Schedule'!$K$2:$K$6271,A69)</f>
        <v/>
      </c>
      <c r="G69" s="17">
        <f>SUMIFS('Cable Schedule'!$W$2:$W$6271,'Cable Schedule'!$K$2:$K$6271,A69)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Schedule'!$AA$2:$AA$6271,'Cable Schedule'!$K$2:$K$6271,A70)</f>
        <v/>
      </c>
      <c r="G70" s="17">
        <f>SUMIFS('Cable Schedule'!$W$2:$W$6271,'Cable Schedule'!$K$2:$K$6271,A70)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Schedule'!$AA$2:$AA$6271,'Cable Schedule'!$K$2:$K$6271,A71)</f>
        <v/>
      </c>
      <c r="G71" s="17">
        <f>SUMIFS('Cable Schedule'!$W$2:$W$6271,'Cable Schedule'!$K$2:$K$6271,A71)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Schedule'!$AA$2:$AA$6271,'Cable Schedule'!$K$2:$K$6271,A72)</f>
        <v/>
      </c>
      <c r="G72" s="17">
        <f>SUMIFS('Cable Schedule'!$W$2:$W$6271,'Cable Schedule'!$K$2:$K$6271,A72)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Schedule'!$AA$2:$AA$6271,'Cable Schedule'!$K$2:$K$6271,A73)</f>
        <v/>
      </c>
      <c r="G73" s="17">
        <f>SUMIFS('Cable Schedule'!$W$2:$W$6271,'Cable Schedule'!$K$2:$K$6271,A73)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Schedule'!$AA$2:$AA$6271,'Cable Schedule'!$K$2:$K$6271,A74)</f>
        <v/>
      </c>
      <c r="G74" s="17">
        <f>SUMIFS('Cable Schedule'!$W$2:$W$6271,'Cable Schedule'!$K$2:$K$6271,A74)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Schedule'!$AA$2:$AA$6271,'Cable Schedule'!$K$2:$K$6271,A75)</f>
        <v/>
      </c>
      <c r="G75" s="17">
        <f>SUMIFS('Cable Schedule'!$W$2:$W$6271,'Cable Schedule'!$K$2:$K$6271,A75)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Schedule'!$AA$2:$AA$6271,'Cable Schedule'!$K$2:$K$6271,A76)</f>
        <v/>
      </c>
      <c r="G76" s="17">
        <f>SUMIFS('Cable Schedule'!$W$2:$W$6271,'Cable Schedule'!$K$2:$K$6271,A76)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Schedule'!$AA$2:$AA$6271,'Cable Schedule'!$K$2:$K$6271,A77)</f>
        <v/>
      </c>
      <c r="G77" s="17">
        <f>SUMIFS('Cable Schedule'!$W$2:$W$6271,'Cable Schedule'!$K$2:$K$6271,A77)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Schedule'!$AA$2:$AA$6271,'Cable Schedule'!$K$2:$K$6271,A78)</f>
        <v/>
      </c>
      <c r="G78" s="17">
        <f>SUMIFS('Cable Schedule'!$W$2:$W$6271,'Cable Schedule'!$K$2:$K$6271,A78)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Schedule'!$AA$2:$AA$6271,'Cable Schedule'!$K$2:$K$6271,A79)</f>
        <v/>
      </c>
      <c r="G79" s="17">
        <f>SUMIFS('Cable Schedule'!$W$2:$W$6271,'Cable Schedule'!$K$2:$K$6271,A79)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Schedule'!$AA$2:$AA$6271,'Cable Schedule'!$K$2:$K$6271,A80)</f>
        <v/>
      </c>
      <c r="G80" s="17">
        <f>SUMIFS('Cable Schedule'!$W$2:$W$6271,'Cable Schedule'!$K$2:$K$6271,A80)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Schedule'!$AA$2:$AA$6271,'Cable Schedule'!$K$2:$K$6271,A81)</f>
        <v/>
      </c>
      <c r="G81" s="17">
        <f>SUMIFS('Cable Schedule'!$W$2:$W$6271,'Cable Schedule'!$K$2:$K$6271,A81)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Schedule'!$AA$2:$AA$6271,'Cable Schedule'!$K$2:$K$6271,A82)</f>
        <v/>
      </c>
      <c r="G82" s="17">
        <f>SUMIFS('Cable Schedule'!$W$2:$W$6271,'Cable Schedule'!$K$2:$K$6271,A82)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Schedule'!$AA$2:$AA$6271,'Cable Schedule'!$K$2:$K$6271,A83)</f>
        <v/>
      </c>
      <c r="G83" s="17">
        <f>SUMIFS('Cable Schedule'!$W$2:$W$6271,'Cable Schedule'!$K$2:$K$6271,A83)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Schedule'!$AA$2:$AA$6271,'Cable Schedule'!$K$2:$K$6271,A84)</f>
        <v/>
      </c>
      <c r="G84" s="17">
        <f>SUMIFS('Cable Schedule'!$W$2:$W$6271,'Cable Schedule'!$K$2:$K$6271,A84)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Schedule'!$AA$2:$AA$6271,'Cable Schedule'!$K$2:$K$6271,A85)</f>
        <v/>
      </c>
      <c r="G85" s="17">
        <f>SUMIFS('Cable Schedule'!$W$2:$W$6271,'Cable Schedule'!$K$2:$K$6271,A85)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Schedule'!$AA$2:$AA$6271,'Cable Schedule'!$K$2:$K$6271,A86)</f>
        <v/>
      </c>
      <c r="G86" s="17">
        <f>SUMIFS('Cable Schedule'!$W$2:$W$6271,'Cable Schedule'!$K$2:$K$6271,A86)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Schedule'!$AA$2:$AA$6271,'Cable Schedule'!$K$2:$K$6271,A87)</f>
        <v/>
      </c>
      <c r="G87" s="17">
        <f>SUMIFS('Cable Schedule'!$W$2:$W$6271,'Cable Schedule'!$K$2:$K$6271,A87)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Schedule'!$AA$2:$AA$6271,'Cable Schedule'!$K$2:$K$6271,A88)</f>
        <v/>
      </c>
      <c r="G88" s="17">
        <f>SUMIFS('Cable Schedule'!$W$2:$W$6271,'Cable Schedule'!$K$2:$K$6271,A88)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Schedule'!$AA$2:$AA$6271,'Cable Schedule'!$K$2:$K$6271,A89)</f>
        <v/>
      </c>
      <c r="G89" s="17">
        <f>SUMIFS('Cable Schedule'!$W$2:$W$6271,'Cable Schedule'!$K$2:$K$6271,A89)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Schedule'!$AA$2:$AA$6271,'Cable Schedule'!$K$2:$K$6271,A90)</f>
        <v/>
      </c>
      <c r="G90" s="17">
        <f>SUMIFS('Cable Schedule'!$W$2:$W$6271,'Cable Schedule'!$K$2:$K$6271,A90)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Schedule'!$AA$2:$AA$6271,'Cable Schedule'!$K$2:$K$6271,A91)</f>
        <v/>
      </c>
      <c r="G91" s="17">
        <f>SUMIFS('Cable Schedule'!$W$2:$W$6271,'Cable Schedule'!$K$2:$K$6271,A91)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Schedule'!$AA$2:$AA$6271,'Cable Schedule'!$K$2:$K$6271,A92)</f>
        <v/>
      </c>
      <c r="G92" s="17">
        <f>SUMIFS('Cable Schedule'!$W$2:$W$6271,'Cable Schedule'!$K$2:$K$6271,A92)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Schedule'!$AA$2:$AA$6271,'Cable Schedule'!$K$2:$K$6271,A93)</f>
        <v/>
      </c>
      <c r="G93" s="17">
        <f>SUMIFS('Cable Schedule'!$W$2:$W$6271,'Cable Schedule'!$K$2:$K$6271,A93)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Schedule'!$AA$2:$AA$6271,'Cable Schedule'!$K$2:$K$6271,A94)</f>
        <v/>
      </c>
      <c r="G94" s="17">
        <f>SUMIFS('Cable Schedule'!$W$2:$W$6271,'Cable Schedule'!$K$2:$K$6271,A94)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Schedule'!$AA$2:$AA$6271,'Cable Schedule'!$K$2:$K$6271,A95)</f>
        <v/>
      </c>
      <c r="G95" s="17">
        <f>SUMIFS('Cable Schedule'!$W$2:$W$6271,'Cable Schedule'!$K$2:$K$6271,A95)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Schedule'!$AA$2:$AA$6271,'Cable Schedule'!$K$2:$K$6271,A96)</f>
        <v/>
      </c>
      <c r="G96" s="17">
        <f>SUMIFS('Cable Schedule'!$W$2:$W$6271,'Cable Schedule'!$K$2:$K$6271,A96)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Schedule'!$AA$2:$AA$6271,'Cable Schedule'!$K$2:$K$6271,A97)</f>
        <v/>
      </c>
      <c r="G97" s="17">
        <f>SUMIFS('Cable Schedule'!$W$2:$W$6271,'Cable Schedule'!$K$2:$K$6271,A97)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Schedule'!$AA$2:$AA$6271,'Cable Schedule'!$K$2:$K$6271,A98)</f>
        <v/>
      </c>
      <c r="G98" s="17">
        <f>SUMIFS('Cable Schedule'!$W$2:$W$6271,'Cable Schedule'!$K$2:$K$6271,A98)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Schedule'!$AA$2:$AA$6271,'Cable Schedule'!$K$2:$K$6271,A99)</f>
        <v/>
      </c>
      <c r="G99" s="17">
        <f>SUMIFS('Cable Schedule'!$W$2:$W$6271,'Cable Schedule'!$K$2:$K$6271,A99)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Schedule'!$AA$2:$AA$6271,'Cable Schedule'!$K$2:$K$6271,A100)</f>
        <v/>
      </c>
      <c r="G100" s="17">
        <f>SUMIFS('Cable Schedule'!$W$2:$W$6271,'Cable Schedule'!$K$2:$K$6271,A100)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Schedule'!X2:X6271)</f>
        <v/>
      </c>
    </row>
    <row r="3">
      <c r="A3" s="12" t="inlineStr">
        <is>
          <t>ARMOR-X / Type W connectors and glands</t>
        </is>
      </c>
      <c r="B3" s="17">
        <f>SUM('Cable Schedule'!Y2:Y6271)</f>
        <v/>
      </c>
    </row>
    <row r="4">
      <c r="A4" s="12" t="inlineStr">
        <is>
          <t>MV splice kits (allowance: 1 per 2,500 ft of MV 1/C)</t>
        </is>
      </c>
      <c r="B4" s="17">
        <f>ROUNDUP(SUMIFS('Cable Schedule'!W2:W6271,'Cable Schedule'!I2:I6271,"MV*",'Cable Schedule'!L2:L6271,"1/C")/2500,0)</f>
        <v/>
      </c>
    </row>
    <row r="5">
      <c r="A5" s="12" t="inlineStr">
        <is>
          <t>230 kV outdoor terminations</t>
        </is>
      </c>
      <c r="B5" s="17">
        <f>2*SUMIFS('Cable Schedule'!O2:O6271,'Cable Schedule'!I2:I6271,"HV 230 kV")</f>
        <v/>
      </c>
    </row>
    <row r="6">
      <c r="A6" s="12" t="inlineStr">
        <is>
          <t>600 V compression lugs (power, 4 per end)</t>
        </is>
      </c>
      <c r="B6" s="17">
        <f>2*4*SUMIFS('Cable Schedule'!N2:N6271,'Cable Schedule'!I2:I6271,"LV 600 V")</f>
        <v/>
      </c>
    </row>
    <row r="7">
      <c r="A7" s="12" t="inlineStr">
        <is>
          <t>Instrument / control cable glands (2 per run)</t>
        </is>
      </c>
      <c r="B7" s="17">
        <f>2*(COUNTIF('Cable Schedule'!I2:I6271,"Control")+COUNTIF('Cable Schedule'!I2:I6271,"Instrumentation"))</f>
        <v/>
      </c>
    </row>
    <row r="8">
      <c r="A8" s="12" t="inlineStr">
        <is>
          <t>Fibre patch / termination (2 per link)</t>
        </is>
      </c>
      <c r="B8" s="17">
        <f>2*COUNTIF('Cable Schedule'!I2:I6271,"Fibre / data")</f>
        <v/>
      </c>
    </row>
    <row r="9">
      <c r="A9" s="12" t="inlineStr">
        <is>
          <t>Ground connections: exothermic welds (allowance 1 per 25 ft of grid)</t>
        </is>
      </c>
      <c r="B9" s="17">
        <f>ROUNDUP(SUMIFS('Cable Schedule'!W2:W6271,'Cable Schedule'!I2:I6271,"Grounding")/25,0)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Schedule'!$W$2:$W$6271,'Cable Schedule'!$B$2:$B$6271,"A",'Cable Schedule'!$I$2:$I$6271,"MV 15 kV")</f>
        <v/>
      </c>
      <c r="C3" s="17">
        <f>SUMIFS('Cable Schedule'!$W$2:$W$6271,'Cable Schedule'!$B$2:$B$6271,"A",'Cable Schedule'!$I$2:$I$6271,"MV 5 kV")</f>
        <v/>
      </c>
      <c r="D3" s="17">
        <f>SUMIFS('Cable Schedule'!$W$2:$W$6271,'Cable Schedule'!$B$2:$B$6271,"A",'Cable Schedule'!$I$2:$I$6271,"MV 25 kV")</f>
        <v/>
      </c>
      <c r="E3" s="17">
        <f>SUMIFS('Cable Schedule'!$W$2:$W$6271,'Cable Schedule'!$B$2:$B$6271,"A",'Cable Schedule'!$I$2:$I$6271,"MV 35 kV")</f>
        <v/>
      </c>
      <c r="F3" s="17">
        <f>SUMIFS('Cable Schedule'!$W$2:$W$6271,'Cable Schedule'!$B$2:$B$6271,"A",'Cable Schedule'!$I$2:$I$6271,"HV 230 kV")</f>
        <v/>
      </c>
      <c r="G3" s="17">
        <f>SUMIFS('Cable Schedule'!$W$2:$W$6271,'Cable Schedule'!$B$2:$B$6271,"A",'Cable Schedule'!$I$2:$I$6271,"LV 600 V")</f>
        <v/>
      </c>
      <c r="H3" s="17">
        <f>SUMIFS('Cable Schedule'!$W$2:$W$6271,'Cable Schedule'!$B$2:$B$6271,"A",'Cable Schedule'!$I$2:$I$6271,"Control")</f>
        <v/>
      </c>
      <c r="I3" s="17">
        <f>SUMIFS('Cable Schedule'!$W$2:$W$6271,'Cable Schedule'!$B$2:$B$6271,"A",'Cable Schedule'!$I$2:$I$6271,"Instrumentation")</f>
        <v/>
      </c>
      <c r="J3" s="17">
        <f>SUMIFS('Cable Schedule'!$W$2:$W$6271,'Cable Schedule'!$B$2:$B$6271,"A",'Cable Schedule'!$I$2:$I$6271,"Fire alarm")</f>
        <v/>
      </c>
      <c r="K3" s="17">
        <f>SUMIFS('Cable Schedule'!$W$2:$W$6271,'Cable Schedule'!$B$2:$B$6271,"A",'Cable Schedule'!$I$2:$I$6271,"Fibre / data")</f>
        <v/>
      </c>
      <c r="L3" s="17">
        <f>SUMIFS('Cable Schedule'!$W$2:$W$6271,'Cable Schedule'!$B$2:$B$6271,"A",'Cable Schedule'!$I$2:$I$6271,"DC 2 kV")</f>
        <v/>
      </c>
      <c r="M3" s="17">
        <f>SUMIFS('Cable Schedule'!$W$2:$W$6271,'Cable Schedule'!$B$2:$B$6271,"A",'Cable Schedule'!$I$2:$I$6271,"Portable MV")</f>
        <v/>
      </c>
      <c r="N3" s="17">
        <f>SUMIFS('Cable Schedule'!$W$2:$W$6271,'Cable Schedule'!$B$2:$B$6271,"A",'Cable Schedule'!$I$2:$I$6271,"Portable LV")</f>
        <v/>
      </c>
      <c r="O3" s="17">
        <f>SUMIFS('Cable Schedule'!$W$2:$W$6271,'Cable Schedule'!$B$2:$B$6271,"A",'Cable Schedule'!$I$2:$I$6271,"Building wire")</f>
        <v/>
      </c>
      <c r="P3" s="17">
        <f>SUMIFS('Cable Schedule'!$W$2:$W$6271,'Cable Schedule'!$B$2:$B$6271,"A",'Cable Schedule'!$I$2:$I$6271,"Grounding")</f>
        <v/>
      </c>
      <c r="Q3" s="17">
        <f>SUMIFS('Cable Schedule'!$W$2:$W$6271,'Cable Schedule'!$B$2:$B$6271,"A",'Cable Schedule'!$I$2:$I$6271,"Overhead")</f>
        <v/>
      </c>
      <c r="R3" s="27">
        <f>SUM(B3:Q3)</f>
        <v/>
      </c>
    </row>
    <row r="4">
      <c r="A4" s="12" t="inlineStr">
        <is>
          <t>B  ACC</t>
        </is>
      </c>
      <c r="B4" s="17">
        <f>SUMIFS('Cable Schedule'!$W$2:$W$6271,'Cable Schedule'!$B$2:$B$6271,"B",'Cable Schedule'!$I$2:$I$6271,"MV 15 kV")</f>
        <v/>
      </c>
      <c r="C4" s="17">
        <f>SUMIFS('Cable Schedule'!$W$2:$W$6271,'Cable Schedule'!$B$2:$B$6271,"B",'Cable Schedule'!$I$2:$I$6271,"MV 5 kV")</f>
        <v/>
      </c>
      <c r="D4" s="17">
        <f>SUMIFS('Cable Schedule'!$W$2:$W$6271,'Cable Schedule'!$B$2:$B$6271,"B",'Cable Schedule'!$I$2:$I$6271,"MV 25 kV")</f>
        <v/>
      </c>
      <c r="E4" s="17">
        <f>SUMIFS('Cable Schedule'!$W$2:$W$6271,'Cable Schedule'!$B$2:$B$6271,"B",'Cable Schedule'!$I$2:$I$6271,"MV 35 kV")</f>
        <v/>
      </c>
      <c r="F4" s="17">
        <f>SUMIFS('Cable Schedule'!$W$2:$W$6271,'Cable Schedule'!$B$2:$B$6271,"B",'Cable Schedule'!$I$2:$I$6271,"HV 230 kV")</f>
        <v/>
      </c>
      <c r="G4" s="17">
        <f>SUMIFS('Cable Schedule'!$W$2:$W$6271,'Cable Schedule'!$B$2:$B$6271,"B",'Cable Schedule'!$I$2:$I$6271,"LV 600 V")</f>
        <v/>
      </c>
      <c r="H4" s="17">
        <f>SUMIFS('Cable Schedule'!$W$2:$W$6271,'Cable Schedule'!$B$2:$B$6271,"B",'Cable Schedule'!$I$2:$I$6271,"Control")</f>
        <v/>
      </c>
      <c r="I4" s="17">
        <f>SUMIFS('Cable Schedule'!$W$2:$W$6271,'Cable Schedule'!$B$2:$B$6271,"B",'Cable Schedule'!$I$2:$I$6271,"Instrumentation")</f>
        <v/>
      </c>
      <c r="J4" s="17">
        <f>SUMIFS('Cable Schedule'!$W$2:$W$6271,'Cable Schedule'!$B$2:$B$6271,"B",'Cable Schedule'!$I$2:$I$6271,"Fire alarm")</f>
        <v/>
      </c>
      <c r="K4" s="17">
        <f>SUMIFS('Cable Schedule'!$W$2:$W$6271,'Cable Schedule'!$B$2:$B$6271,"B",'Cable Schedule'!$I$2:$I$6271,"Fibre / data")</f>
        <v/>
      </c>
      <c r="L4" s="17">
        <f>SUMIFS('Cable Schedule'!$W$2:$W$6271,'Cable Schedule'!$B$2:$B$6271,"B",'Cable Schedule'!$I$2:$I$6271,"DC 2 kV")</f>
        <v/>
      </c>
      <c r="M4" s="17">
        <f>SUMIFS('Cable Schedule'!$W$2:$W$6271,'Cable Schedule'!$B$2:$B$6271,"B",'Cable Schedule'!$I$2:$I$6271,"Portable MV")</f>
        <v/>
      </c>
      <c r="N4" s="17">
        <f>SUMIFS('Cable Schedule'!$W$2:$W$6271,'Cable Schedule'!$B$2:$B$6271,"B",'Cable Schedule'!$I$2:$I$6271,"Portable LV")</f>
        <v/>
      </c>
      <c r="O4" s="17">
        <f>SUMIFS('Cable Schedule'!$W$2:$W$6271,'Cable Schedule'!$B$2:$B$6271,"B",'Cable Schedule'!$I$2:$I$6271,"Building wire")</f>
        <v/>
      </c>
      <c r="P4" s="17">
        <f>SUMIFS('Cable Schedule'!$W$2:$W$6271,'Cable Schedule'!$B$2:$B$6271,"B",'Cable Schedule'!$I$2:$I$6271,"Grounding")</f>
        <v/>
      </c>
      <c r="Q4" s="17">
        <f>SUMIFS('Cable Schedule'!$W$2:$W$6271,'Cable Schedule'!$B$2:$B$6271,"B",'Cable Schedule'!$I$2:$I$6271,"Overhead")</f>
        <v/>
      </c>
      <c r="R4" s="27">
        <f>SUM(B4:Q4)</f>
        <v/>
      </c>
    </row>
    <row r="5">
      <c r="A5" s="12" t="inlineStr">
        <is>
          <t>C  Grid interface</t>
        </is>
      </c>
      <c r="B5" s="17">
        <f>SUMIFS('Cable Schedule'!$W$2:$W$6271,'Cable Schedule'!$B$2:$B$6271,"C",'Cable Schedule'!$I$2:$I$6271,"MV 15 kV")</f>
        <v/>
      </c>
      <c r="C5" s="17">
        <f>SUMIFS('Cable Schedule'!$W$2:$W$6271,'Cable Schedule'!$B$2:$B$6271,"C",'Cable Schedule'!$I$2:$I$6271,"MV 5 kV")</f>
        <v/>
      </c>
      <c r="D5" s="17">
        <f>SUMIFS('Cable Schedule'!$W$2:$W$6271,'Cable Schedule'!$B$2:$B$6271,"C",'Cable Schedule'!$I$2:$I$6271,"MV 25 kV")</f>
        <v/>
      </c>
      <c r="E5" s="17">
        <f>SUMIFS('Cable Schedule'!$W$2:$W$6271,'Cable Schedule'!$B$2:$B$6271,"C",'Cable Schedule'!$I$2:$I$6271,"MV 35 kV")</f>
        <v/>
      </c>
      <c r="F5" s="17">
        <f>SUMIFS('Cable Schedule'!$W$2:$W$6271,'Cable Schedule'!$B$2:$B$6271,"C",'Cable Schedule'!$I$2:$I$6271,"HV 230 kV")</f>
        <v/>
      </c>
      <c r="G5" s="17">
        <f>SUMIFS('Cable Schedule'!$W$2:$W$6271,'Cable Schedule'!$B$2:$B$6271,"C",'Cable Schedule'!$I$2:$I$6271,"LV 600 V")</f>
        <v/>
      </c>
      <c r="H5" s="17">
        <f>SUMIFS('Cable Schedule'!$W$2:$W$6271,'Cable Schedule'!$B$2:$B$6271,"C",'Cable Schedule'!$I$2:$I$6271,"Control")</f>
        <v/>
      </c>
      <c r="I5" s="17">
        <f>SUMIFS('Cable Schedule'!$W$2:$W$6271,'Cable Schedule'!$B$2:$B$6271,"C",'Cable Schedule'!$I$2:$I$6271,"Instrumentation")</f>
        <v/>
      </c>
      <c r="J5" s="17">
        <f>SUMIFS('Cable Schedule'!$W$2:$W$6271,'Cable Schedule'!$B$2:$B$6271,"C",'Cable Schedule'!$I$2:$I$6271,"Fire alarm")</f>
        <v/>
      </c>
      <c r="K5" s="17">
        <f>SUMIFS('Cable Schedule'!$W$2:$W$6271,'Cable Schedule'!$B$2:$B$6271,"C",'Cable Schedule'!$I$2:$I$6271,"Fibre / data")</f>
        <v/>
      </c>
      <c r="L5" s="17">
        <f>SUMIFS('Cable Schedule'!$W$2:$W$6271,'Cable Schedule'!$B$2:$B$6271,"C",'Cable Schedule'!$I$2:$I$6271,"DC 2 kV")</f>
        <v/>
      </c>
      <c r="M5" s="17">
        <f>SUMIFS('Cable Schedule'!$W$2:$W$6271,'Cable Schedule'!$B$2:$B$6271,"C",'Cable Schedule'!$I$2:$I$6271,"Portable MV")</f>
        <v/>
      </c>
      <c r="N5" s="17">
        <f>SUMIFS('Cable Schedule'!$W$2:$W$6271,'Cable Schedule'!$B$2:$B$6271,"C",'Cable Schedule'!$I$2:$I$6271,"Portable LV")</f>
        <v/>
      </c>
      <c r="O5" s="17">
        <f>SUMIFS('Cable Schedule'!$W$2:$W$6271,'Cable Schedule'!$B$2:$B$6271,"C",'Cable Schedule'!$I$2:$I$6271,"Building wire")</f>
        <v/>
      </c>
      <c r="P5" s="17">
        <f>SUMIFS('Cable Schedule'!$W$2:$W$6271,'Cable Schedule'!$B$2:$B$6271,"C",'Cable Schedule'!$I$2:$I$6271,"Grounding")</f>
        <v/>
      </c>
      <c r="Q5" s="17">
        <f>SUMIFS('Cable Schedule'!$W$2:$W$6271,'Cable Schedule'!$B$2:$B$6271,"C",'Cable Schedule'!$I$2:$I$6271,"Overhead")</f>
        <v/>
      </c>
      <c r="R5" s="27">
        <f>SUM(B5:Q5)</f>
        <v/>
      </c>
    </row>
    <row r="6">
      <c r="A6" s="12" t="inlineStr">
        <is>
          <t>D  Fuel gas</t>
        </is>
      </c>
      <c r="B6" s="17">
        <f>SUMIFS('Cable Schedule'!$W$2:$W$6271,'Cable Schedule'!$B$2:$B$6271,"D",'Cable Schedule'!$I$2:$I$6271,"MV 15 kV")</f>
        <v/>
      </c>
      <c r="C6" s="17">
        <f>SUMIFS('Cable Schedule'!$W$2:$W$6271,'Cable Schedule'!$B$2:$B$6271,"D",'Cable Schedule'!$I$2:$I$6271,"MV 5 kV")</f>
        <v/>
      </c>
      <c r="D6" s="17">
        <f>SUMIFS('Cable Schedule'!$W$2:$W$6271,'Cable Schedule'!$B$2:$B$6271,"D",'Cable Schedule'!$I$2:$I$6271,"MV 25 kV")</f>
        <v/>
      </c>
      <c r="E6" s="17">
        <f>SUMIFS('Cable Schedule'!$W$2:$W$6271,'Cable Schedule'!$B$2:$B$6271,"D",'Cable Schedule'!$I$2:$I$6271,"MV 35 kV")</f>
        <v/>
      </c>
      <c r="F6" s="17">
        <f>SUMIFS('Cable Schedule'!$W$2:$W$6271,'Cable Schedule'!$B$2:$B$6271,"D",'Cable Schedule'!$I$2:$I$6271,"HV 230 kV")</f>
        <v/>
      </c>
      <c r="G6" s="17">
        <f>SUMIFS('Cable Schedule'!$W$2:$W$6271,'Cable Schedule'!$B$2:$B$6271,"D",'Cable Schedule'!$I$2:$I$6271,"LV 600 V")</f>
        <v/>
      </c>
      <c r="H6" s="17">
        <f>SUMIFS('Cable Schedule'!$W$2:$W$6271,'Cable Schedule'!$B$2:$B$6271,"D",'Cable Schedule'!$I$2:$I$6271,"Control")</f>
        <v/>
      </c>
      <c r="I6" s="17">
        <f>SUMIFS('Cable Schedule'!$W$2:$W$6271,'Cable Schedule'!$B$2:$B$6271,"D",'Cable Schedule'!$I$2:$I$6271,"Instrumentation")</f>
        <v/>
      </c>
      <c r="J6" s="17">
        <f>SUMIFS('Cable Schedule'!$W$2:$W$6271,'Cable Schedule'!$B$2:$B$6271,"D",'Cable Schedule'!$I$2:$I$6271,"Fire alarm")</f>
        <v/>
      </c>
      <c r="K6" s="17">
        <f>SUMIFS('Cable Schedule'!$W$2:$W$6271,'Cable Schedule'!$B$2:$B$6271,"D",'Cable Schedule'!$I$2:$I$6271,"Fibre / data")</f>
        <v/>
      </c>
      <c r="L6" s="17">
        <f>SUMIFS('Cable Schedule'!$W$2:$W$6271,'Cable Schedule'!$B$2:$B$6271,"D",'Cable Schedule'!$I$2:$I$6271,"DC 2 kV")</f>
        <v/>
      </c>
      <c r="M6" s="17">
        <f>SUMIFS('Cable Schedule'!$W$2:$W$6271,'Cable Schedule'!$B$2:$B$6271,"D",'Cable Schedule'!$I$2:$I$6271,"Portable MV")</f>
        <v/>
      </c>
      <c r="N6" s="17">
        <f>SUMIFS('Cable Schedule'!$W$2:$W$6271,'Cable Schedule'!$B$2:$B$6271,"D",'Cable Schedule'!$I$2:$I$6271,"Portable LV")</f>
        <v/>
      </c>
      <c r="O6" s="17">
        <f>SUMIFS('Cable Schedule'!$W$2:$W$6271,'Cable Schedule'!$B$2:$B$6271,"D",'Cable Schedule'!$I$2:$I$6271,"Building wire")</f>
        <v/>
      </c>
      <c r="P6" s="17">
        <f>SUMIFS('Cable Schedule'!$W$2:$W$6271,'Cable Schedule'!$B$2:$B$6271,"D",'Cable Schedule'!$I$2:$I$6271,"Grounding")</f>
        <v/>
      </c>
      <c r="Q6" s="17">
        <f>SUMIFS('Cable Schedule'!$W$2:$W$6271,'Cable Schedule'!$B$2:$B$6271,"D",'Cable Schedule'!$I$2:$I$6271,"Overhead")</f>
        <v/>
      </c>
      <c r="R6" s="27">
        <f>SUM(B6:Q6)</f>
        <v/>
      </c>
    </row>
    <row r="7">
      <c r="A7" s="12" t="inlineStr">
        <is>
          <t>E  Water / utilities</t>
        </is>
      </c>
      <c r="B7" s="17">
        <f>SUMIFS('Cable Schedule'!$W$2:$W$6271,'Cable Schedule'!$B$2:$B$6271,"E",'Cable Schedule'!$I$2:$I$6271,"MV 15 kV")</f>
        <v/>
      </c>
      <c r="C7" s="17">
        <f>SUMIFS('Cable Schedule'!$W$2:$W$6271,'Cable Schedule'!$B$2:$B$6271,"E",'Cable Schedule'!$I$2:$I$6271,"MV 5 kV")</f>
        <v/>
      </c>
      <c r="D7" s="17">
        <f>SUMIFS('Cable Schedule'!$W$2:$W$6271,'Cable Schedule'!$B$2:$B$6271,"E",'Cable Schedule'!$I$2:$I$6271,"MV 25 kV")</f>
        <v/>
      </c>
      <c r="E7" s="17">
        <f>SUMIFS('Cable Schedule'!$W$2:$W$6271,'Cable Schedule'!$B$2:$B$6271,"E",'Cable Schedule'!$I$2:$I$6271,"MV 35 kV")</f>
        <v/>
      </c>
      <c r="F7" s="17">
        <f>SUMIFS('Cable Schedule'!$W$2:$W$6271,'Cable Schedule'!$B$2:$B$6271,"E",'Cable Schedule'!$I$2:$I$6271,"HV 230 kV")</f>
        <v/>
      </c>
      <c r="G7" s="17">
        <f>SUMIFS('Cable Schedule'!$W$2:$W$6271,'Cable Schedule'!$B$2:$B$6271,"E",'Cable Schedule'!$I$2:$I$6271,"LV 600 V")</f>
        <v/>
      </c>
      <c r="H7" s="17">
        <f>SUMIFS('Cable Schedule'!$W$2:$W$6271,'Cable Schedule'!$B$2:$B$6271,"E",'Cable Schedule'!$I$2:$I$6271,"Control")</f>
        <v/>
      </c>
      <c r="I7" s="17">
        <f>SUMIFS('Cable Schedule'!$W$2:$W$6271,'Cable Schedule'!$B$2:$B$6271,"E",'Cable Schedule'!$I$2:$I$6271,"Instrumentation")</f>
        <v/>
      </c>
      <c r="J7" s="17">
        <f>SUMIFS('Cable Schedule'!$W$2:$W$6271,'Cable Schedule'!$B$2:$B$6271,"E",'Cable Schedule'!$I$2:$I$6271,"Fire alarm")</f>
        <v/>
      </c>
      <c r="K7" s="17">
        <f>SUMIFS('Cable Schedule'!$W$2:$W$6271,'Cable Schedule'!$B$2:$B$6271,"E",'Cable Schedule'!$I$2:$I$6271,"Fibre / data")</f>
        <v/>
      </c>
      <c r="L7" s="17">
        <f>SUMIFS('Cable Schedule'!$W$2:$W$6271,'Cable Schedule'!$B$2:$B$6271,"E",'Cable Schedule'!$I$2:$I$6271,"DC 2 kV")</f>
        <v/>
      </c>
      <c r="M7" s="17">
        <f>SUMIFS('Cable Schedule'!$W$2:$W$6271,'Cable Schedule'!$B$2:$B$6271,"E",'Cable Schedule'!$I$2:$I$6271,"Portable MV")</f>
        <v/>
      </c>
      <c r="N7" s="17">
        <f>SUMIFS('Cable Schedule'!$W$2:$W$6271,'Cable Schedule'!$B$2:$B$6271,"E",'Cable Schedule'!$I$2:$I$6271,"Portable LV")</f>
        <v/>
      </c>
      <c r="O7" s="17">
        <f>SUMIFS('Cable Schedule'!$W$2:$W$6271,'Cable Schedule'!$B$2:$B$6271,"E",'Cable Schedule'!$I$2:$I$6271,"Building wire")</f>
        <v/>
      </c>
      <c r="P7" s="17">
        <f>SUMIFS('Cable Schedule'!$W$2:$W$6271,'Cable Schedule'!$B$2:$B$6271,"E",'Cable Schedule'!$I$2:$I$6271,"Grounding")</f>
        <v/>
      </c>
      <c r="Q7" s="17">
        <f>SUMIFS('Cable Schedule'!$W$2:$W$6271,'Cable Schedule'!$B$2:$B$6271,"E",'Cable Schedule'!$I$2:$I$6271,"Overhead")</f>
        <v/>
      </c>
      <c r="R7" s="27">
        <f>SUM(B7:Q7)</f>
        <v/>
      </c>
    </row>
    <row r="8">
      <c r="A8" s="12" t="inlineStr">
        <is>
          <t>F  Controls / service</t>
        </is>
      </c>
      <c r="B8" s="17">
        <f>SUMIFS('Cable Schedule'!$W$2:$W$6271,'Cable Schedule'!$B$2:$B$6271,"F",'Cable Schedule'!$I$2:$I$6271,"MV 15 kV")</f>
        <v/>
      </c>
      <c r="C8" s="17">
        <f>SUMIFS('Cable Schedule'!$W$2:$W$6271,'Cable Schedule'!$B$2:$B$6271,"F",'Cable Schedule'!$I$2:$I$6271,"MV 5 kV")</f>
        <v/>
      </c>
      <c r="D8" s="17">
        <f>SUMIFS('Cable Schedule'!$W$2:$W$6271,'Cable Schedule'!$B$2:$B$6271,"F",'Cable Schedule'!$I$2:$I$6271,"MV 25 kV")</f>
        <v/>
      </c>
      <c r="E8" s="17">
        <f>SUMIFS('Cable Schedule'!$W$2:$W$6271,'Cable Schedule'!$B$2:$B$6271,"F",'Cable Schedule'!$I$2:$I$6271,"MV 35 kV")</f>
        <v/>
      </c>
      <c r="F8" s="17">
        <f>SUMIFS('Cable Schedule'!$W$2:$W$6271,'Cable Schedule'!$B$2:$B$6271,"F",'Cable Schedule'!$I$2:$I$6271,"HV 230 kV")</f>
        <v/>
      </c>
      <c r="G8" s="17">
        <f>SUMIFS('Cable Schedule'!$W$2:$W$6271,'Cable Schedule'!$B$2:$B$6271,"F",'Cable Schedule'!$I$2:$I$6271,"LV 600 V")</f>
        <v/>
      </c>
      <c r="H8" s="17">
        <f>SUMIFS('Cable Schedule'!$W$2:$W$6271,'Cable Schedule'!$B$2:$B$6271,"F",'Cable Schedule'!$I$2:$I$6271,"Control")</f>
        <v/>
      </c>
      <c r="I8" s="17">
        <f>SUMIFS('Cable Schedule'!$W$2:$W$6271,'Cable Schedule'!$B$2:$B$6271,"F",'Cable Schedule'!$I$2:$I$6271,"Instrumentation")</f>
        <v/>
      </c>
      <c r="J8" s="17">
        <f>SUMIFS('Cable Schedule'!$W$2:$W$6271,'Cable Schedule'!$B$2:$B$6271,"F",'Cable Schedule'!$I$2:$I$6271,"Fire alarm")</f>
        <v/>
      </c>
      <c r="K8" s="17">
        <f>SUMIFS('Cable Schedule'!$W$2:$W$6271,'Cable Schedule'!$B$2:$B$6271,"F",'Cable Schedule'!$I$2:$I$6271,"Fibre / data")</f>
        <v/>
      </c>
      <c r="L8" s="17">
        <f>SUMIFS('Cable Schedule'!$W$2:$W$6271,'Cable Schedule'!$B$2:$B$6271,"F",'Cable Schedule'!$I$2:$I$6271,"DC 2 kV")</f>
        <v/>
      </c>
      <c r="M8" s="17">
        <f>SUMIFS('Cable Schedule'!$W$2:$W$6271,'Cable Schedule'!$B$2:$B$6271,"F",'Cable Schedule'!$I$2:$I$6271,"Portable MV")</f>
        <v/>
      </c>
      <c r="N8" s="17">
        <f>SUMIFS('Cable Schedule'!$W$2:$W$6271,'Cable Schedule'!$B$2:$B$6271,"F",'Cable Schedule'!$I$2:$I$6271,"Portable LV")</f>
        <v/>
      </c>
      <c r="O8" s="17">
        <f>SUMIFS('Cable Schedule'!$W$2:$W$6271,'Cable Schedule'!$B$2:$B$6271,"F",'Cable Schedule'!$I$2:$I$6271,"Building wire")</f>
        <v/>
      </c>
      <c r="P8" s="17">
        <f>SUMIFS('Cable Schedule'!$W$2:$W$6271,'Cable Schedule'!$B$2:$B$6271,"F",'Cable Schedule'!$I$2:$I$6271,"Grounding")</f>
        <v/>
      </c>
      <c r="Q8" s="17">
        <f>SUMIFS('Cable Schedule'!$W$2:$W$6271,'Cable Schedule'!$B$2:$B$6271,"F",'Cable Schedule'!$I$2:$I$6271,"Overhead")</f>
        <v/>
      </c>
      <c r="R8" s="27">
        <f>SUM(B8:Q8)</f>
        <v/>
      </c>
    </row>
    <row r="9">
      <c r="A9" s="12" t="inlineStr">
        <is>
          <t>G  Carbon capture</t>
        </is>
      </c>
      <c r="B9" s="17">
        <f>SUMIFS('Cable Schedule'!$W$2:$W$6271,'Cable Schedule'!$B$2:$B$6271,"G",'Cable Schedule'!$I$2:$I$6271,"MV 15 kV")</f>
        <v/>
      </c>
      <c r="C9" s="17">
        <f>SUMIFS('Cable Schedule'!$W$2:$W$6271,'Cable Schedule'!$B$2:$B$6271,"G",'Cable Schedule'!$I$2:$I$6271,"MV 5 kV")</f>
        <v/>
      </c>
      <c r="D9" s="17">
        <f>SUMIFS('Cable Schedule'!$W$2:$W$6271,'Cable Schedule'!$B$2:$B$6271,"G",'Cable Schedule'!$I$2:$I$6271,"MV 25 kV")</f>
        <v/>
      </c>
      <c r="E9" s="17">
        <f>SUMIFS('Cable Schedule'!$W$2:$W$6271,'Cable Schedule'!$B$2:$B$6271,"G",'Cable Schedule'!$I$2:$I$6271,"MV 35 kV")</f>
        <v/>
      </c>
      <c r="F9" s="17">
        <f>SUMIFS('Cable Schedule'!$W$2:$W$6271,'Cable Schedule'!$B$2:$B$6271,"G",'Cable Schedule'!$I$2:$I$6271,"HV 230 kV")</f>
        <v/>
      </c>
      <c r="G9" s="17">
        <f>SUMIFS('Cable Schedule'!$W$2:$W$6271,'Cable Schedule'!$B$2:$B$6271,"G",'Cable Schedule'!$I$2:$I$6271,"LV 600 V")</f>
        <v/>
      </c>
      <c r="H9" s="17">
        <f>SUMIFS('Cable Schedule'!$W$2:$W$6271,'Cable Schedule'!$B$2:$B$6271,"G",'Cable Schedule'!$I$2:$I$6271,"Control")</f>
        <v/>
      </c>
      <c r="I9" s="17">
        <f>SUMIFS('Cable Schedule'!$W$2:$W$6271,'Cable Schedule'!$B$2:$B$6271,"G",'Cable Schedule'!$I$2:$I$6271,"Instrumentation")</f>
        <v/>
      </c>
      <c r="J9" s="17">
        <f>SUMIFS('Cable Schedule'!$W$2:$W$6271,'Cable Schedule'!$B$2:$B$6271,"G",'Cable Schedule'!$I$2:$I$6271,"Fire alarm")</f>
        <v/>
      </c>
      <c r="K9" s="17">
        <f>SUMIFS('Cable Schedule'!$W$2:$W$6271,'Cable Schedule'!$B$2:$B$6271,"G",'Cable Schedule'!$I$2:$I$6271,"Fibre / data")</f>
        <v/>
      </c>
      <c r="L9" s="17">
        <f>SUMIFS('Cable Schedule'!$W$2:$W$6271,'Cable Schedule'!$B$2:$B$6271,"G",'Cable Schedule'!$I$2:$I$6271,"DC 2 kV")</f>
        <v/>
      </c>
      <c r="M9" s="17">
        <f>SUMIFS('Cable Schedule'!$W$2:$W$6271,'Cable Schedule'!$B$2:$B$6271,"G",'Cable Schedule'!$I$2:$I$6271,"Portable MV")</f>
        <v/>
      </c>
      <c r="N9" s="17">
        <f>SUMIFS('Cable Schedule'!$W$2:$W$6271,'Cable Schedule'!$B$2:$B$6271,"G",'Cable Schedule'!$I$2:$I$6271,"Portable LV")</f>
        <v/>
      </c>
      <c r="O9" s="17">
        <f>SUMIFS('Cable Schedule'!$W$2:$W$6271,'Cable Schedule'!$B$2:$B$6271,"G",'Cable Schedule'!$I$2:$I$6271,"Building wire")</f>
        <v/>
      </c>
      <c r="P9" s="17">
        <f>SUMIFS('Cable Schedule'!$W$2:$W$6271,'Cable Schedule'!$B$2:$B$6271,"G",'Cable Schedule'!$I$2:$I$6271,"Grounding")</f>
        <v/>
      </c>
      <c r="Q9" s="17">
        <f>SUMIFS('Cable Schedule'!$W$2:$W$6271,'Cable Schedule'!$B$2:$B$6271,"G",'Cable Schedule'!$I$2:$I$6271,"Overhead")</f>
        <v/>
      </c>
      <c r="R9" s="27">
        <f>SUM(B9:Q9)</f>
        <v/>
      </c>
    </row>
    <row r="10">
      <c r="A10" s="12" t="inlineStr">
        <is>
          <t>H  BESS</t>
        </is>
      </c>
      <c r="B10" s="17">
        <f>SUMIFS('Cable Schedule'!$W$2:$W$6271,'Cable Schedule'!$B$2:$B$6271,"H",'Cable Schedule'!$I$2:$I$6271,"MV 15 kV")</f>
        <v/>
      </c>
      <c r="C10" s="17">
        <f>SUMIFS('Cable Schedule'!$W$2:$W$6271,'Cable Schedule'!$B$2:$B$6271,"H",'Cable Schedule'!$I$2:$I$6271,"MV 5 kV")</f>
        <v/>
      </c>
      <c r="D10" s="17">
        <f>SUMIFS('Cable Schedule'!$W$2:$W$6271,'Cable Schedule'!$B$2:$B$6271,"H",'Cable Schedule'!$I$2:$I$6271,"MV 25 kV")</f>
        <v/>
      </c>
      <c r="E10" s="17">
        <f>SUMIFS('Cable Schedule'!$W$2:$W$6271,'Cable Schedule'!$B$2:$B$6271,"H",'Cable Schedule'!$I$2:$I$6271,"MV 35 kV")</f>
        <v/>
      </c>
      <c r="F10" s="17">
        <f>SUMIFS('Cable Schedule'!$W$2:$W$6271,'Cable Schedule'!$B$2:$B$6271,"H",'Cable Schedule'!$I$2:$I$6271,"HV 230 kV")</f>
        <v/>
      </c>
      <c r="G10" s="17">
        <f>SUMIFS('Cable Schedule'!$W$2:$W$6271,'Cable Schedule'!$B$2:$B$6271,"H",'Cable Schedule'!$I$2:$I$6271,"LV 600 V")</f>
        <v/>
      </c>
      <c r="H10" s="17">
        <f>SUMIFS('Cable Schedule'!$W$2:$W$6271,'Cable Schedule'!$B$2:$B$6271,"H",'Cable Schedule'!$I$2:$I$6271,"Control")</f>
        <v/>
      </c>
      <c r="I10" s="17">
        <f>SUMIFS('Cable Schedule'!$W$2:$W$6271,'Cable Schedule'!$B$2:$B$6271,"H",'Cable Schedule'!$I$2:$I$6271,"Instrumentation")</f>
        <v/>
      </c>
      <c r="J10" s="17">
        <f>SUMIFS('Cable Schedule'!$W$2:$W$6271,'Cable Schedule'!$B$2:$B$6271,"H",'Cable Schedule'!$I$2:$I$6271,"Fire alarm")</f>
        <v/>
      </c>
      <c r="K10" s="17">
        <f>SUMIFS('Cable Schedule'!$W$2:$W$6271,'Cable Schedule'!$B$2:$B$6271,"H",'Cable Schedule'!$I$2:$I$6271,"Fibre / data")</f>
        <v/>
      </c>
      <c r="L10" s="17">
        <f>SUMIFS('Cable Schedule'!$W$2:$W$6271,'Cable Schedule'!$B$2:$B$6271,"H",'Cable Schedule'!$I$2:$I$6271,"DC 2 kV")</f>
        <v/>
      </c>
      <c r="M10" s="17">
        <f>SUMIFS('Cable Schedule'!$W$2:$W$6271,'Cable Schedule'!$B$2:$B$6271,"H",'Cable Schedule'!$I$2:$I$6271,"Portable MV")</f>
        <v/>
      </c>
      <c r="N10" s="17">
        <f>SUMIFS('Cable Schedule'!$W$2:$W$6271,'Cable Schedule'!$B$2:$B$6271,"H",'Cable Schedule'!$I$2:$I$6271,"Portable LV")</f>
        <v/>
      </c>
      <c r="O10" s="17">
        <f>SUMIFS('Cable Schedule'!$W$2:$W$6271,'Cable Schedule'!$B$2:$B$6271,"H",'Cable Schedule'!$I$2:$I$6271,"Building wire")</f>
        <v/>
      </c>
      <c r="P10" s="17">
        <f>SUMIFS('Cable Schedule'!$W$2:$W$6271,'Cable Schedule'!$B$2:$B$6271,"H",'Cable Schedule'!$I$2:$I$6271,"Grounding")</f>
        <v/>
      </c>
      <c r="Q10" s="17">
        <f>SUMIFS('Cable Schedule'!$W$2:$W$6271,'Cable Schedule'!$B$2:$B$6271,"H",'Cable Schedule'!$I$2:$I$6271,"Overhead")</f>
        <v/>
      </c>
      <c r="R10" s="27">
        <f>SUM(B10:Q10)</f>
        <v/>
      </c>
    </row>
    <row r="11">
      <c r="A11" s="12" t="inlineStr">
        <is>
          <t>I  Modular / portable power</t>
        </is>
      </c>
      <c r="B11" s="17">
        <f>SUMIFS('Cable Schedule'!$W$2:$W$6271,'Cable Schedule'!$B$2:$B$6271,"I",'Cable Schedule'!$I$2:$I$6271,"MV 15 kV")</f>
        <v/>
      </c>
      <c r="C11" s="17">
        <f>SUMIFS('Cable Schedule'!$W$2:$W$6271,'Cable Schedule'!$B$2:$B$6271,"I",'Cable Schedule'!$I$2:$I$6271,"MV 5 kV")</f>
        <v/>
      </c>
      <c r="D11" s="17">
        <f>SUMIFS('Cable Schedule'!$W$2:$W$6271,'Cable Schedule'!$B$2:$B$6271,"I",'Cable Schedule'!$I$2:$I$6271,"MV 25 kV")</f>
        <v/>
      </c>
      <c r="E11" s="17">
        <f>SUMIFS('Cable Schedule'!$W$2:$W$6271,'Cable Schedule'!$B$2:$B$6271,"I",'Cable Schedule'!$I$2:$I$6271,"MV 35 kV")</f>
        <v/>
      </c>
      <c r="F11" s="17">
        <f>SUMIFS('Cable Schedule'!$W$2:$W$6271,'Cable Schedule'!$B$2:$B$6271,"I",'Cable Schedule'!$I$2:$I$6271,"HV 230 kV")</f>
        <v/>
      </c>
      <c r="G11" s="17">
        <f>SUMIFS('Cable Schedule'!$W$2:$W$6271,'Cable Schedule'!$B$2:$B$6271,"I",'Cable Schedule'!$I$2:$I$6271,"LV 600 V")</f>
        <v/>
      </c>
      <c r="H11" s="17">
        <f>SUMIFS('Cable Schedule'!$W$2:$W$6271,'Cable Schedule'!$B$2:$B$6271,"I",'Cable Schedule'!$I$2:$I$6271,"Control")</f>
        <v/>
      </c>
      <c r="I11" s="17">
        <f>SUMIFS('Cable Schedule'!$W$2:$W$6271,'Cable Schedule'!$B$2:$B$6271,"I",'Cable Schedule'!$I$2:$I$6271,"Instrumentation")</f>
        <v/>
      </c>
      <c r="J11" s="17">
        <f>SUMIFS('Cable Schedule'!$W$2:$W$6271,'Cable Schedule'!$B$2:$B$6271,"I",'Cable Schedule'!$I$2:$I$6271,"Fire alarm")</f>
        <v/>
      </c>
      <c r="K11" s="17">
        <f>SUMIFS('Cable Schedule'!$W$2:$W$6271,'Cable Schedule'!$B$2:$B$6271,"I",'Cable Schedule'!$I$2:$I$6271,"Fibre / data")</f>
        <v/>
      </c>
      <c r="L11" s="17">
        <f>SUMIFS('Cable Schedule'!$W$2:$W$6271,'Cable Schedule'!$B$2:$B$6271,"I",'Cable Schedule'!$I$2:$I$6271,"DC 2 kV")</f>
        <v/>
      </c>
      <c r="M11" s="17">
        <f>SUMIFS('Cable Schedule'!$W$2:$W$6271,'Cable Schedule'!$B$2:$B$6271,"I",'Cable Schedule'!$I$2:$I$6271,"Portable MV")</f>
        <v/>
      </c>
      <c r="N11" s="17">
        <f>SUMIFS('Cable Schedule'!$W$2:$W$6271,'Cable Schedule'!$B$2:$B$6271,"I",'Cable Schedule'!$I$2:$I$6271,"Portable LV")</f>
        <v/>
      </c>
      <c r="O11" s="17">
        <f>SUMIFS('Cable Schedule'!$W$2:$W$6271,'Cable Schedule'!$B$2:$B$6271,"I",'Cable Schedule'!$I$2:$I$6271,"Building wire")</f>
        <v/>
      </c>
      <c r="P11" s="17">
        <f>SUMIFS('Cable Schedule'!$W$2:$W$6271,'Cable Schedule'!$B$2:$B$6271,"I",'Cable Schedule'!$I$2:$I$6271,"Grounding")</f>
        <v/>
      </c>
      <c r="Q11" s="17">
        <f>SUMIFS('Cable Schedule'!$W$2:$W$6271,'Cable Schedule'!$B$2:$B$6271,"I",'Cable Schedule'!$I$2:$I$6271,"Overhead")</f>
        <v/>
      </c>
      <c r="R11" s="27">
        <f>SUM(B11:Q11)</f>
        <v/>
      </c>
    </row>
    <row r="12">
      <c r="A12" s="12" t="inlineStr">
        <is>
          <t>J  GT inlet chilling</t>
        </is>
      </c>
      <c r="B12" s="17">
        <f>SUMIFS('Cable Schedule'!$W$2:$W$6271,'Cable Schedule'!$B$2:$B$6271,"J",'Cable Schedule'!$I$2:$I$6271,"MV 15 kV")</f>
        <v/>
      </c>
      <c r="C12" s="17">
        <f>SUMIFS('Cable Schedule'!$W$2:$W$6271,'Cable Schedule'!$B$2:$B$6271,"J",'Cable Schedule'!$I$2:$I$6271,"MV 5 kV")</f>
        <v/>
      </c>
      <c r="D12" s="17">
        <f>SUMIFS('Cable Schedule'!$W$2:$W$6271,'Cable Schedule'!$B$2:$B$6271,"J",'Cable Schedule'!$I$2:$I$6271,"MV 25 kV")</f>
        <v/>
      </c>
      <c r="E12" s="17">
        <f>SUMIFS('Cable Schedule'!$W$2:$W$6271,'Cable Schedule'!$B$2:$B$6271,"J",'Cable Schedule'!$I$2:$I$6271,"MV 35 kV")</f>
        <v/>
      </c>
      <c r="F12" s="17">
        <f>SUMIFS('Cable Schedule'!$W$2:$W$6271,'Cable Schedule'!$B$2:$B$6271,"J",'Cable Schedule'!$I$2:$I$6271,"HV 230 kV")</f>
        <v/>
      </c>
      <c r="G12" s="17">
        <f>SUMIFS('Cable Schedule'!$W$2:$W$6271,'Cable Schedule'!$B$2:$B$6271,"J",'Cable Schedule'!$I$2:$I$6271,"LV 600 V")</f>
        <v/>
      </c>
      <c r="H12" s="17">
        <f>SUMIFS('Cable Schedule'!$W$2:$W$6271,'Cable Schedule'!$B$2:$B$6271,"J",'Cable Schedule'!$I$2:$I$6271,"Control")</f>
        <v/>
      </c>
      <c r="I12" s="17">
        <f>SUMIFS('Cable Schedule'!$W$2:$W$6271,'Cable Schedule'!$B$2:$B$6271,"J",'Cable Schedule'!$I$2:$I$6271,"Instrumentation")</f>
        <v/>
      </c>
      <c r="J12" s="17">
        <f>SUMIFS('Cable Schedule'!$W$2:$W$6271,'Cable Schedule'!$B$2:$B$6271,"J",'Cable Schedule'!$I$2:$I$6271,"Fire alarm")</f>
        <v/>
      </c>
      <c r="K12" s="17">
        <f>SUMIFS('Cable Schedule'!$W$2:$W$6271,'Cable Schedule'!$B$2:$B$6271,"J",'Cable Schedule'!$I$2:$I$6271,"Fibre / data")</f>
        <v/>
      </c>
      <c r="L12" s="17">
        <f>SUMIFS('Cable Schedule'!$W$2:$W$6271,'Cable Schedule'!$B$2:$B$6271,"J",'Cable Schedule'!$I$2:$I$6271,"DC 2 kV")</f>
        <v/>
      </c>
      <c r="M12" s="17">
        <f>SUMIFS('Cable Schedule'!$W$2:$W$6271,'Cable Schedule'!$B$2:$B$6271,"J",'Cable Schedule'!$I$2:$I$6271,"Portable MV")</f>
        <v/>
      </c>
      <c r="N12" s="17">
        <f>SUMIFS('Cable Schedule'!$W$2:$W$6271,'Cable Schedule'!$B$2:$B$6271,"J",'Cable Schedule'!$I$2:$I$6271,"Portable LV")</f>
        <v/>
      </c>
      <c r="O12" s="17">
        <f>SUMIFS('Cable Schedule'!$W$2:$W$6271,'Cable Schedule'!$B$2:$B$6271,"J",'Cable Schedule'!$I$2:$I$6271,"Building wire")</f>
        <v/>
      </c>
      <c r="P12" s="17">
        <f>SUMIFS('Cable Schedule'!$W$2:$W$6271,'Cable Schedule'!$B$2:$B$6271,"J",'Cable Schedule'!$I$2:$I$6271,"Grounding")</f>
        <v/>
      </c>
      <c r="Q12" s="17">
        <f>SUMIFS('Cable Schedule'!$W$2:$W$6271,'Cable Schedule'!$B$2:$B$6271,"J",'Cable Schedule'!$I$2:$I$6271,"Overhead")</f>
        <v/>
      </c>
      <c r="R12" s="27">
        <f>SUM(B12:Q12)</f>
        <v/>
      </c>
    </row>
    <row r="13">
      <c r="A13" s="12" t="inlineStr">
        <is>
          <t>K  Fuel supply (adjacent market)</t>
        </is>
      </c>
      <c r="B13" s="17">
        <f>SUMIFS('Cable Schedule'!$W$2:$W$6271,'Cable Schedule'!$B$2:$B$6271,"K",'Cable Schedule'!$I$2:$I$6271,"MV 15 kV")</f>
        <v/>
      </c>
      <c r="C13" s="17">
        <f>SUMIFS('Cable Schedule'!$W$2:$W$6271,'Cable Schedule'!$B$2:$B$6271,"K",'Cable Schedule'!$I$2:$I$6271,"MV 5 kV")</f>
        <v/>
      </c>
      <c r="D13" s="17">
        <f>SUMIFS('Cable Schedule'!$W$2:$W$6271,'Cable Schedule'!$B$2:$B$6271,"K",'Cable Schedule'!$I$2:$I$6271,"MV 25 kV")</f>
        <v/>
      </c>
      <c r="E13" s="17">
        <f>SUMIFS('Cable Schedule'!$W$2:$W$6271,'Cable Schedule'!$B$2:$B$6271,"K",'Cable Schedule'!$I$2:$I$6271,"MV 35 kV")</f>
        <v/>
      </c>
      <c r="F13" s="17">
        <f>SUMIFS('Cable Schedule'!$W$2:$W$6271,'Cable Schedule'!$B$2:$B$6271,"K",'Cable Schedule'!$I$2:$I$6271,"HV 230 kV")</f>
        <v/>
      </c>
      <c r="G13" s="17">
        <f>SUMIFS('Cable Schedule'!$W$2:$W$6271,'Cable Schedule'!$B$2:$B$6271,"K",'Cable Schedule'!$I$2:$I$6271,"LV 600 V")</f>
        <v/>
      </c>
      <c r="H13" s="17">
        <f>SUMIFS('Cable Schedule'!$W$2:$W$6271,'Cable Schedule'!$B$2:$B$6271,"K",'Cable Schedule'!$I$2:$I$6271,"Control")</f>
        <v/>
      </c>
      <c r="I13" s="17">
        <f>SUMIFS('Cable Schedule'!$W$2:$W$6271,'Cable Schedule'!$B$2:$B$6271,"K",'Cable Schedule'!$I$2:$I$6271,"Instrumentation")</f>
        <v/>
      </c>
      <c r="J13" s="17">
        <f>SUMIFS('Cable Schedule'!$W$2:$W$6271,'Cable Schedule'!$B$2:$B$6271,"K",'Cable Schedule'!$I$2:$I$6271,"Fire alarm")</f>
        <v/>
      </c>
      <c r="K13" s="17">
        <f>SUMIFS('Cable Schedule'!$W$2:$W$6271,'Cable Schedule'!$B$2:$B$6271,"K",'Cable Schedule'!$I$2:$I$6271,"Fibre / data")</f>
        <v/>
      </c>
      <c r="L13" s="17">
        <f>SUMIFS('Cable Schedule'!$W$2:$W$6271,'Cable Schedule'!$B$2:$B$6271,"K",'Cable Schedule'!$I$2:$I$6271,"DC 2 kV")</f>
        <v/>
      </c>
      <c r="M13" s="17">
        <f>SUMIFS('Cable Schedule'!$W$2:$W$6271,'Cable Schedule'!$B$2:$B$6271,"K",'Cable Schedule'!$I$2:$I$6271,"Portable MV")</f>
        <v/>
      </c>
      <c r="N13" s="17">
        <f>SUMIFS('Cable Schedule'!$W$2:$W$6271,'Cable Schedule'!$B$2:$B$6271,"K",'Cable Schedule'!$I$2:$I$6271,"Portable LV")</f>
        <v/>
      </c>
      <c r="O13" s="17">
        <f>SUMIFS('Cable Schedule'!$W$2:$W$6271,'Cable Schedule'!$B$2:$B$6271,"K",'Cable Schedule'!$I$2:$I$6271,"Building wire")</f>
        <v/>
      </c>
      <c r="P13" s="17">
        <f>SUMIFS('Cable Schedule'!$W$2:$W$6271,'Cable Schedule'!$B$2:$B$6271,"K",'Cable Schedule'!$I$2:$I$6271,"Grounding")</f>
        <v/>
      </c>
      <c r="Q13" s="17">
        <f>SUMIFS('Cable Schedule'!$W$2:$W$6271,'Cable Schedule'!$B$2:$B$6271,"K",'Cable Schedule'!$I$2:$I$6271,"Overhead")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Schedule'!B2:B6271,"?")</f>
        <v/>
      </c>
    </row>
    <row r="18">
      <c r="A18" s="21" t="inlineStr">
        <is>
          <t>Cables (count)</t>
        </is>
      </c>
      <c r="B18" s="17">
        <f>SUM('Cable Schedule'!AA2:AA6271)</f>
        <v/>
      </c>
    </row>
    <row r="20">
      <c r="A20" s="21" t="inlineStr">
        <is>
          <t>Device count behind the schedule (typical for each equipment class)</t>
        </is>
      </c>
    </row>
    <row r="21">
      <c r="A21" s="12" t="inlineStr">
        <is>
          <t>Analog instruments</t>
        </is>
      </c>
      <c r="B21" s="29" t="n">
        <v>6026</v>
      </c>
    </row>
    <row r="22">
      <c r="A22" s="12" t="inlineStr">
        <is>
          <t>Discrete devices</t>
        </is>
      </c>
      <c r="B22" s="29" t="n">
        <v>6378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2026-10-29T16:11:50Z</dcterms:created>
  <dcterms:modified xmlns:dcterms="http://purl.org/dc/terms/" xmlns:xsi="http://www.w3.org/2001/XMLSchema-instance" xsi:type="dcterms:W3CDTF">2026-10-29T16:11:53Z</dcterms:modified>
</cp:coreProperties>
</file>